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onstantingeorgeglen/Documents/University/UFL/RESEARCH/Projects_Writing/PhDChapters/ch2.senCTC/supplementaryData/"/>
    </mc:Choice>
  </mc:AlternateContent>
  <xr:revisionPtr revIDLastSave="0" documentId="13_ncr:1_{C9519DB7-29A6-2B49-BA2F-7F6F434D73BB}" xr6:coauthVersionLast="47" xr6:coauthVersionMax="47" xr10:uidLastSave="{00000000-0000-0000-0000-000000000000}"/>
  <bookViews>
    <workbookView xWindow="0" yWindow="760" windowWidth="38280" windowHeight="19900" xr2:uid="{8D378391-6132-A245-A1D6-89E36F870A51}"/>
  </bookViews>
  <sheets>
    <sheet name="testudine.female.data" sheetId="15" r:id="rId1"/>
    <sheet name="metadata_published" sheetId="17" r:id="rId2"/>
    <sheet name="metadata_testudines" sheetId="16" state="hidden" r:id="rId3"/>
    <sheet name="CONDE2019Testudines" sheetId="20" state="hidden" r:id="rId4"/>
    <sheet name="TraitReferences" sheetId="18" r:id="rId5"/>
    <sheet name="References" sheetId="19" r:id="rId6"/>
    <sheet name="VariableKey" sheetId="5" r:id="rId7"/>
  </sheets>
  <definedNames>
    <definedName name="_xlnm._FilterDatabase" localSheetId="3" hidden="1">CONDE2019Testudines!$A$1:$M$1179</definedName>
    <definedName name="_xlnm._FilterDatabase" localSheetId="1" hidden="1">metadata_published!$A$1:$O$168</definedName>
    <definedName name="_xlnm._FilterDatabase" localSheetId="2" hidden="1">metadata_testudines!$K$1:$U$274</definedName>
    <definedName name="_xlnm._FilterDatabase" localSheetId="0" hidden="1">'testudine.female.data'!$B$1:$AB$74</definedName>
    <definedName name="_xlnm._FilterDatabase" localSheetId="4" hidden="1">TraitReferences!$A$1:$G$62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5" l="1"/>
  <c r="Q39" i="15"/>
  <c r="K7" i="15" l="1"/>
  <c r="L72" i="15"/>
  <c r="L74" i="15"/>
  <c r="L73" i="15"/>
  <c r="M17" i="15"/>
  <c r="Q15" i="15"/>
  <c r="L15" i="15"/>
  <c r="P47" i="15"/>
  <c r="Q47" i="15"/>
  <c r="P36" i="15"/>
  <c r="L36" i="15"/>
  <c r="Q36" i="15"/>
  <c r="K39" i="15"/>
  <c r="L39" i="15"/>
  <c r="P38" i="15"/>
  <c r="L37" i="15"/>
  <c r="N34" i="15"/>
  <c r="L27" i="15"/>
  <c r="L26" i="15"/>
  <c r="L25" i="15"/>
  <c r="Q74" i="15" l="1"/>
  <c r="Q73" i="15"/>
  <c r="L70" i="15"/>
  <c r="L69" i="15"/>
  <c r="N66" i="15"/>
  <c r="N65" i="15"/>
  <c r="L65" i="15"/>
  <c r="P65" i="15"/>
  <c r="K3" i="15"/>
  <c r="K56" i="15"/>
  <c r="P50" i="15"/>
  <c r="L45" i="15"/>
  <c r="P44" i="15"/>
  <c r="L44" i="15"/>
  <c r="N41" i="15"/>
  <c r="Q41" i="15"/>
  <c r="L40" i="15"/>
  <c r="Q67" i="15"/>
  <c r="Q62" i="15"/>
  <c r="Q57" i="15"/>
  <c r="Q46" i="15"/>
  <c r="Q37" i="15"/>
  <c r="Q19" i="15"/>
  <c r="Q18" i="15"/>
  <c r="C2" i="17"/>
  <c r="L35" i="15"/>
  <c r="L34" i="15"/>
  <c r="L33" i="15"/>
  <c r="L28" i="15"/>
  <c r="Q25" i="15"/>
  <c r="N27" i="15"/>
  <c r="N26" i="15"/>
  <c r="N25" i="15"/>
  <c r="K27" i="15"/>
  <c r="L24" i="15"/>
  <c r="Q24" i="15"/>
  <c r="L22" i="15"/>
  <c r="C15" i="17"/>
  <c r="E11" i="20"/>
  <c r="E1179" i="20"/>
  <c r="E1178" i="20"/>
  <c r="E1177" i="20"/>
  <c r="E1176" i="20"/>
  <c r="E1175" i="20"/>
  <c r="E1174" i="20"/>
  <c r="E1173" i="20"/>
  <c r="E1172" i="20"/>
  <c r="E1171" i="20"/>
  <c r="E1170" i="20"/>
  <c r="E1169" i="20"/>
  <c r="E1168" i="20"/>
  <c r="E1167" i="20"/>
  <c r="E1166" i="20"/>
  <c r="E1165" i="20"/>
  <c r="E1164" i="20"/>
  <c r="E1163" i="20"/>
  <c r="E1162" i="20"/>
  <c r="E1161" i="20"/>
  <c r="E1160" i="20"/>
  <c r="E1159" i="20"/>
  <c r="E1158" i="20"/>
  <c r="E1157" i="20"/>
  <c r="E1156" i="20"/>
  <c r="E1155" i="20"/>
  <c r="E1154" i="20"/>
  <c r="E1153" i="20"/>
  <c r="E1152" i="20"/>
  <c r="E1151" i="20"/>
  <c r="E1150" i="20"/>
  <c r="E1149" i="20"/>
  <c r="E1148" i="20"/>
  <c r="E1147" i="20"/>
  <c r="E1146" i="20"/>
  <c r="E1145" i="20"/>
  <c r="E1144" i="20"/>
  <c r="E1143" i="20"/>
  <c r="E1142" i="20"/>
  <c r="E1141" i="20"/>
  <c r="E1140" i="20"/>
  <c r="E1139" i="20"/>
  <c r="E1138" i="20"/>
  <c r="E1137" i="20"/>
  <c r="E1136" i="20"/>
  <c r="E1135" i="20"/>
  <c r="E1134" i="20"/>
  <c r="E1133" i="20"/>
  <c r="E1132" i="20"/>
  <c r="E1131" i="20"/>
  <c r="E1130" i="20"/>
  <c r="E1129" i="20"/>
  <c r="E1128" i="20"/>
  <c r="E1127" i="20"/>
  <c r="E1126" i="20"/>
  <c r="E1125" i="20"/>
  <c r="E1124" i="20"/>
  <c r="E1123" i="20"/>
  <c r="E1122" i="20"/>
  <c r="E1121" i="20"/>
  <c r="E1120" i="20"/>
  <c r="E1119" i="20"/>
  <c r="E1118" i="20"/>
  <c r="E1117" i="20"/>
  <c r="E1116" i="20"/>
  <c r="E1115" i="20"/>
  <c r="E1114" i="20"/>
  <c r="E1113" i="20"/>
  <c r="E1112" i="20"/>
  <c r="E1111" i="20"/>
  <c r="E1110" i="20"/>
  <c r="E1109" i="20"/>
  <c r="E1108" i="20"/>
  <c r="E1107" i="20"/>
  <c r="E1106" i="20"/>
  <c r="E1105" i="20"/>
  <c r="E1104" i="20"/>
  <c r="E1103" i="20"/>
  <c r="E1102" i="20"/>
  <c r="E1101" i="20"/>
  <c r="E1100" i="20"/>
  <c r="E1099" i="20"/>
  <c r="E1098" i="20"/>
  <c r="E1097" i="20"/>
  <c r="E1096" i="20"/>
  <c r="E1095" i="20"/>
  <c r="E1094" i="20"/>
  <c r="E1093" i="20"/>
  <c r="E1092" i="20"/>
  <c r="E1091" i="20"/>
  <c r="E1090" i="20"/>
  <c r="E1089" i="20"/>
  <c r="E1088" i="20"/>
  <c r="E1087" i="20"/>
  <c r="E1086" i="20"/>
  <c r="E1085" i="20"/>
  <c r="E1084" i="20"/>
  <c r="E1083" i="20"/>
  <c r="E1082" i="20"/>
  <c r="E1081" i="20"/>
  <c r="E1080" i="20"/>
  <c r="E1079" i="20"/>
  <c r="E1078" i="20"/>
  <c r="E1077" i="20"/>
  <c r="E1076" i="20"/>
  <c r="E1075" i="20"/>
  <c r="E1074" i="20"/>
  <c r="E1073" i="20"/>
  <c r="E1072" i="20"/>
  <c r="E1071" i="20"/>
  <c r="E1070" i="20"/>
  <c r="E1069" i="20"/>
  <c r="E1068" i="20"/>
  <c r="E1067" i="20"/>
  <c r="E1066" i="20"/>
  <c r="E1065" i="20"/>
  <c r="E1064" i="20"/>
  <c r="E1063" i="20"/>
  <c r="E1062" i="20"/>
  <c r="E1061" i="20"/>
  <c r="E1060" i="20"/>
  <c r="E1059" i="20"/>
  <c r="E1058" i="20"/>
  <c r="E1057" i="20"/>
  <c r="E1056" i="20"/>
  <c r="E1055" i="20"/>
  <c r="E1054" i="20"/>
  <c r="E1053" i="20"/>
  <c r="E1052" i="20"/>
  <c r="E1051" i="20"/>
  <c r="E1050" i="20"/>
  <c r="E1049" i="20"/>
  <c r="E1048" i="20"/>
  <c r="E1047" i="20"/>
  <c r="E1046" i="20"/>
  <c r="E1045" i="20"/>
  <c r="E1044" i="20"/>
  <c r="E1043" i="20"/>
  <c r="E1042" i="20"/>
  <c r="E1041" i="20"/>
  <c r="E1040" i="20"/>
  <c r="E1039" i="20"/>
  <c r="E1038" i="20"/>
  <c r="E1037" i="20"/>
  <c r="E1036" i="20"/>
  <c r="E1035" i="20"/>
  <c r="E1034" i="20"/>
  <c r="E1033" i="20"/>
  <c r="E1032" i="20"/>
  <c r="E1031" i="20"/>
  <c r="E1030" i="20"/>
  <c r="E1029" i="20"/>
  <c r="E1028" i="20"/>
  <c r="E1027" i="20"/>
  <c r="E1026" i="20"/>
  <c r="E1025" i="20"/>
  <c r="E1024" i="20"/>
  <c r="E1023" i="20"/>
  <c r="E1022" i="20"/>
  <c r="E1021" i="20"/>
  <c r="E1020" i="20"/>
  <c r="E1019" i="20"/>
  <c r="E1018" i="20"/>
  <c r="E1017" i="20"/>
  <c r="E1016" i="20"/>
  <c r="E1015" i="20"/>
  <c r="E1014" i="20"/>
  <c r="E1013" i="20"/>
  <c r="E1012" i="20"/>
  <c r="E1011" i="20"/>
  <c r="E1010" i="20"/>
  <c r="E1009" i="20"/>
  <c r="E1008" i="20"/>
  <c r="E1007" i="20"/>
  <c r="E1006" i="20"/>
  <c r="E1005" i="20"/>
  <c r="E1004" i="20"/>
  <c r="E1003" i="20"/>
  <c r="E1002" i="20"/>
  <c r="E1001" i="20"/>
  <c r="E1000" i="20"/>
  <c r="E999" i="20"/>
  <c r="E998" i="20"/>
  <c r="E997" i="20"/>
  <c r="E996" i="20"/>
  <c r="E995" i="20"/>
  <c r="E994" i="20"/>
  <c r="E993" i="20"/>
  <c r="E992" i="20"/>
  <c r="E991" i="20"/>
  <c r="E990" i="20"/>
  <c r="E989" i="20"/>
  <c r="E988" i="20"/>
  <c r="E987" i="20"/>
  <c r="E986" i="20"/>
  <c r="E985" i="20"/>
  <c r="E984" i="20"/>
  <c r="E983" i="20"/>
  <c r="E982" i="20"/>
  <c r="E981" i="20"/>
  <c r="E980" i="20"/>
  <c r="E979" i="20"/>
  <c r="E978" i="20"/>
  <c r="E977" i="20"/>
  <c r="E976" i="20"/>
  <c r="E975" i="20"/>
  <c r="E974" i="20"/>
  <c r="E973" i="20"/>
  <c r="E972" i="20"/>
  <c r="E971" i="20"/>
  <c r="E970" i="20"/>
  <c r="E969" i="20"/>
  <c r="E968" i="20"/>
  <c r="E967" i="20"/>
  <c r="E966" i="20"/>
  <c r="E965" i="20"/>
  <c r="E964" i="20"/>
  <c r="E963" i="20"/>
  <c r="E962" i="20"/>
  <c r="E961" i="20"/>
  <c r="E960" i="20"/>
  <c r="E959" i="20"/>
  <c r="E958" i="20"/>
  <c r="E957" i="20"/>
  <c r="E956" i="20"/>
  <c r="E955" i="20"/>
  <c r="E954" i="20"/>
  <c r="E953" i="20"/>
  <c r="E952" i="20"/>
  <c r="E951" i="20"/>
  <c r="E950" i="20"/>
  <c r="E949" i="20"/>
  <c r="E948" i="20"/>
  <c r="E947" i="20"/>
  <c r="E946" i="20"/>
  <c r="E945" i="20"/>
  <c r="E944" i="20"/>
  <c r="E943" i="20"/>
  <c r="E942" i="20"/>
  <c r="E941" i="20"/>
  <c r="E940" i="20"/>
  <c r="E939" i="20"/>
  <c r="E938" i="20"/>
  <c r="E937" i="20"/>
  <c r="E936" i="20"/>
  <c r="E935" i="20"/>
  <c r="E934" i="20"/>
  <c r="E933" i="20"/>
  <c r="E932" i="20"/>
  <c r="E931" i="20"/>
  <c r="E930" i="20"/>
  <c r="E929" i="20"/>
  <c r="E928" i="20"/>
  <c r="E927" i="20"/>
  <c r="E926" i="20"/>
  <c r="E925" i="20"/>
  <c r="E924" i="20"/>
  <c r="E923" i="20"/>
  <c r="E922" i="20"/>
  <c r="E921" i="20"/>
  <c r="E920" i="20"/>
  <c r="E919" i="20"/>
  <c r="E918" i="20"/>
  <c r="E917" i="20"/>
  <c r="E916" i="20"/>
  <c r="E915" i="20"/>
  <c r="E914" i="20"/>
  <c r="E913" i="20"/>
  <c r="E912" i="20"/>
  <c r="E911" i="20"/>
  <c r="E910" i="20"/>
  <c r="E909" i="20"/>
  <c r="E908" i="20"/>
  <c r="E907" i="20"/>
  <c r="E906" i="20"/>
  <c r="E905" i="20"/>
  <c r="E904" i="20"/>
  <c r="E903" i="20"/>
  <c r="E902" i="20"/>
  <c r="E901" i="20"/>
  <c r="E900" i="20"/>
  <c r="E899" i="20"/>
  <c r="E898" i="20"/>
  <c r="E897" i="20"/>
  <c r="E896" i="20"/>
  <c r="E895" i="20"/>
  <c r="E894" i="20"/>
  <c r="E893" i="20"/>
  <c r="E892" i="20"/>
  <c r="E891" i="20"/>
  <c r="E890" i="20"/>
  <c r="E889" i="20"/>
  <c r="E888" i="20"/>
  <c r="E887" i="20"/>
  <c r="E886" i="20"/>
  <c r="E885" i="20"/>
  <c r="E884" i="20"/>
  <c r="E883" i="20"/>
  <c r="E882" i="20"/>
  <c r="E881" i="20"/>
  <c r="E880" i="20"/>
  <c r="E879" i="20"/>
  <c r="E878" i="20"/>
  <c r="E877" i="20"/>
  <c r="E876" i="20"/>
  <c r="E875" i="20"/>
  <c r="E874" i="20"/>
  <c r="E873" i="20"/>
  <c r="E872" i="20"/>
  <c r="E871" i="20"/>
  <c r="E870" i="20"/>
  <c r="E869" i="20"/>
  <c r="E868" i="20"/>
  <c r="E867" i="20"/>
  <c r="E866" i="20"/>
  <c r="E865" i="20"/>
  <c r="E864" i="20"/>
  <c r="E863" i="20"/>
  <c r="E862" i="20"/>
  <c r="E861" i="20"/>
  <c r="E860" i="20"/>
  <c r="E859" i="20"/>
  <c r="E858" i="20"/>
  <c r="E857" i="20"/>
  <c r="E856" i="20"/>
  <c r="E855" i="20"/>
  <c r="E854" i="20"/>
  <c r="E853" i="20"/>
  <c r="E852" i="20"/>
  <c r="E851" i="20"/>
  <c r="E850" i="20"/>
  <c r="E849" i="20"/>
  <c r="E848" i="20"/>
  <c r="E847" i="20"/>
  <c r="E846" i="20"/>
  <c r="E845" i="20"/>
  <c r="E844" i="20"/>
  <c r="E843" i="20"/>
  <c r="E842" i="20"/>
  <c r="E841" i="20"/>
  <c r="E840" i="20"/>
  <c r="E839" i="20"/>
  <c r="E838" i="20"/>
  <c r="E837" i="20"/>
  <c r="E836" i="20"/>
  <c r="E835" i="20"/>
  <c r="E834" i="20"/>
  <c r="E833" i="20"/>
  <c r="E832" i="20"/>
  <c r="E831" i="20"/>
  <c r="E830" i="20"/>
  <c r="E829" i="20"/>
  <c r="E828" i="20"/>
  <c r="E827" i="20"/>
  <c r="E826" i="20"/>
  <c r="E825" i="20"/>
  <c r="E824" i="20"/>
  <c r="E823" i="20"/>
  <c r="E822" i="20"/>
  <c r="E821" i="20"/>
  <c r="E820" i="20"/>
  <c r="E819" i="20"/>
  <c r="E818" i="20"/>
  <c r="E817" i="20"/>
  <c r="E816" i="20"/>
  <c r="E815" i="20"/>
  <c r="E814" i="20"/>
  <c r="E813" i="20"/>
  <c r="E812" i="20"/>
  <c r="E811" i="20"/>
  <c r="E810" i="20"/>
  <c r="E809" i="20"/>
  <c r="E808" i="20"/>
  <c r="E807" i="20"/>
  <c r="E806" i="20"/>
  <c r="E805" i="20"/>
  <c r="E804" i="20"/>
  <c r="E803" i="20"/>
  <c r="E802" i="20"/>
  <c r="E801" i="20"/>
  <c r="E800" i="20"/>
  <c r="E799" i="20"/>
  <c r="E798" i="20"/>
  <c r="E797" i="20"/>
  <c r="E796" i="20"/>
  <c r="E795" i="20"/>
  <c r="E794" i="20"/>
  <c r="E793" i="20"/>
  <c r="E792" i="20"/>
  <c r="E791" i="20"/>
  <c r="E790" i="20"/>
  <c r="E789" i="20"/>
  <c r="E788" i="20"/>
  <c r="E787" i="20"/>
  <c r="E786" i="20"/>
  <c r="E785" i="20"/>
  <c r="E784" i="20"/>
  <c r="E783" i="20"/>
  <c r="E782" i="20"/>
  <c r="E781" i="20"/>
  <c r="E780" i="20"/>
  <c r="E779" i="20"/>
  <c r="E778" i="20"/>
  <c r="E777" i="20"/>
  <c r="E776" i="20"/>
  <c r="E775" i="20"/>
  <c r="E774" i="20"/>
  <c r="E773" i="20"/>
  <c r="E772" i="20"/>
  <c r="E771" i="20"/>
  <c r="E770" i="20"/>
  <c r="E769" i="20"/>
  <c r="E768" i="20"/>
  <c r="E767" i="20"/>
  <c r="E766" i="20"/>
  <c r="E765" i="20"/>
  <c r="E764" i="20"/>
  <c r="E763" i="20"/>
  <c r="E762" i="20"/>
  <c r="E761" i="20"/>
  <c r="E760" i="20"/>
  <c r="E759" i="20"/>
  <c r="E758" i="20"/>
  <c r="E757" i="20"/>
  <c r="E756" i="20"/>
  <c r="E755" i="20"/>
  <c r="E754" i="20"/>
  <c r="E753" i="20"/>
  <c r="E752" i="20"/>
  <c r="E751" i="20"/>
  <c r="E750" i="20"/>
  <c r="E749" i="20"/>
  <c r="E748" i="20"/>
  <c r="E747" i="20"/>
  <c r="E746" i="20"/>
  <c r="E745" i="20"/>
  <c r="E744" i="20"/>
  <c r="E743" i="20"/>
  <c r="E742" i="20"/>
  <c r="E741" i="20"/>
  <c r="E740" i="20"/>
  <c r="E739" i="20"/>
  <c r="E738" i="20"/>
  <c r="E737" i="20"/>
  <c r="E736" i="20"/>
  <c r="E735" i="20"/>
  <c r="E734" i="20"/>
  <c r="E733" i="20"/>
  <c r="E732" i="20"/>
  <c r="E731" i="20"/>
  <c r="E730" i="20"/>
  <c r="E729" i="20"/>
  <c r="E728" i="20"/>
  <c r="E727" i="20"/>
  <c r="E726" i="20"/>
  <c r="E725" i="20"/>
  <c r="E724" i="20"/>
  <c r="E723" i="20"/>
  <c r="E722" i="20"/>
  <c r="E721" i="20"/>
  <c r="E720" i="20"/>
  <c r="E719" i="20"/>
  <c r="E718" i="20"/>
  <c r="E717" i="20"/>
  <c r="E716" i="20"/>
  <c r="E715" i="20"/>
  <c r="E714" i="20"/>
  <c r="E713" i="20"/>
  <c r="E712" i="20"/>
  <c r="E711" i="20"/>
  <c r="E710" i="20"/>
  <c r="E709" i="20"/>
  <c r="E708" i="20"/>
  <c r="E707" i="20"/>
  <c r="E706" i="20"/>
  <c r="E705" i="20"/>
  <c r="E704" i="20"/>
  <c r="E703" i="20"/>
  <c r="E702" i="20"/>
  <c r="E701" i="20"/>
  <c r="E700" i="20"/>
  <c r="E699" i="20"/>
  <c r="E698" i="20"/>
  <c r="E697" i="20"/>
  <c r="E696" i="20"/>
  <c r="E695" i="20"/>
  <c r="E694" i="20"/>
  <c r="E693" i="20"/>
  <c r="E692" i="20"/>
  <c r="E691" i="20"/>
  <c r="E690" i="20"/>
  <c r="E689" i="20"/>
  <c r="E688" i="20"/>
  <c r="E687" i="20"/>
  <c r="E686" i="20"/>
  <c r="E685" i="20"/>
  <c r="E684" i="20"/>
  <c r="E683" i="20"/>
  <c r="E682" i="20"/>
  <c r="E681" i="20"/>
  <c r="E680" i="20"/>
  <c r="E679" i="20"/>
  <c r="E678" i="20"/>
  <c r="E677" i="20"/>
  <c r="E676" i="20"/>
  <c r="E675" i="20"/>
  <c r="E674" i="20"/>
  <c r="E673" i="20"/>
  <c r="E672" i="20"/>
  <c r="E671" i="20"/>
  <c r="E670" i="20"/>
  <c r="E669" i="20"/>
  <c r="E668" i="20"/>
  <c r="E667" i="20"/>
  <c r="E666" i="20"/>
  <c r="E665" i="20"/>
  <c r="E664" i="20"/>
  <c r="E663" i="20"/>
  <c r="E662" i="20"/>
  <c r="E661" i="20"/>
  <c r="E660" i="20"/>
  <c r="E659" i="20"/>
  <c r="E658" i="20"/>
  <c r="E657" i="20"/>
  <c r="E656" i="20"/>
  <c r="E655" i="20"/>
  <c r="E654" i="20"/>
  <c r="E653" i="20"/>
  <c r="E652" i="20"/>
  <c r="E651" i="20"/>
  <c r="E650" i="20"/>
  <c r="E649" i="20"/>
  <c r="E648" i="20"/>
  <c r="E647" i="20"/>
  <c r="E646" i="20"/>
  <c r="E645" i="20"/>
  <c r="E644" i="20"/>
  <c r="E643" i="20"/>
  <c r="E642" i="20"/>
  <c r="E641" i="20"/>
  <c r="E640" i="20"/>
  <c r="E639" i="20"/>
  <c r="E638" i="20"/>
  <c r="E637" i="20"/>
  <c r="E636" i="20"/>
  <c r="E635" i="20"/>
  <c r="E634" i="20"/>
  <c r="E633" i="20"/>
  <c r="E632" i="20"/>
  <c r="E631" i="20"/>
  <c r="E630" i="20"/>
  <c r="E629" i="20"/>
  <c r="E628" i="20"/>
  <c r="E627" i="20"/>
  <c r="E626" i="20"/>
  <c r="E625" i="20"/>
  <c r="E624" i="20"/>
  <c r="E623" i="20"/>
  <c r="E622" i="20"/>
  <c r="E621" i="20"/>
  <c r="E620" i="20"/>
  <c r="E619" i="20"/>
  <c r="E618" i="20"/>
  <c r="E617" i="20"/>
  <c r="E616" i="20"/>
  <c r="E615" i="20"/>
  <c r="E614" i="20"/>
  <c r="E613" i="20"/>
  <c r="E612" i="20"/>
  <c r="E611" i="20"/>
  <c r="E610" i="20"/>
  <c r="E609" i="20"/>
  <c r="E608" i="20"/>
  <c r="E607" i="20"/>
  <c r="E606" i="20"/>
  <c r="E605" i="20"/>
  <c r="E604" i="20"/>
  <c r="E603" i="20"/>
  <c r="E602" i="20"/>
  <c r="E601" i="20"/>
  <c r="E600" i="20"/>
  <c r="E599" i="20"/>
  <c r="E598" i="20"/>
  <c r="E597" i="20"/>
  <c r="E596" i="20"/>
  <c r="E595" i="20"/>
  <c r="E594" i="20"/>
  <c r="E593" i="20"/>
  <c r="E592" i="20"/>
  <c r="E591" i="20"/>
  <c r="E590" i="20"/>
  <c r="E589" i="20"/>
  <c r="E588" i="20"/>
  <c r="E587" i="20"/>
  <c r="E586" i="20"/>
  <c r="E585" i="20"/>
  <c r="E584" i="20"/>
  <c r="E583" i="20"/>
  <c r="E582" i="20"/>
  <c r="E581" i="20"/>
  <c r="E580" i="20"/>
  <c r="E579" i="20"/>
  <c r="E578" i="20"/>
  <c r="E577" i="20"/>
  <c r="E576" i="20"/>
  <c r="E575" i="20"/>
  <c r="E574" i="20"/>
  <c r="E573" i="20"/>
  <c r="E572" i="20"/>
  <c r="E571" i="20"/>
  <c r="E570" i="20"/>
  <c r="E569" i="20"/>
  <c r="E568" i="20"/>
  <c r="E567" i="20"/>
  <c r="E566" i="20"/>
  <c r="E565" i="20"/>
  <c r="E564" i="20"/>
  <c r="E563" i="20"/>
  <c r="E562" i="20"/>
  <c r="E561" i="20"/>
  <c r="E560" i="20"/>
  <c r="E559" i="20"/>
  <c r="E558" i="20"/>
  <c r="E557" i="20"/>
  <c r="E556" i="20"/>
  <c r="E555" i="20"/>
  <c r="E554" i="20"/>
  <c r="E553" i="20"/>
  <c r="E552" i="20"/>
  <c r="E551" i="20"/>
  <c r="E550" i="20"/>
  <c r="E549" i="20"/>
  <c r="E548" i="20"/>
  <c r="E547" i="20"/>
  <c r="E546" i="20"/>
  <c r="E545" i="20"/>
  <c r="E544" i="20"/>
  <c r="E543" i="20"/>
  <c r="E542" i="20"/>
  <c r="E541" i="20"/>
  <c r="E540" i="20"/>
  <c r="E539" i="20"/>
  <c r="E538" i="20"/>
  <c r="E537" i="20"/>
  <c r="E536" i="20"/>
  <c r="E535" i="20"/>
  <c r="E534" i="20"/>
  <c r="E533" i="20"/>
  <c r="E532" i="20"/>
  <c r="E531" i="20"/>
  <c r="E530" i="20"/>
  <c r="E529" i="20"/>
  <c r="E528" i="20"/>
  <c r="E527" i="20"/>
  <c r="E526" i="20"/>
  <c r="E525" i="20"/>
  <c r="E524" i="20"/>
  <c r="E523" i="20"/>
  <c r="E522" i="20"/>
  <c r="E521" i="20"/>
  <c r="E520" i="20"/>
  <c r="E519" i="20"/>
  <c r="E518" i="20"/>
  <c r="E517" i="20"/>
  <c r="E516" i="20"/>
  <c r="E515" i="20"/>
  <c r="E514" i="20"/>
  <c r="E513" i="20"/>
  <c r="E512" i="20"/>
  <c r="E511" i="20"/>
  <c r="E510" i="20"/>
  <c r="E509" i="20"/>
  <c r="E508" i="20"/>
  <c r="E507" i="20"/>
  <c r="E506" i="20"/>
  <c r="E505" i="20"/>
  <c r="E504" i="20"/>
  <c r="E503" i="20"/>
  <c r="E502" i="20"/>
  <c r="E501" i="20"/>
  <c r="E500" i="20"/>
  <c r="E499" i="20"/>
  <c r="E498" i="20"/>
  <c r="E497" i="20"/>
  <c r="E496" i="20"/>
  <c r="E495" i="20"/>
  <c r="E494" i="20"/>
  <c r="E493" i="20"/>
  <c r="E492" i="20"/>
  <c r="E491" i="20"/>
  <c r="E490" i="20"/>
  <c r="E489" i="20"/>
  <c r="E488" i="20"/>
  <c r="E487" i="20"/>
  <c r="E486" i="20"/>
  <c r="E485" i="20"/>
  <c r="E484" i="20"/>
  <c r="E483" i="20"/>
  <c r="E482" i="20"/>
  <c r="E481" i="20"/>
  <c r="E480" i="20"/>
  <c r="E479" i="20"/>
  <c r="E478" i="20"/>
  <c r="E477" i="20"/>
  <c r="E476" i="20"/>
  <c r="E475" i="20"/>
  <c r="E474" i="20"/>
  <c r="E473" i="20"/>
  <c r="E472" i="20"/>
  <c r="E471" i="20"/>
  <c r="E470" i="20"/>
  <c r="E469" i="20"/>
  <c r="E468" i="20"/>
  <c r="E467" i="20"/>
  <c r="E466" i="20"/>
  <c r="E465" i="20"/>
  <c r="E464" i="20"/>
  <c r="E463" i="20"/>
  <c r="E462" i="20"/>
  <c r="E461" i="20"/>
  <c r="E460" i="20"/>
  <c r="E459" i="20"/>
  <c r="E458" i="20"/>
  <c r="E457" i="20"/>
  <c r="E456" i="20"/>
  <c r="E455" i="20"/>
  <c r="E454" i="20"/>
  <c r="E453" i="20"/>
  <c r="E452" i="20"/>
  <c r="E451" i="20"/>
  <c r="E450" i="20"/>
  <c r="E449" i="20"/>
  <c r="E448" i="20"/>
  <c r="E447" i="20"/>
  <c r="E446" i="20"/>
  <c r="E445" i="20"/>
  <c r="E444" i="20"/>
  <c r="E443" i="20"/>
  <c r="E442" i="20"/>
  <c r="E441" i="20"/>
  <c r="E440" i="20"/>
  <c r="E439" i="20"/>
  <c r="E438" i="20"/>
  <c r="E437" i="20"/>
  <c r="E436" i="20"/>
  <c r="E435" i="20"/>
  <c r="E434" i="20"/>
  <c r="E433" i="20"/>
  <c r="E432" i="20"/>
  <c r="E431" i="20"/>
  <c r="E430" i="20"/>
  <c r="E429" i="20"/>
  <c r="E428" i="20"/>
  <c r="E427" i="20"/>
  <c r="E426" i="20"/>
  <c r="E425" i="20"/>
  <c r="E424" i="20"/>
  <c r="E423" i="20"/>
  <c r="E422" i="20"/>
  <c r="E421" i="20"/>
  <c r="E420" i="20"/>
  <c r="E419" i="20"/>
  <c r="E418" i="20"/>
  <c r="E417" i="20"/>
  <c r="E416" i="20"/>
  <c r="E415" i="20"/>
  <c r="E414" i="20"/>
  <c r="E413" i="20"/>
  <c r="E412" i="20"/>
  <c r="E411" i="20"/>
  <c r="E410" i="20"/>
  <c r="E409" i="20"/>
  <c r="E408" i="20"/>
  <c r="E407" i="20"/>
  <c r="E406" i="20"/>
  <c r="E405" i="20"/>
  <c r="E404" i="20"/>
  <c r="E403" i="20"/>
  <c r="E402" i="20"/>
  <c r="E401" i="20"/>
  <c r="E400" i="20"/>
  <c r="E399" i="20"/>
  <c r="E398" i="20"/>
  <c r="E397" i="20"/>
  <c r="E396" i="20"/>
  <c r="E395" i="20"/>
  <c r="E394" i="20"/>
  <c r="E393" i="20"/>
  <c r="E392" i="20"/>
  <c r="E391" i="20"/>
  <c r="E390" i="20"/>
  <c r="E389" i="20"/>
  <c r="E388" i="20"/>
  <c r="E387" i="20"/>
  <c r="E386" i="20"/>
  <c r="E385" i="20"/>
  <c r="E384" i="20"/>
  <c r="E383" i="20"/>
  <c r="E382" i="20"/>
  <c r="E381" i="20"/>
  <c r="E380" i="20"/>
  <c r="E379" i="20"/>
  <c r="E378" i="20"/>
  <c r="E377" i="20"/>
  <c r="E376" i="20"/>
  <c r="E375" i="20"/>
  <c r="E374" i="20"/>
  <c r="E373" i="20"/>
  <c r="E372" i="20"/>
  <c r="E371" i="20"/>
  <c r="E370" i="20"/>
  <c r="E369" i="20"/>
  <c r="E368" i="20"/>
  <c r="E367" i="20"/>
  <c r="E366" i="20"/>
  <c r="E365" i="20"/>
  <c r="E364" i="20"/>
  <c r="E363" i="20"/>
  <c r="E362" i="20"/>
  <c r="E361" i="20"/>
  <c r="E360" i="20"/>
  <c r="E359" i="20"/>
  <c r="E358" i="20"/>
  <c r="E357" i="20"/>
  <c r="E356" i="20"/>
  <c r="E355" i="20"/>
  <c r="E354" i="20"/>
  <c r="E353" i="20"/>
  <c r="E352" i="20"/>
  <c r="E351" i="20"/>
  <c r="E350" i="20"/>
  <c r="E349" i="20"/>
  <c r="E348" i="20"/>
  <c r="E347" i="20"/>
  <c r="E346" i="20"/>
  <c r="E345" i="20"/>
  <c r="E344" i="20"/>
  <c r="E343" i="20"/>
  <c r="E342" i="20"/>
  <c r="E341" i="20"/>
  <c r="E340" i="20"/>
  <c r="E339" i="20"/>
  <c r="E338" i="20"/>
  <c r="E337" i="20"/>
  <c r="E336" i="20"/>
  <c r="E335" i="20"/>
  <c r="E334" i="20"/>
  <c r="E333" i="20"/>
  <c r="E332" i="20"/>
  <c r="E331" i="20"/>
  <c r="E330" i="20"/>
  <c r="E329" i="20"/>
  <c r="E328" i="20"/>
  <c r="E327" i="20"/>
  <c r="E326" i="20"/>
  <c r="E325" i="20"/>
  <c r="E324" i="20"/>
  <c r="E323" i="20"/>
  <c r="E322" i="20"/>
  <c r="E321" i="20"/>
  <c r="E320" i="20"/>
  <c r="E319" i="20"/>
  <c r="E318" i="20"/>
  <c r="E317" i="20"/>
  <c r="E316" i="20"/>
  <c r="E315" i="20"/>
  <c r="E314" i="20"/>
  <c r="E313" i="20"/>
  <c r="E312" i="20"/>
  <c r="E311" i="20"/>
  <c r="E310" i="20"/>
  <c r="E309" i="20"/>
  <c r="E308" i="20"/>
  <c r="E307" i="20"/>
  <c r="E306" i="20"/>
  <c r="E305" i="20"/>
  <c r="E304" i="20"/>
  <c r="E303" i="20"/>
  <c r="E302" i="20"/>
  <c r="E301" i="20"/>
  <c r="E300" i="20"/>
  <c r="E299" i="20"/>
  <c r="E298" i="20"/>
  <c r="E297" i="20"/>
  <c r="E296" i="20"/>
  <c r="E295" i="20"/>
  <c r="E294" i="20"/>
  <c r="E293" i="20"/>
  <c r="E292" i="20"/>
  <c r="E291" i="20"/>
  <c r="E290" i="20"/>
  <c r="E289" i="20"/>
  <c r="E288" i="20"/>
  <c r="E287" i="20"/>
  <c r="E286" i="20"/>
  <c r="E285" i="20"/>
  <c r="E284" i="20"/>
  <c r="E283" i="20"/>
  <c r="E282" i="20"/>
  <c r="E281" i="20"/>
  <c r="E280" i="20"/>
  <c r="E279" i="20"/>
  <c r="E278" i="20"/>
  <c r="E277" i="20"/>
  <c r="E276" i="20"/>
  <c r="E275" i="20"/>
  <c r="E274" i="20"/>
  <c r="E273" i="20"/>
  <c r="E272" i="20"/>
  <c r="E271" i="20"/>
  <c r="E270" i="20"/>
  <c r="E269" i="20"/>
  <c r="E268" i="20"/>
  <c r="E267" i="20"/>
  <c r="E266" i="20"/>
  <c r="E265" i="20"/>
  <c r="E264" i="20"/>
  <c r="E263" i="20"/>
  <c r="E262" i="20"/>
  <c r="E261" i="20"/>
  <c r="E260" i="20"/>
  <c r="E259" i="20"/>
  <c r="E258" i="20"/>
  <c r="E257" i="20"/>
  <c r="E256" i="20"/>
  <c r="E255" i="20"/>
  <c r="E254" i="20"/>
  <c r="E253" i="20"/>
  <c r="E252" i="20"/>
  <c r="E251" i="20"/>
  <c r="E250" i="20"/>
  <c r="E249" i="20"/>
  <c r="E248" i="20"/>
  <c r="E247" i="20"/>
  <c r="E246" i="20"/>
  <c r="E245" i="20"/>
  <c r="E244" i="20"/>
  <c r="E243" i="20"/>
  <c r="E242" i="20"/>
  <c r="E241" i="20"/>
  <c r="E240" i="20"/>
  <c r="E239" i="20"/>
  <c r="E238" i="20"/>
  <c r="E237" i="20"/>
  <c r="E236" i="20"/>
  <c r="E235" i="20"/>
  <c r="E234" i="20"/>
  <c r="E233" i="20"/>
  <c r="E232" i="20"/>
  <c r="E231" i="20"/>
  <c r="E230" i="20"/>
  <c r="E229" i="20"/>
  <c r="E228" i="20"/>
  <c r="E227" i="20"/>
  <c r="E226" i="20"/>
  <c r="E225" i="20"/>
  <c r="E224" i="20"/>
  <c r="E223" i="20"/>
  <c r="E222" i="20"/>
  <c r="E221" i="20"/>
  <c r="E220" i="20"/>
  <c r="E219" i="20"/>
  <c r="E218" i="20"/>
  <c r="E217" i="20"/>
  <c r="E216" i="20"/>
  <c r="E215" i="20"/>
  <c r="E214" i="20"/>
  <c r="E213" i="20"/>
  <c r="E212" i="20"/>
  <c r="E211" i="20"/>
  <c r="E210" i="20"/>
  <c r="E209" i="20"/>
  <c r="E208" i="20"/>
  <c r="E207" i="20"/>
  <c r="E206" i="20"/>
  <c r="E205" i="20"/>
  <c r="E204" i="20"/>
  <c r="E203" i="20"/>
  <c r="E202" i="20"/>
  <c r="E201" i="20"/>
  <c r="E200" i="20"/>
  <c r="E199" i="20"/>
  <c r="E198" i="20"/>
  <c r="E197" i="20"/>
  <c r="E196" i="20"/>
  <c r="E195" i="20"/>
  <c r="E194" i="20"/>
  <c r="E193" i="20"/>
  <c r="E192" i="20"/>
  <c r="E191" i="20"/>
  <c r="E190" i="20"/>
  <c r="E189" i="20"/>
  <c r="E188" i="20"/>
  <c r="E187" i="20"/>
  <c r="E186" i="20"/>
  <c r="E185" i="20"/>
  <c r="E184" i="20"/>
  <c r="E183" i="20"/>
  <c r="E182" i="20"/>
  <c r="E181" i="20"/>
  <c r="E180" i="20"/>
  <c r="E179" i="20"/>
  <c r="E178" i="20"/>
  <c r="E177" i="20"/>
  <c r="E176" i="20"/>
  <c r="E175" i="20"/>
  <c r="E174" i="20"/>
  <c r="E173" i="20"/>
  <c r="E172" i="20"/>
  <c r="E171" i="20"/>
  <c r="E170" i="20"/>
  <c r="E169" i="20"/>
  <c r="E168" i="20"/>
  <c r="E167" i="20"/>
  <c r="E166" i="20"/>
  <c r="E165" i="20"/>
  <c r="E164" i="20"/>
  <c r="E163" i="20"/>
  <c r="E162" i="20"/>
  <c r="E161" i="20"/>
  <c r="E160" i="20"/>
  <c r="E159" i="20"/>
  <c r="E158" i="20"/>
  <c r="E157" i="20"/>
  <c r="E156" i="20"/>
  <c r="E155" i="20"/>
  <c r="E154" i="20"/>
  <c r="E153" i="20"/>
  <c r="E152" i="20"/>
  <c r="E151" i="20"/>
  <c r="E150" i="20"/>
  <c r="E149" i="20"/>
  <c r="E148" i="20"/>
  <c r="E147" i="20"/>
  <c r="E146" i="20"/>
  <c r="E145" i="20"/>
  <c r="E144" i="20"/>
  <c r="E143" i="20"/>
  <c r="E142" i="20"/>
  <c r="E141" i="20"/>
  <c r="E140" i="20"/>
  <c r="E139" i="20"/>
  <c r="E138" i="20"/>
  <c r="E137" i="20"/>
  <c r="E136" i="20"/>
  <c r="E135" i="20"/>
  <c r="E134" i="20"/>
  <c r="E133" i="20"/>
  <c r="E132" i="20"/>
  <c r="E131" i="20"/>
  <c r="E130" i="20"/>
  <c r="E129" i="20"/>
  <c r="E128" i="20"/>
  <c r="E127" i="20"/>
  <c r="E126" i="20"/>
  <c r="E125" i="20"/>
  <c r="E124" i="20"/>
  <c r="E123" i="20"/>
  <c r="E122" i="20"/>
  <c r="E121" i="20"/>
  <c r="E120" i="20"/>
  <c r="E119" i="20"/>
  <c r="E118" i="20"/>
  <c r="E117" i="20"/>
  <c r="E116" i="20"/>
  <c r="E115" i="20"/>
  <c r="E114" i="20"/>
  <c r="E113" i="20"/>
  <c r="E112" i="20"/>
  <c r="E111" i="20"/>
  <c r="E110" i="20"/>
  <c r="E109" i="20"/>
  <c r="E108" i="20"/>
  <c r="E107" i="20"/>
  <c r="E106" i="20"/>
  <c r="E105" i="20"/>
  <c r="E104" i="20"/>
  <c r="E103" i="20"/>
  <c r="E102" i="20"/>
  <c r="E101" i="20"/>
  <c r="E100" i="20"/>
  <c r="E99" i="20"/>
  <c r="E98" i="20"/>
  <c r="E97" i="20"/>
  <c r="E96" i="20"/>
  <c r="E95" i="20"/>
  <c r="E94" i="20"/>
  <c r="E93" i="20"/>
  <c r="E92" i="20"/>
  <c r="E91" i="20"/>
  <c r="E90" i="20"/>
  <c r="E89" i="20"/>
  <c r="E88" i="20"/>
  <c r="E87" i="20"/>
  <c r="E86" i="20"/>
  <c r="E85" i="20"/>
  <c r="E84" i="20"/>
  <c r="E83" i="20"/>
  <c r="E82" i="20"/>
  <c r="E81" i="20"/>
  <c r="E80" i="20"/>
  <c r="E79" i="20"/>
  <c r="E78" i="20"/>
  <c r="E77" i="20"/>
  <c r="E76" i="20"/>
  <c r="E75" i="20"/>
  <c r="E74" i="20"/>
  <c r="E73" i="20"/>
  <c r="E72" i="20"/>
  <c r="E71" i="20"/>
  <c r="E70" i="20"/>
  <c r="E69" i="20"/>
  <c r="E68" i="20"/>
  <c r="E67" i="20"/>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0" i="20"/>
  <c r="E9" i="20"/>
  <c r="E8" i="20"/>
  <c r="E7" i="20"/>
  <c r="E6" i="20"/>
  <c r="E5" i="20"/>
  <c r="E4" i="20"/>
  <c r="E3" i="20"/>
  <c r="E2" i="20"/>
  <c r="M10" i="16"/>
  <c r="Z9" i="16"/>
  <c r="AK10" i="16"/>
  <c r="C160" i="17"/>
  <c r="C161" i="17"/>
  <c r="C162" i="17"/>
  <c r="C163" i="17"/>
  <c r="C164" i="17"/>
  <c r="C165" i="17"/>
  <c r="C166" i="17"/>
  <c r="C167" i="17"/>
  <c r="C168" i="17"/>
  <c r="AK2" i="16"/>
  <c r="AK12" i="16"/>
  <c r="AK11" i="16"/>
  <c r="AK3" i="16"/>
  <c r="AK4" i="16"/>
  <c r="AK5" i="16"/>
  <c r="AK6" i="16"/>
  <c r="AK7" i="16"/>
  <c r="AK8" i="16"/>
  <c r="AK9" i="16"/>
  <c r="AK13" i="16"/>
  <c r="AK14" i="16"/>
  <c r="AK15" i="16"/>
  <c r="AK16" i="16"/>
  <c r="AK17" i="16"/>
  <c r="AK18" i="16"/>
  <c r="AK19" i="16"/>
  <c r="AK20" i="16"/>
  <c r="AK21" i="16"/>
  <c r="Z5" i="16"/>
  <c r="P16" i="15"/>
  <c r="L7" i="15"/>
  <c r="P7" i="15"/>
  <c r="K15" i="15"/>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3" i="17"/>
  <c r="C4" i="17"/>
  <c r="C5" i="17"/>
  <c r="C6" i="17"/>
  <c r="C7" i="17"/>
  <c r="C8" i="17"/>
  <c r="C9" i="17"/>
  <c r="C10" i="17"/>
  <c r="C11" i="17"/>
  <c r="C12" i="17"/>
  <c r="C13" i="17"/>
  <c r="C14" i="17"/>
  <c r="C16" i="17"/>
  <c r="C17" i="17"/>
  <c r="C18" i="17"/>
  <c r="C19" i="17"/>
  <c r="C20" i="17"/>
  <c r="C21" i="17"/>
  <c r="C22" i="17"/>
  <c r="C23" i="17"/>
  <c r="C24" i="17"/>
  <c r="C25" i="17"/>
  <c r="C26" i="17"/>
  <c r="M4" i="16"/>
  <c r="M46" i="16"/>
  <c r="M47" i="16"/>
  <c r="M49" i="16"/>
  <c r="M72" i="16"/>
  <c r="M80" i="16"/>
  <c r="M84" i="16"/>
  <c r="M94" i="16"/>
  <c r="M95" i="16"/>
  <c r="M100" i="16"/>
  <c r="M101" i="16"/>
  <c r="M102" i="16"/>
  <c r="M103" i="16"/>
  <c r="M104" i="16"/>
  <c r="M105" i="16"/>
  <c r="M106" i="16"/>
  <c r="M107" i="16"/>
  <c r="M108" i="16"/>
  <c r="M109" i="16"/>
  <c r="M110" i="16"/>
  <c r="M111" i="16"/>
  <c r="M112" i="16"/>
  <c r="M151" i="16"/>
  <c r="M218" i="16"/>
  <c r="M219" i="16"/>
  <c r="M220" i="16"/>
  <c r="M221" i="16"/>
  <c r="M222" i="16"/>
  <c r="M223" i="16"/>
  <c r="M224" i="16"/>
  <c r="M248" i="16"/>
  <c r="M249" i="16"/>
  <c r="M250" i="16"/>
  <c r="M251" i="16"/>
  <c r="M252" i="16"/>
  <c r="M258" i="16"/>
  <c r="M259" i="16"/>
  <c r="M260" i="16"/>
  <c r="M261" i="16"/>
  <c r="M262" i="16"/>
  <c r="M263" i="16"/>
  <c r="M264" i="16"/>
  <c r="M265" i="16"/>
  <c r="M266" i="16"/>
  <c r="M267" i="16"/>
  <c r="M268" i="16"/>
  <c r="M269" i="16"/>
  <c r="M270" i="16"/>
  <c r="M271" i="16"/>
  <c r="M272" i="16"/>
  <c r="M12" i="16"/>
  <c r="M13" i="16"/>
  <c r="M14" i="16"/>
  <c r="M15" i="16"/>
  <c r="M16" i="16"/>
  <c r="M56" i="16"/>
  <c r="M57" i="16"/>
  <c r="M58" i="16"/>
  <c r="M59" i="16"/>
  <c r="M60" i="16"/>
  <c r="M61" i="16"/>
  <c r="M62" i="16"/>
  <c r="M63" i="16"/>
  <c r="M64" i="16"/>
  <c r="M65" i="16"/>
  <c r="M66" i="16"/>
  <c r="M67" i="16"/>
  <c r="M69" i="16"/>
  <c r="M70" i="16"/>
  <c r="M91" i="16"/>
  <c r="M92" i="16"/>
  <c r="M93" i="16"/>
  <c r="M113" i="16"/>
  <c r="M114" i="16"/>
  <c r="M115" i="16"/>
  <c r="M116" i="16"/>
  <c r="M147" i="16"/>
  <c r="M153" i="16"/>
  <c r="M156" i="16"/>
  <c r="M157" i="16"/>
  <c r="M158" i="16"/>
  <c r="M159" i="16"/>
  <c r="M160" i="16"/>
  <c r="M161" i="16"/>
  <c r="M162" i="16"/>
  <c r="M163" i="16"/>
  <c r="M164" i="16"/>
  <c r="M165" i="16"/>
  <c r="M166" i="16"/>
  <c r="M179" i="16"/>
  <c r="M180" i="16"/>
  <c r="M182" i="16"/>
  <c r="M183" i="16"/>
  <c r="M184" i="16"/>
  <c r="M185" i="16"/>
  <c r="M229" i="16"/>
  <c r="M230" i="16"/>
  <c r="M231" i="16"/>
  <c r="M232" i="16"/>
  <c r="M233" i="16"/>
  <c r="M234" i="16"/>
  <c r="M235" i="16"/>
  <c r="M236" i="16"/>
  <c r="M237" i="16"/>
  <c r="M238" i="16"/>
  <c r="M239" i="16"/>
  <c r="M240" i="16"/>
  <c r="M274" i="16"/>
  <c r="M48" i="16"/>
  <c r="M50" i="16"/>
  <c r="M51" i="16"/>
  <c r="M52" i="16"/>
  <c r="M53" i="16"/>
  <c r="M54" i="16"/>
  <c r="M55" i="16"/>
  <c r="M134" i="16"/>
  <c r="M135" i="16"/>
  <c r="M136" i="16"/>
  <c r="M137" i="16"/>
  <c r="M138" i="16"/>
  <c r="M139" i="16"/>
  <c r="M140" i="16"/>
  <c r="M141" i="16"/>
  <c r="M142" i="16"/>
  <c r="M143" i="16"/>
  <c r="M144" i="16"/>
  <c r="M241" i="16"/>
  <c r="M242" i="16"/>
  <c r="M243" i="16"/>
  <c r="M244" i="16"/>
  <c r="M245" i="16"/>
  <c r="M246" i="16"/>
  <c r="M188" i="16"/>
  <c r="M190" i="16"/>
  <c r="M191" i="16"/>
  <c r="M192" i="16"/>
  <c r="M193" i="16"/>
  <c r="M194" i="16"/>
  <c r="M195" i="16"/>
  <c r="M196" i="16"/>
  <c r="M197" i="16"/>
  <c r="M198" i="16"/>
  <c r="M199" i="16"/>
  <c r="M200" i="16"/>
  <c r="M201" i="16"/>
  <c r="M207" i="16"/>
  <c r="M86" i="16"/>
  <c r="M189" i="16"/>
  <c r="M208" i="16"/>
  <c r="M209" i="16"/>
  <c r="M210" i="16"/>
  <c r="M211" i="16"/>
  <c r="M212" i="16"/>
  <c r="M213" i="16"/>
  <c r="M5" i="16"/>
  <c r="M11" i="16"/>
  <c r="M28" i="16"/>
  <c r="M29" i="16"/>
  <c r="M30" i="16"/>
  <c r="M31" i="16"/>
  <c r="M32" i="16"/>
  <c r="M33" i="16"/>
  <c r="M34" i="16"/>
  <c r="M35" i="16"/>
  <c r="M36" i="16"/>
  <c r="M37" i="16"/>
  <c r="M38" i="16"/>
  <c r="M39" i="16"/>
  <c r="M44" i="16"/>
  <c r="M88" i="16"/>
  <c r="M89" i="16"/>
  <c r="M90" i="16"/>
  <c r="M96" i="16"/>
  <c r="M97" i="16"/>
  <c r="M98" i="16"/>
  <c r="M99" i="16"/>
  <c r="M117" i="16"/>
  <c r="M118" i="16"/>
  <c r="M119" i="16"/>
  <c r="M120" i="16"/>
  <c r="M123" i="16"/>
  <c r="M124" i="16"/>
  <c r="M125" i="16"/>
  <c r="M126" i="16"/>
  <c r="M127" i="16"/>
  <c r="M128" i="16"/>
  <c r="M129" i="16"/>
  <c r="M130" i="16"/>
  <c r="M131" i="16"/>
  <c r="M132" i="16"/>
  <c r="M133" i="16"/>
  <c r="M152" i="16"/>
  <c r="M154" i="16"/>
  <c r="M155" i="16"/>
  <c r="M214" i="16"/>
  <c r="M215" i="16"/>
  <c r="M216" i="16"/>
  <c r="M225" i="16"/>
  <c r="M226" i="16"/>
  <c r="M247" i="16"/>
  <c r="M253" i="16"/>
  <c r="M254" i="16"/>
  <c r="M255" i="16"/>
  <c r="M256" i="16"/>
  <c r="M257" i="16"/>
  <c r="M6" i="16"/>
  <c r="M7" i="16"/>
  <c r="M8" i="16"/>
  <c r="M9" i="16"/>
  <c r="M45" i="16"/>
  <c r="M68" i="16"/>
  <c r="M71" i="16"/>
  <c r="M148" i="16"/>
  <c r="M149" i="16"/>
  <c r="M177" i="16"/>
  <c r="M178" i="16"/>
  <c r="M181" i="16"/>
  <c r="M186" i="16"/>
  <c r="M187" i="16"/>
  <c r="M273" i="16"/>
  <c r="M74" i="16"/>
  <c r="M73" i="16"/>
  <c r="K73" i="15"/>
  <c r="K24" i="15"/>
  <c r="Q60" i="15"/>
  <c r="M18" i="16"/>
  <c r="Z2" i="16"/>
  <c r="Z4" i="16"/>
  <c r="Z3" i="16"/>
  <c r="M2" i="16"/>
  <c r="Z10" i="16"/>
  <c r="Z8" i="16"/>
  <c r="Z7" i="16"/>
  <c r="Z35" i="16"/>
  <c r="Z36" i="16"/>
  <c r="Z37" i="16"/>
  <c r="Z38" i="16"/>
  <c r="Z39" i="16"/>
  <c r="Z40" i="16"/>
  <c r="Z41" i="16"/>
  <c r="Z42" i="16"/>
  <c r="Z43" i="16"/>
  <c r="Z44" i="16"/>
  <c r="Z45" i="16"/>
  <c r="Z46" i="16"/>
  <c r="Z47" i="16"/>
  <c r="Z48" i="16"/>
  <c r="Z49" i="16"/>
  <c r="Z50" i="16"/>
  <c r="Z51" i="16"/>
  <c r="Z52" i="16"/>
  <c r="Z53" i="16"/>
  <c r="Z54" i="16"/>
  <c r="Z55" i="16"/>
  <c r="Z56" i="16"/>
  <c r="Z57" i="16"/>
  <c r="Z58" i="16"/>
  <c r="Z59" i="16"/>
  <c r="Z60" i="16"/>
  <c r="Z61" i="16"/>
  <c r="Z62" i="16"/>
  <c r="Z63" i="16"/>
  <c r="Z64" i="16"/>
  <c r="Z65" i="16"/>
  <c r="Z66" i="16"/>
  <c r="Z67" i="16"/>
  <c r="Z68" i="16"/>
  <c r="Z69" i="16"/>
  <c r="Z70" i="16"/>
  <c r="Z71" i="16"/>
  <c r="Z72" i="16"/>
  <c r="Z73" i="16"/>
  <c r="Z74" i="16"/>
  <c r="Z75" i="16"/>
  <c r="Z76" i="16"/>
  <c r="Z77" i="16"/>
  <c r="Z78" i="16"/>
  <c r="Z79" i="16"/>
  <c r="Z80" i="16"/>
  <c r="Z81" i="16"/>
  <c r="Z82" i="16"/>
  <c r="Z83" i="16"/>
  <c r="Z84" i="16"/>
  <c r="Z85" i="16"/>
  <c r="Z86" i="16"/>
  <c r="Z87" i="16"/>
  <c r="Z88" i="16"/>
  <c r="Z89" i="16"/>
  <c r="Z90" i="16"/>
  <c r="Z91" i="16"/>
  <c r="Z92" i="16"/>
  <c r="Z93" i="16"/>
  <c r="Z94" i="16"/>
  <c r="Z95" i="16"/>
  <c r="Z96" i="16"/>
  <c r="Z97" i="16"/>
  <c r="Z98" i="16"/>
  <c r="Z99" i="16"/>
  <c r="Z100" i="16"/>
  <c r="Z101" i="16"/>
  <c r="Z102" i="16"/>
  <c r="Z103" i="16"/>
  <c r="Z104" i="16"/>
  <c r="Z105" i="16"/>
  <c r="Z106" i="16"/>
  <c r="Z107" i="16"/>
  <c r="Z108" i="16"/>
  <c r="Z109" i="16"/>
  <c r="Z110" i="16"/>
  <c r="Z111" i="16"/>
  <c r="Z112" i="16"/>
  <c r="Z113" i="16"/>
  <c r="Z114" i="16"/>
  <c r="Z115" i="16"/>
  <c r="Z116" i="16"/>
  <c r="Z117" i="16"/>
  <c r="Z118" i="16"/>
  <c r="Z119" i="16"/>
  <c r="Z120" i="16"/>
  <c r="Z121" i="16"/>
  <c r="Z122" i="16"/>
  <c r="Z123" i="16"/>
  <c r="Z124" i="16"/>
  <c r="Z125" i="16"/>
  <c r="Z126" i="16"/>
  <c r="Z127" i="16"/>
  <c r="Z128" i="16"/>
  <c r="Z129" i="16"/>
  <c r="Z130" i="16"/>
  <c r="Z131" i="16"/>
  <c r="Z132" i="16"/>
  <c r="Z133" i="16"/>
  <c r="Z134" i="16"/>
  <c r="Z135" i="16"/>
  <c r="Z136" i="16"/>
  <c r="Z137" i="16"/>
  <c r="Z138" i="16"/>
  <c r="Z139" i="16"/>
  <c r="Z140" i="16"/>
  <c r="Z141" i="16"/>
  <c r="Z142" i="16"/>
  <c r="Z143" i="16"/>
  <c r="Z144" i="16"/>
  <c r="Z145" i="16"/>
  <c r="Z146" i="16"/>
  <c r="Z147" i="16"/>
  <c r="Z148" i="16"/>
  <c r="Z149" i="16"/>
  <c r="Z150" i="16"/>
  <c r="Z151" i="16"/>
  <c r="Z152" i="16"/>
  <c r="Z153" i="16"/>
  <c r="Z154" i="16"/>
  <c r="Z155" i="16"/>
  <c r="Z156" i="16"/>
  <c r="Z157" i="16"/>
  <c r="Z158" i="16"/>
  <c r="Z159" i="16"/>
  <c r="Z160" i="16"/>
  <c r="Z161" i="16"/>
  <c r="Z162" i="16"/>
  <c r="Z163" i="16"/>
  <c r="Z164" i="16"/>
  <c r="Z165" i="16"/>
  <c r="Z166" i="16"/>
  <c r="Z167" i="16"/>
  <c r="Z168" i="16"/>
  <c r="Z169" i="16"/>
  <c r="Z170" i="16"/>
  <c r="Z171" i="16"/>
  <c r="Z172" i="16"/>
  <c r="Z173" i="16"/>
  <c r="Z174" i="16"/>
  <c r="Z175" i="16"/>
  <c r="Z176" i="16"/>
  <c r="Z177" i="16"/>
  <c r="Z178" i="16"/>
  <c r="Z179" i="16"/>
  <c r="Z180" i="16"/>
  <c r="Z181" i="16"/>
  <c r="Z182" i="16"/>
  <c r="Z183" i="16"/>
  <c r="Z184" i="16"/>
  <c r="Z185" i="16"/>
  <c r="Z186" i="16"/>
  <c r="Z187" i="16"/>
  <c r="Z188" i="16"/>
  <c r="Z189" i="16"/>
  <c r="Z190" i="16"/>
  <c r="Z191" i="16"/>
  <c r="Z192" i="16"/>
  <c r="Z193" i="16"/>
  <c r="Z194" i="16"/>
  <c r="Z17" i="16"/>
  <c r="Z18" i="16"/>
  <c r="Z19" i="16"/>
  <c r="Z20" i="16"/>
  <c r="Z21" i="16"/>
  <c r="Z22" i="16"/>
  <c r="Z23" i="16"/>
  <c r="Z24" i="16"/>
  <c r="Z25" i="16"/>
  <c r="Z26" i="16"/>
  <c r="Z27" i="16"/>
  <c r="Z28" i="16"/>
  <c r="Z29" i="16"/>
  <c r="Z30" i="16"/>
  <c r="Z31" i="16"/>
  <c r="Z32" i="16"/>
  <c r="Z33" i="16"/>
  <c r="Z34" i="16"/>
  <c r="Z6" i="16"/>
  <c r="Z11" i="16"/>
  <c r="Z12" i="16"/>
  <c r="Z13" i="16"/>
  <c r="Z14" i="16"/>
  <c r="Z15" i="16"/>
  <c r="Z16" i="16"/>
  <c r="P52" i="15"/>
  <c r="M3" i="16"/>
  <c r="M19" i="16"/>
  <c r="M20" i="16"/>
  <c r="M21" i="16"/>
  <c r="M22" i="16"/>
  <c r="M23" i="16"/>
  <c r="M24" i="16"/>
  <c r="M25" i="16"/>
  <c r="M26" i="16"/>
  <c r="M40" i="16"/>
  <c r="M75" i="16"/>
  <c r="M76" i="16"/>
  <c r="M77" i="16"/>
  <c r="M78" i="16"/>
  <c r="M79" i="16"/>
  <c r="M81" i="16"/>
  <c r="M82" i="16"/>
  <c r="M83" i="16"/>
  <c r="M87" i="16"/>
  <c r="M121" i="16"/>
  <c r="M122" i="16"/>
  <c r="M167" i="16"/>
  <c r="M168" i="16"/>
  <c r="M169" i="16"/>
  <c r="M170" i="16"/>
  <c r="M171" i="16"/>
  <c r="M172" i="16"/>
  <c r="M173" i="16"/>
  <c r="M174" i="16"/>
  <c r="M175" i="16"/>
  <c r="M202" i="16"/>
  <c r="M203" i="16"/>
  <c r="M204" i="16"/>
  <c r="M205" i="16"/>
  <c r="M206" i="16"/>
  <c r="M217" i="16"/>
  <c r="M227" i="16"/>
  <c r="M228" i="16"/>
  <c r="M17" i="16"/>
  <c r="M27" i="16"/>
  <c r="M85" i="16"/>
  <c r="M145" i="16"/>
  <c r="M146" i="16"/>
  <c r="M176" i="16"/>
  <c r="M41" i="16"/>
  <c r="M42" i="16"/>
  <c r="M43" i="16"/>
  <c r="M150" i="16"/>
  <c r="K37" i="15"/>
  <c r="K74" i="15"/>
  <c r="K62" i="15"/>
  <c r="K57" i="15"/>
  <c r="Q51" i="15"/>
  <c r="K51" i="15" s="1"/>
  <c r="K46" i="15"/>
  <c r="K41" i="15"/>
  <c r="Q26" i="15"/>
  <c r="K26" i="15" s="1"/>
  <c r="Q27" i="15"/>
  <c r="K25" i="15"/>
  <c r="K18" i="15"/>
  <c r="K19" i="15"/>
  <c r="K38" i="15"/>
  <c r="K64" i="15"/>
  <c r="K67" i="15"/>
  <c r="P72" i="15" l="1"/>
  <c r="K72" i="15" s="1"/>
  <c r="O72" i="15"/>
  <c r="P71" i="15"/>
  <c r="L71" i="15"/>
  <c r="P70" i="15"/>
  <c r="K70" i="15" s="1"/>
  <c r="O70" i="15"/>
  <c r="P69" i="15"/>
  <c r="O69" i="15"/>
  <c r="N69" i="15"/>
  <c r="P68" i="15"/>
  <c r="K68" i="15" s="1"/>
  <c r="O68" i="15"/>
  <c r="P66" i="15"/>
  <c r="O66" i="15"/>
  <c r="O65" i="15"/>
  <c r="P63" i="15"/>
  <c r="K63" i="15" s="1"/>
  <c r="O63" i="15"/>
  <c r="P61" i="15"/>
  <c r="K61" i="15" s="1"/>
  <c r="O61" i="15"/>
  <c r="P60" i="15"/>
  <c r="N60" i="15"/>
  <c r="L60" i="15"/>
  <c r="P59" i="15"/>
  <c r="L59" i="15"/>
  <c r="P58" i="15"/>
  <c r="P56" i="15"/>
  <c r="O56" i="15"/>
  <c r="N56" i="15"/>
  <c r="P55" i="15"/>
  <c r="O55" i="15"/>
  <c r="P54" i="15"/>
  <c r="K54" i="15" s="1"/>
  <c r="O54" i="15"/>
  <c r="M54" i="15"/>
  <c r="P53" i="15"/>
  <c r="K53" i="15" s="1"/>
  <c r="O53" i="15"/>
  <c r="L52" i="15"/>
  <c r="K52" i="15" s="1"/>
  <c r="O50" i="15"/>
  <c r="N50" i="15"/>
  <c r="L50" i="15"/>
  <c r="P49" i="15"/>
  <c r="O49" i="15"/>
  <c r="N49" i="15"/>
  <c r="P48" i="15"/>
  <c r="K48" i="15" s="1"/>
  <c r="O48" i="15"/>
  <c r="O47" i="15"/>
  <c r="N47" i="15"/>
  <c r="L47" i="15"/>
  <c r="P45" i="15"/>
  <c r="O45" i="15"/>
  <c r="N45" i="15"/>
  <c r="O44" i="15"/>
  <c r="P43" i="15"/>
  <c r="L43" i="15"/>
  <c r="P42" i="15"/>
  <c r="O42" i="15"/>
  <c r="N42" i="15"/>
  <c r="L42" i="15"/>
  <c r="P40" i="15"/>
  <c r="O40" i="15"/>
  <c r="N40" i="15"/>
  <c r="P39" i="15"/>
  <c r="O39" i="15"/>
  <c r="K36" i="15"/>
  <c r="O36" i="15"/>
  <c r="N36" i="15"/>
  <c r="P35" i="15"/>
  <c r="K35" i="15" s="1"/>
  <c r="O35" i="15"/>
  <c r="N35" i="15"/>
  <c r="P34" i="15"/>
  <c r="K34" i="15" s="1"/>
  <c r="O34" i="15"/>
  <c r="P33" i="15"/>
  <c r="K33" i="15" s="1"/>
  <c r="O33" i="15"/>
  <c r="N33" i="15"/>
  <c r="P32" i="15"/>
  <c r="O32" i="15"/>
  <c r="P31" i="15"/>
  <c r="O31" i="15"/>
  <c r="L31" i="15"/>
  <c r="P30" i="15"/>
  <c r="K30" i="15" s="1"/>
  <c r="N30" i="15"/>
  <c r="P29" i="15"/>
  <c r="O29" i="15"/>
  <c r="L29" i="15"/>
  <c r="K29" i="15" s="1"/>
  <c r="P28" i="15"/>
  <c r="O28" i="15"/>
  <c r="N28" i="15"/>
  <c r="P23" i="15"/>
  <c r="O23" i="15"/>
  <c r="N23" i="15"/>
  <c r="P22" i="15"/>
  <c r="O22" i="15"/>
  <c r="N22" i="15"/>
  <c r="P21" i="15"/>
  <c r="K21" i="15" s="1"/>
  <c r="N21" i="15"/>
  <c r="P20" i="15"/>
  <c r="O20" i="15"/>
  <c r="L20" i="15"/>
  <c r="P17" i="15"/>
  <c r="O17" i="15"/>
  <c r="Q16" i="15"/>
  <c r="O16" i="15"/>
  <c r="N16" i="15"/>
  <c r="P14" i="15"/>
  <c r="K14" i="15" s="1"/>
  <c r="O14" i="15"/>
  <c r="P13" i="15"/>
  <c r="P12" i="15"/>
  <c r="L12" i="15"/>
  <c r="P11" i="15"/>
  <c r="L11" i="15"/>
  <c r="M10" i="15"/>
  <c r="K10" i="15"/>
  <c r="P9" i="15"/>
  <c r="K9" i="15" s="1"/>
  <c r="N9" i="15"/>
  <c r="M9" i="15"/>
  <c r="AA8" i="15"/>
  <c r="Z8" i="15"/>
  <c r="P8" i="15"/>
  <c r="K8" i="15" s="1"/>
  <c r="N8" i="15"/>
  <c r="P6" i="15"/>
  <c r="O6" i="15"/>
  <c r="N6" i="15"/>
  <c r="L6" i="15"/>
  <c r="P5" i="15"/>
  <c r="K5" i="15" s="1"/>
  <c r="N5" i="15"/>
  <c r="P4" i="15"/>
  <c r="O4" i="15"/>
  <c r="L4" i="15"/>
  <c r="P3" i="15"/>
  <c r="O3" i="15"/>
  <c r="N3" i="15"/>
  <c r="P2" i="15"/>
  <c r="N2" i="15"/>
  <c r="M36" i="15" l="1"/>
  <c r="K50" i="15"/>
  <c r="K22" i="15"/>
  <c r="K16" i="15"/>
  <c r="M30" i="15"/>
  <c r="M14" i="15"/>
  <c r="M34" i="15"/>
  <c r="M63" i="15"/>
  <c r="K31" i="15"/>
  <c r="M5" i="15"/>
  <c r="M42" i="15"/>
  <c r="K42" i="15"/>
  <c r="M47" i="15"/>
  <c r="K47" i="15"/>
  <c r="M55" i="15"/>
  <c r="K55" i="15"/>
  <c r="M44" i="15"/>
  <c r="K44" i="15"/>
  <c r="M7" i="15"/>
  <c r="K17" i="15"/>
  <c r="M52" i="15"/>
  <c r="M61" i="15"/>
  <c r="M28" i="15"/>
  <c r="K28" i="15"/>
  <c r="M6" i="15"/>
  <c r="K6" i="15"/>
  <c r="M35" i="15"/>
  <c r="M40" i="15"/>
  <c r="K40" i="15"/>
  <c r="M11" i="15"/>
  <c r="K11" i="15"/>
  <c r="M60" i="15"/>
  <c r="K60" i="15"/>
  <c r="M4" i="15"/>
  <c r="K4" i="15"/>
  <c r="M39" i="15"/>
  <c r="M71" i="15"/>
  <c r="K71" i="15"/>
  <c r="M3" i="15"/>
  <c r="M16" i="15"/>
  <c r="M58" i="15"/>
  <c r="K58" i="15"/>
  <c r="M49" i="15"/>
  <c r="K49" i="15"/>
  <c r="M12" i="15"/>
  <c r="K12" i="15"/>
  <c r="M66" i="15"/>
  <c r="K66" i="15"/>
  <c r="M13" i="15"/>
  <c r="K13" i="15"/>
  <c r="M43" i="15"/>
  <c r="K43" i="15"/>
  <c r="M20" i="15"/>
  <c r="K20" i="15"/>
  <c r="M23" i="15"/>
  <c r="K23" i="15"/>
  <c r="M32" i="15"/>
  <c r="K32" i="15"/>
  <c r="K45" i="15"/>
  <c r="M59" i="15"/>
  <c r="K59" i="15"/>
  <c r="M65" i="15"/>
  <c r="K65" i="15"/>
  <c r="K69" i="15"/>
  <c r="M68" i="15"/>
  <c r="M69" i="15"/>
  <c r="M72" i="15"/>
  <c r="M31" i="15"/>
  <c r="M56" i="15"/>
  <c r="M22" i="15"/>
  <c r="M53" i="15"/>
  <c r="M70" i="15"/>
  <c r="M50" i="15"/>
  <c r="M8" i="15"/>
  <c r="M21" i="15"/>
  <c r="M48" i="15"/>
  <c r="M29" i="15"/>
  <c r="M33" i="15"/>
  <c r="K2" i="15" l="1"/>
  <c r="M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George Glen</author>
    <author>George Glen</author>
  </authors>
  <commentList>
    <comment ref="B1" authorId="0" shapeId="0" xr:uid="{C416C93D-9151-0547-88EB-D44576BA9925}">
      <text>
        <r>
          <rPr>
            <b/>
            <sz val="10"/>
            <color rgb="FF000000"/>
            <rFont val="Tahoma"/>
            <family val="2"/>
          </rPr>
          <t>Constantin George Glen:</t>
        </r>
        <r>
          <rPr>
            <sz val="10"/>
            <color rgb="FF000000"/>
            <rFont val="Tahoma"/>
            <family val="2"/>
          </rPr>
          <t xml:space="preserve">
</t>
        </r>
        <r>
          <rPr>
            <sz val="10"/>
            <color rgb="FF000000"/>
            <rFont val="Tahoma"/>
            <family val="2"/>
          </rPr>
          <t>Green: data double checked and everything seems correct (and is as best extimated as possible)</t>
        </r>
      </text>
    </comment>
    <comment ref="C1" authorId="0" shapeId="0" xr:uid="{98B511DA-59D7-694C-AA4D-AEED0B5EC22C}">
      <text>
        <r>
          <rPr>
            <b/>
            <sz val="10"/>
            <color rgb="FF000000"/>
            <rFont val="Calibri"/>
            <family val="34"/>
          </rPr>
          <t xml:space="preserve">Constantin George Glen:
</t>
        </r>
        <r>
          <rPr>
            <sz val="10"/>
            <color rgb="FF000000"/>
            <rFont val="Calibri"/>
            <family val="34"/>
          </rPr>
          <t xml:space="preserve">
</t>
        </r>
        <r>
          <rPr>
            <b/>
            <sz val="10"/>
            <color rgb="FF000000"/>
            <rFont val="Calibri"/>
            <family val="34"/>
          </rPr>
          <t># BODY MASS</t>
        </r>
        <r>
          <rPr>
            <sz val="10"/>
            <color rgb="FF000000"/>
            <rFont val="Calibri"/>
            <family val="34"/>
          </rPr>
          <t xml:space="preserve">
</t>
        </r>
        <r>
          <rPr>
            <sz val="10"/>
            <color rgb="FF000000"/>
            <rFont val="Calibri"/>
            <family val="34"/>
          </rPr>
          <t xml:space="preserve">Captive - based on actual measured body masses in ZIMS data (do not edit)
</t>
        </r>
        <r>
          <rPr>
            <sz val="10"/>
            <color rgb="FF000000"/>
            <rFont val="Calibri"/>
            <family val="34"/>
          </rPr>
          <t xml:space="preserve">Wild      - based on published work
</t>
        </r>
        <r>
          <rPr>
            <sz val="10"/>
            <color rgb="FF000000"/>
            <rFont val="Calibri"/>
            <family val="34"/>
          </rPr>
          <t xml:space="preserve">
</t>
        </r>
        <r>
          <rPr>
            <b/>
            <sz val="10"/>
            <color rgb="FF000000"/>
            <rFont val="Calibri"/>
            <family val="34"/>
          </rPr>
          <t># REPRODUCTIVE DATA (EGG MASS, CF, and CS)</t>
        </r>
        <r>
          <rPr>
            <sz val="10"/>
            <color rgb="FF000000"/>
            <rFont val="Calibri"/>
            <family val="34"/>
          </rPr>
          <t xml:space="preserve">
</t>
        </r>
        <r>
          <rPr>
            <sz val="10"/>
            <color rgb="FF000000"/>
            <rFont val="Calibri"/>
            <family val="34"/>
          </rPr>
          <t xml:space="preserve">Based on published work (located by region for wild turtles)
</t>
        </r>
      </text>
    </comment>
    <comment ref="L1" authorId="1" shapeId="0" xr:uid="{EE4534FD-F42D-084B-8CAE-0E8040AA01D6}">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S1" authorId="1" shapeId="0" xr:uid="{24304DD4-BC71-D248-B5F1-1CE58D4CABBC}">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T1" authorId="1" shapeId="0" xr:uid="{42DE3239-26C0-8947-9278-F7604DBD55BA}">
      <text>
        <r>
          <rPr>
            <b/>
            <sz val="10"/>
            <color rgb="FF000000"/>
            <rFont val="Tahoma"/>
            <family val="2"/>
          </rPr>
          <t>George Glen:</t>
        </r>
        <r>
          <rPr>
            <sz val="10"/>
            <color rgb="FF000000"/>
            <rFont val="Tahoma"/>
            <family val="2"/>
          </rPr>
          <t xml:space="preserve">
</t>
        </r>
        <r>
          <rPr>
            <sz val="10"/>
            <color rgb="FF000000"/>
            <rFont val="Tahoma"/>
            <family val="2"/>
          </rPr>
          <t xml:space="preserve">
</t>
        </r>
        <r>
          <rPr>
            <sz val="10"/>
            <color rgb="FF000000"/>
            <rFont val="Tahoma"/>
            <family val="2"/>
          </rPr>
          <t xml:space="preserve">Reinke et al 2022: 
</t>
        </r>
        <r>
          <rPr>
            <sz val="10"/>
            <color rgb="FF000000"/>
            <rFont val="Tahoma"/>
            <family val="2"/>
          </rPr>
          <t xml:space="preserve">- computed as sum(Ages+0.05)*Mortality at age after first reproducing
</t>
        </r>
        <r>
          <rPr>
            <sz val="10"/>
            <color rgb="FF000000"/>
            <rFont val="Tahoma"/>
            <family val="2"/>
          </rPr>
          <t xml:space="preserve">
</t>
        </r>
        <r>
          <rPr>
            <sz val="10"/>
            <color rgb="FF000000"/>
            <rFont val="Tahoma"/>
            <family val="2"/>
          </rPr>
          <t xml:space="preserve">da Silva 2022: 
</t>
        </r>
        <r>
          <rPr>
            <sz val="10"/>
            <color rgb="FF000000"/>
            <rFont val="Tahoma"/>
            <family val="2"/>
          </rPr>
          <t xml:space="preserve">- computed as integral from </t>
        </r>
        <r>
          <rPr>
            <sz val="10"/>
            <color rgb="FF000000"/>
            <rFont val="Calibri"/>
            <family val="2"/>
          </rPr>
          <t xml:space="preserve">age at first reproducion to infinity of S(x) dx/ (S(a))
</t>
        </r>
        <r>
          <rPr>
            <sz val="10"/>
            <color rgb="FF000000"/>
            <rFont val="Calibri"/>
            <family val="2"/>
          </rPr>
          <t xml:space="preserve">
</t>
        </r>
      </text>
    </comment>
    <comment ref="X1" authorId="1" shapeId="0" xr:uid="{0A0B2FD2-DBE8-D944-99E9-9ED08120F369}">
      <text>
        <r>
          <rPr>
            <b/>
            <sz val="12"/>
            <color rgb="FF000000"/>
            <rFont val="Calibri"/>
            <family val="34"/>
          </rPr>
          <t>George Glen:</t>
        </r>
        <r>
          <rPr>
            <sz val="12"/>
            <color rgb="FF000000"/>
            <rFont val="Calibri"/>
            <family val="34"/>
          </rPr>
          <t xml:space="preserve">
</t>
        </r>
        <r>
          <rPr>
            <sz val="12"/>
            <color rgb="FF000000"/>
            <rFont val="Calibri"/>
            <family val="34"/>
          </rPr>
          <t xml:space="preserve">
</t>
        </r>
        <r>
          <rPr>
            <sz val="12"/>
            <color rgb="FF000000"/>
            <rFont val="Calibri"/>
            <family val="34"/>
          </rPr>
          <t xml:space="preserve">Reinke et al 2022: 
</t>
        </r>
        <r>
          <rPr>
            <sz val="12"/>
            <color rgb="FF000000"/>
            <rFont val="Calibri"/>
            <family val="34"/>
          </rPr>
          <t xml:space="preserve">-  b_1 in gompertz model: The rate of aging is the mortality slope derived from a Gompertz model 
</t>
        </r>
        <r>
          <rPr>
            <sz val="12"/>
            <color rgb="FF000000"/>
            <rFont val="Calibri"/>
            <family val="34"/>
          </rPr>
          <t xml:space="preserve">
</t>
        </r>
        <r>
          <rPr>
            <sz val="12"/>
            <color rgb="FF000000"/>
            <rFont val="Calibri"/>
            <family val="34"/>
          </rPr>
          <t xml:space="preserve">
</t>
        </r>
        <r>
          <rPr>
            <sz val="12"/>
            <color rgb="FF000000"/>
            <rFont val="Calibri"/>
            <family val="34"/>
          </rPr>
          <t xml:space="preserve">da Silva 2022: 
</t>
        </r>
        <r>
          <rPr>
            <sz val="12"/>
            <color rgb="FF000000"/>
            <rFont val="Calibri"/>
            <family val="34"/>
          </rPr>
          <t xml:space="preserve">- </t>
        </r>
      </text>
    </comment>
    <comment ref="Q6" authorId="0" shapeId="0" xr:uid="{F7C6F089-CE24-EB4B-897B-964DFF2C9BF7}">
      <text>
        <r>
          <rPr>
            <b/>
            <sz val="10"/>
            <color rgb="FF000000"/>
            <rFont val="Tahoma"/>
            <family val="2"/>
          </rPr>
          <t>Constantin George Glen:</t>
        </r>
        <r>
          <rPr>
            <sz val="10"/>
            <color rgb="FF000000"/>
            <rFont val="Tahoma"/>
            <family val="2"/>
          </rPr>
          <t xml:space="preserve">
</t>
        </r>
        <r>
          <rPr>
            <sz val="10"/>
            <color rgb="FF000000"/>
            <rFont val="Tahoma"/>
            <family val="2"/>
          </rPr>
          <t xml:space="preserve">
</t>
        </r>
        <r>
          <rPr>
            <sz val="10"/>
            <color rgb="FF000000"/>
            <rFont val="Tahoma"/>
            <family val="2"/>
          </rPr>
          <t xml:space="preserve">value from ZIMS but see </t>
        </r>
        <r>
          <rPr>
            <sz val="10"/>
            <color rgb="FF000000"/>
            <rFont val="Calibri"/>
            <family val="2"/>
          </rPr>
          <t>Roe, J., 2007. </t>
        </r>
        <r>
          <rPr>
            <i/>
            <sz val="10"/>
            <color rgb="FF000000"/>
            <rFont val="Calibri"/>
            <family val="2"/>
          </rPr>
          <t>The Terrestrial Ecology of a Freshwater Turtle, Chelodina Longicollis, in Booderee National Park, Australia</t>
        </r>
        <r>
          <rPr>
            <sz val="10"/>
            <color rgb="FF000000"/>
            <rFont val="Calibri"/>
            <family val="2"/>
          </rPr>
          <t>. University of Canberra for similar measurements</t>
        </r>
      </text>
    </comment>
    <comment ref="L14" authorId="0" shapeId="0" xr:uid="{EFC6C083-B00F-0C4A-92BA-391AFD79787C}">
      <text>
        <r>
          <rPr>
            <b/>
            <sz val="10"/>
            <color rgb="FF000000"/>
            <rFont val="Tahoma"/>
            <family val="2"/>
          </rPr>
          <t>Constantin George Glen:</t>
        </r>
        <r>
          <rPr>
            <sz val="10"/>
            <color rgb="FF000000"/>
            <rFont val="Tahoma"/>
            <family val="2"/>
          </rPr>
          <t xml:space="preserve">
</t>
        </r>
        <r>
          <rPr>
            <sz val="10"/>
            <color rgb="FF000000"/>
            <rFont val="Tahoma"/>
            <family val="2"/>
          </rPr>
          <t>Average for North America (see pp126 in Ernest and Lovich 2009).</t>
        </r>
      </text>
    </comment>
    <comment ref="L15" authorId="0" shapeId="0" xr:uid="{4C50E1F2-DD9F-994F-ADC6-D3371C609515}">
      <text>
        <r>
          <rPr>
            <b/>
            <sz val="10"/>
            <color rgb="FF000000"/>
            <rFont val="Tahoma"/>
            <family val="2"/>
          </rPr>
          <t>Constantin George Glen:</t>
        </r>
        <r>
          <rPr>
            <sz val="10"/>
            <color rgb="FF000000"/>
            <rFont val="Tahoma"/>
            <family val="2"/>
          </rPr>
          <t xml:space="preserve">
</t>
        </r>
        <r>
          <rPr>
            <sz val="10"/>
            <color rgb="FF000000"/>
            <rFont val="Tahoma"/>
            <family val="2"/>
          </rPr>
          <t xml:space="preserve">based on the fact that clutch size increases with latitude (Ernest and Lovich 2009 pp 126). Estimate based on turtles in Florida. </t>
        </r>
      </text>
    </comment>
    <comment ref="Q16" authorId="0" shapeId="0" xr:uid="{71FD8007-7857-034F-ACD5-EFBC74F7667A}">
      <text>
        <r>
          <rPr>
            <b/>
            <sz val="10"/>
            <color rgb="FF000000"/>
            <rFont val="Tahoma"/>
            <family val="2"/>
          </rPr>
          <t>Constantin George Glen:</t>
        </r>
        <r>
          <rPr>
            <sz val="10"/>
            <color rgb="FF000000"/>
            <rFont val="Tahoma"/>
            <family val="2"/>
          </rPr>
          <t xml:space="preserve">
</t>
        </r>
        <r>
          <rPr>
            <sz val="10"/>
            <color rgb="FF000000"/>
            <rFont val="Calibri"/>
            <family val="2"/>
          </rPr>
          <t xml:space="preserve">Was NA; source: Allen 2017, https://doi.org/10.1111/ele.12728
</t>
        </r>
      </text>
    </comment>
    <comment ref="Q25" authorId="0" shapeId="0" xr:uid="{AE6C1474-404A-6641-9E57-7FC501E16F9F}">
      <text>
        <r>
          <rPr>
            <b/>
            <sz val="10"/>
            <color rgb="FF000000"/>
            <rFont val="Tahoma"/>
            <family val="2"/>
          </rPr>
          <t>Constantin George Glen:</t>
        </r>
        <r>
          <rPr>
            <sz val="10"/>
            <color rgb="FF000000"/>
            <rFont val="Tahoma"/>
            <family val="2"/>
          </rPr>
          <t xml:space="preserve">
</t>
        </r>
        <r>
          <rPr>
            <sz val="10"/>
            <color rgb="FF000000"/>
            <rFont val="Tahoma"/>
            <family val="2"/>
          </rPr>
          <t xml:space="preserve">Measurement from study in da Silva et al 2022? aligns with mass measurement from </t>
        </r>
        <r>
          <rPr>
            <sz val="10"/>
            <color rgb="FF000000"/>
            <rFont val="Calibri"/>
            <family val="2"/>
          </rPr>
          <t>Bayrakcı, Y., Ayaz, D. and Çiçek, K., 2015. Data on the population of syntopic turtles Emys orbicularis (L., 1758) and Mauremys rivulata (Valenciennes, 1883) from Great Menderes Delta (western Anatolia, Turkey). </t>
        </r>
        <r>
          <rPr>
            <i/>
            <sz val="10"/>
            <color rgb="FF000000"/>
            <rFont val="Calibri"/>
            <family val="2"/>
          </rPr>
          <t>Russian Journal of Herpetology</t>
        </r>
        <r>
          <rPr>
            <sz val="10"/>
            <color rgb="FF000000"/>
            <rFont val="Calibri"/>
            <family val="2"/>
          </rPr>
          <t>, </t>
        </r>
        <r>
          <rPr>
            <i/>
            <sz val="10"/>
            <color rgb="FF000000"/>
            <rFont val="Calibri"/>
            <family val="2"/>
          </rPr>
          <t>22</t>
        </r>
        <r>
          <rPr>
            <sz val="10"/>
            <color rgb="FF000000"/>
            <rFont val="Calibri"/>
            <family val="2"/>
          </rPr>
          <t>(2), pp.79-83.</t>
        </r>
      </text>
    </comment>
    <comment ref="Q26" authorId="0" shapeId="0" xr:uid="{4BF2BCE0-DEAF-C948-8D25-35CECEA1C53E}">
      <text>
        <r>
          <rPr>
            <b/>
            <sz val="10"/>
            <color rgb="FF000000"/>
            <rFont val="Tahoma"/>
            <family val="2"/>
          </rPr>
          <t>Constantin George Glen:</t>
        </r>
        <r>
          <rPr>
            <sz val="10"/>
            <color rgb="FF000000"/>
            <rFont val="Tahoma"/>
            <family val="2"/>
          </rPr>
          <t xml:space="preserve">
</t>
        </r>
        <r>
          <rPr>
            <sz val="10"/>
            <color rgb="FF000000"/>
            <rFont val="Tahoma"/>
            <family val="2"/>
          </rPr>
          <t>data in Reinke et al 2022 and cannot be found in Allen et al 2017 so assumed that these values represent mass for females at these sites in france</t>
        </r>
      </text>
    </comment>
    <comment ref="Q27" authorId="0" shapeId="0" xr:uid="{11F225FA-EEFD-D64C-AA56-72C262801534}">
      <text>
        <r>
          <rPr>
            <b/>
            <sz val="10"/>
            <color rgb="FF000000"/>
            <rFont val="Tahoma"/>
            <family val="2"/>
          </rPr>
          <t>Constantin George Glen:</t>
        </r>
        <r>
          <rPr>
            <sz val="10"/>
            <color rgb="FF000000"/>
            <rFont val="Tahoma"/>
            <family val="2"/>
          </rPr>
          <t xml:space="preserve">
</t>
        </r>
        <r>
          <rPr>
            <sz val="10"/>
            <color rgb="FF000000"/>
            <rFont val="Calibri"/>
            <family val="2"/>
          </rPr>
          <t xml:space="preserve">data in Reinke et al 2022 and cannot be found in Allen et al 2017 so assumed that these values represent mass for females at these sites in france
</t>
        </r>
      </text>
    </comment>
    <comment ref="B31" authorId="1" shapeId="0" xr:uid="{FFEBDE91-021E-4343-8F9C-A49F8B22BF37}">
      <text>
        <r>
          <rPr>
            <b/>
            <sz val="10"/>
            <color rgb="FF000000"/>
            <rFont val="Tahoma"/>
            <family val="2"/>
          </rPr>
          <t xml:space="preserve">George Glen:
</t>
        </r>
        <r>
          <rPr>
            <sz val="10"/>
            <color rgb="FF000000"/>
            <rFont val="Tahoma"/>
            <family val="2"/>
          </rPr>
          <t xml:space="preserve">Also named </t>
        </r>
        <r>
          <rPr>
            <i/>
            <sz val="10"/>
            <color rgb="FF000000"/>
            <rFont val="Calibri"/>
            <family val="2"/>
          </rPr>
          <t>Clemmys insculpta (Wood turtle)</t>
        </r>
      </text>
    </comment>
    <comment ref="B32" authorId="1" shapeId="0" xr:uid="{A72E3ED7-B379-6849-8DB3-112C42C73C05}">
      <text>
        <r>
          <rPr>
            <b/>
            <sz val="10"/>
            <color rgb="FF000000"/>
            <rFont val="Tahoma"/>
            <family val="2"/>
          </rPr>
          <t>George Glen:</t>
        </r>
        <r>
          <rPr>
            <sz val="10"/>
            <color rgb="FF000000"/>
            <rFont val="Tahoma"/>
            <family val="2"/>
          </rPr>
          <t xml:space="preserve">
</t>
        </r>
        <r>
          <rPr>
            <sz val="10"/>
            <color rgb="FF000000"/>
            <rFont val="Tahoma"/>
            <family val="2"/>
          </rPr>
          <t>Also know as Clemmys muhlenbergii (bog turtle)</t>
        </r>
      </text>
    </comment>
    <comment ref="H36" authorId="0" shapeId="0" xr:uid="{A51C6E33-E5B9-F444-B5A6-7FE62CF3AC58}">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Q36" authorId="0" shapeId="0" xr:uid="{8CFF434B-75AA-2948-967E-B37C10CD25A9}">
      <text>
        <r>
          <rPr>
            <b/>
            <sz val="10"/>
            <color rgb="FF000000"/>
            <rFont val="Tahoma"/>
            <family val="2"/>
          </rPr>
          <t>Constantin George Glen:</t>
        </r>
        <r>
          <rPr>
            <sz val="10"/>
            <color rgb="FF000000"/>
            <rFont val="Tahoma"/>
            <family val="2"/>
          </rPr>
          <t xml:space="preserve">
</t>
        </r>
        <r>
          <rPr>
            <sz val="10"/>
            <color rgb="FF000000"/>
            <rFont val="Tahoma"/>
            <family val="2"/>
          </rPr>
          <t>da Silva reported mass of 0.577508242. Changes to 1135 based on Jones 1996.</t>
        </r>
      </text>
    </comment>
    <comment ref="H37" authorId="0" shapeId="0" xr:uid="{E864337F-1D08-3344-9F5B-08A1A979D4CC}">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Q37" authorId="0" shapeId="0" xr:uid="{6799A99E-380B-664B-BE69-5608DB222907}">
      <text>
        <r>
          <rPr>
            <b/>
            <sz val="10"/>
            <color rgb="FF000000"/>
            <rFont val="Tahoma"/>
            <family val="2"/>
          </rPr>
          <t>Constantin George Glen:</t>
        </r>
        <r>
          <rPr>
            <sz val="10"/>
            <color rgb="FF000000"/>
            <rFont val="Tahoma"/>
            <family val="2"/>
          </rPr>
          <t xml:space="preserve">
</t>
        </r>
        <r>
          <rPr>
            <sz val="10"/>
            <color rgb="FF000000"/>
            <rFont val="Tahoma"/>
            <family val="2"/>
          </rPr>
          <t xml:space="preserve">Selman et al 2012, </t>
        </r>
        <r>
          <rPr>
            <i/>
            <sz val="10"/>
            <color rgb="FF000000"/>
            <rFont val="Calibri"/>
            <family val="2"/>
          </rPr>
          <t>Spatial, Seasonal, and Sexual Variation in the Diet of Graptemys flavimaculata,</t>
        </r>
        <r>
          <rPr>
            <sz val="10"/>
            <color rgb="FF000000"/>
            <rFont val="Calibri"/>
            <family val="2"/>
          </rPr>
          <t xml:space="preserve">
</t>
        </r>
        <r>
          <rPr>
            <i/>
            <sz val="10"/>
            <color rgb="FF000000"/>
            <rFont val="Calibri"/>
            <family val="2"/>
          </rPr>
          <t>a Threatened Turtle of the Pascagoula River System, Mississippi, USA</t>
        </r>
        <r>
          <rPr>
            <sz val="10"/>
            <color rgb="FF000000"/>
            <rFont val="Calibri"/>
            <family val="2"/>
          </rPr>
          <t xml:space="preserve">
</t>
        </r>
      </text>
    </comment>
    <comment ref="Q39" authorId="0" shapeId="0" xr:uid="{D1410B2F-BDF6-7946-9167-9C4E2F424367}">
      <text>
        <r>
          <rPr>
            <b/>
            <sz val="10"/>
            <color rgb="FF000000"/>
            <rFont val="Tahoma"/>
            <family val="2"/>
          </rPr>
          <t>Constantin George Glen:</t>
        </r>
        <r>
          <rPr>
            <sz val="10"/>
            <color rgb="FF000000"/>
            <rFont val="Tahoma"/>
            <family val="2"/>
          </rPr>
          <t xml:space="preserve">
</t>
        </r>
        <r>
          <rPr>
            <sz val="10"/>
            <color rgb="FF000000"/>
            <rFont val="Tahoma"/>
            <family val="2"/>
          </rPr>
          <t xml:space="preserve">changed from value from da Silva 2022 0.731899988
</t>
        </r>
        <r>
          <rPr>
            <sz val="10"/>
            <color rgb="FF000000"/>
            <rFont val="Tahoma"/>
            <family val="2"/>
          </rPr>
          <t xml:space="preserve">half the recorded body mass of reported female turtles see
</t>
        </r>
        <r>
          <rPr>
            <sz val="10"/>
            <color rgb="FF000000"/>
            <rFont val="Tahoma"/>
            <family val="2"/>
          </rPr>
          <t xml:space="preserve">
</t>
        </r>
        <r>
          <rPr>
            <sz val="10"/>
            <color rgb="FF000000"/>
            <rFont val="Calibri"/>
            <family val="2"/>
          </rPr>
          <t>Vogt, R.C., 2024. Graptemys pseudogeographica (Gray 1831), False Map Turtle. </t>
        </r>
        <r>
          <rPr>
            <i/>
            <sz val="10"/>
            <color rgb="FF000000"/>
            <rFont val="Calibri"/>
            <family val="2"/>
          </rPr>
          <t>The Conservation Biology of Freshwater Turtles (IUCN/SSC Tortoise and Freshwater Turtle Specialist Group Action Plan Rating)</t>
        </r>
        <r>
          <rPr>
            <sz val="10"/>
            <color rgb="FF000000"/>
            <rFont val="Calibri"/>
            <family val="2"/>
          </rPr>
          <t>.</t>
        </r>
      </text>
    </comment>
    <comment ref="H43" authorId="0" shapeId="0" xr:uid="{67BC3ABD-1415-184C-AFAA-AC2C67B0F83C}">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Q47" authorId="0" shapeId="0" xr:uid="{05D37138-22D2-0042-AB2B-EA4EAABBD8E1}">
      <text>
        <r>
          <rPr>
            <b/>
            <sz val="10"/>
            <color rgb="FF000000"/>
            <rFont val="Tahoma"/>
            <family val="2"/>
          </rPr>
          <t xml:space="preserve">Constantin George Glen:
</t>
        </r>
        <r>
          <rPr>
            <sz val="10"/>
            <color rgb="FF000000"/>
            <rFont val="Tahoma"/>
            <family val="2"/>
          </rPr>
          <t xml:space="preserve">NA in da Silva et al 2022
</t>
        </r>
        <r>
          <rPr>
            <sz val="10"/>
            <color rgb="FF000000"/>
            <rFont val="Tahoma"/>
            <family val="2"/>
          </rPr>
          <t xml:space="preserve">
</t>
        </r>
        <r>
          <rPr>
            <sz val="10"/>
            <color rgb="FF000000"/>
            <rFont val="Calibri"/>
            <family val="2"/>
          </rPr>
          <t>source: Vogt and Guzman 1988</t>
        </r>
      </text>
    </comment>
    <comment ref="B50" authorId="1" shapeId="0" xr:uid="{A4E5F5EB-CD67-4E43-BB38-135373D657C8}">
      <text>
        <r>
          <rPr>
            <b/>
            <sz val="10"/>
            <color rgb="FF000000"/>
            <rFont val="Tahoma"/>
            <family val="2"/>
          </rPr>
          <t>George Glen:</t>
        </r>
        <r>
          <rPr>
            <sz val="10"/>
            <color rgb="FF000000"/>
            <rFont val="Tahoma"/>
            <family val="2"/>
          </rPr>
          <t xml:space="preserve">
</t>
        </r>
        <r>
          <rPr>
            <sz val="10"/>
            <color rgb="FF000000"/>
            <rFont val="Tahoma"/>
            <family val="2"/>
          </rPr>
          <t xml:space="preserve">Also named </t>
        </r>
        <r>
          <rPr>
            <i/>
            <sz val="10"/>
            <color rgb="FF000000"/>
            <rFont val="Calibri"/>
            <family val="2"/>
          </rPr>
          <t>Chinemys reevesii</t>
        </r>
      </text>
    </comment>
    <comment ref="Q52" authorId="0" shapeId="0" xr:uid="{888C976F-7A82-9747-A8F9-89C6DC9549D6}">
      <text>
        <r>
          <rPr>
            <b/>
            <sz val="10"/>
            <color rgb="FF000000"/>
            <rFont val="Tahoma"/>
            <family val="2"/>
          </rPr>
          <t>Constantin George Glen:</t>
        </r>
        <r>
          <rPr>
            <sz val="10"/>
            <color rgb="FF000000"/>
            <rFont val="Tahoma"/>
            <family val="2"/>
          </rPr>
          <t xml:space="preserve">
</t>
        </r>
        <r>
          <rPr>
            <sz val="10"/>
            <color rgb="FF000000"/>
            <rFont val="Calibri"/>
            <family val="2"/>
          </rPr>
          <t xml:space="preserve">
</t>
        </r>
        <r>
          <rPr>
            <sz val="10"/>
            <color rgb="FF000000"/>
            <rFont val="Calibri"/>
            <family val="2"/>
          </rPr>
          <t xml:space="preserve">Measured value in da Silva = 1.370471429 
</t>
        </r>
        <r>
          <rPr>
            <sz val="10"/>
            <color rgb="FF000000"/>
            <rFont val="Calibri"/>
            <family val="2"/>
          </rPr>
          <t xml:space="preserve">
</t>
        </r>
        <r>
          <rPr>
            <sz val="10"/>
            <color rgb="FF000000"/>
            <rFont val="Calibri"/>
            <family val="2"/>
          </rPr>
          <t xml:space="preserve">Wild value of 2.3275 value in Espinoza, 2002. Body Size, Temperature, and the Evolution of Herbivory in Reptiles. PhD Thesis
</t>
        </r>
      </text>
    </comment>
    <comment ref="Q53" authorId="0" shapeId="0" xr:uid="{AA479BCC-4D6B-E74D-B56A-B6285CE3B43A}">
      <text>
        <r>
          <rPr>
            <b/>
            <sz val="10"/>
            <color rgb="FF000000"/>
            <rFont val="Calibri"/>
            <family val="34"/>
          </rPr>
          <t>Constantin George Glen:</t>
        </r>
        <r>
          <rPr>
            <sz val="10"/>
            <color rgb="FF000000"/>
            <rFont val="Calibri"/>
            <family val="34"/>
          </rPr>
          <t xml:space="preserve">
</t>
        </r>
        <r>
          <rPr>
            <sz val="10"/>
            <color rgb="FF000000"/>
            <rFont val="Calibri"/>
            <family val="34"/>
          </rPr>
          <t xml:space="preserve">
</t>
        </r>
        <r>
          <rPr>
            <sz val="10"/>
            <color rgb="FF000000"/>
            <rFont val="Calibri"/>
            <family val="34"/>
          </rPr>
          <t xml:space="preserve">Measured value in da Silva = 0.776668013 
</t>
        </r>
        <r>
          <rPr>
            <sz val="10"/>
            <color rgb="FF000000"/>
            <rFont val="Calibri"/>
            <family val="34"/>
          </rPr>
          <t xml:space="preserve">
</t>
        </r>
        <r>
          <rPr>
            <sz val="10"/>
            <color rgb="FF000000"/>
            <rFont val="Calibri"/>
            <family val="34"/>
          </rPr>
          <t xml:space="preserve">
</t>
        </r>
        <r>
          <rPr>
            <sz val="10"/>
            <color rgb="FF000000"/>
            <rFont val="Calibri"/>
            <family val="34"/>
          </rPr>
          <t xml:space="preserve">Wild value of 2.273 value in Espinoza, 2002. Body Size, Temperature, and the Evolution of Herbivory in Reptiles. PhD Thesis
</t>
        </r>
      </text>
    </comment>
    <comment ref="Q60" authorId="0" shapeId="0" xr:uid="{B8A303A3-0BC6-634E-B7C7-20413FE3AA80}">
      <text>
        <r>
          <rPr>
            <b/>
            <sz val="10"/>
            <color rgb="FF000000"/>
            <rFont val="Tahoma"/>
            <family val="2"/>
          </rPr>
          <t>Constantin George Glen:</t>
        </r>
        <r>
          <rPr>
            <sz val="10"/>
            <color rgb="FF000000"/>
            <rFont val="Tahoma"/>
            <family val="2"/>
          </rPr>
          <t xml:space="preserve">
</t>
        </r>
        <r>
          <rPr>
            <sz val="10"/>
            <color rgb="FF000000"/>
            <rFont val="Tahoma"/>
            <family val="2"/>
          </rPr>
          <t xml:space="preserve">was </t>
        </r>
        <r>
          <rPr>
            <sz val="10"/>
            <color rgb="FF000000"/>
            <rFont val="Calibri"/>
            <family val="2"/>
          </rPr>
          <t>0.197230769</t>
        </r>
        <r>
          <rPr>
            <sz val="10"/>
            <color rgb="FF000000"/>
            <rFont val="Tahoma"/>
            <family val="2"/>
          </rPr>
          <t xml:space="preserve"> in da Silva et al 2022 to </t>
        </r>
        <r>
          <rPr>
            <b/>
            <sz val="10"/>
            <color rgb="FF000000"/>
            <rFont val="Calibri"/>
            <family val="2"/>
          </rPr>
          <t>622</t>
        </r>
        <r>
          <rPr>
            <sz val="10"/>
            <color rgb="FF000000"/>
            <rFont val="Calibri"/>
            <family val="2"/>
          </rPr>
          <t>g</t>
        </r>
        <r>
          <rPr>
            <sz val="10"/>
            <color rgb="FF000000"/>
            <rFont val="Tahoma"/>
            <family val="2"/>
          </rPr>
          <t xml:space="preserve"> from Nasirudin et al 2021, </t>
        </r>
        <r>
          <rPr>
            <b/>
            <i/>
            <sz val="10"/>
            <color rgb="FF000000"/>
            <rFont val="Calibri"/>
            <family val="2"/>
          </rPr>
          <t>In-Situ</t>
        </r>
        <r>
          <rPr>
            <b/>
            <sz val="10"/>
            <color rgb="FF000000"/>
            <rFont val="Calibri"/>
            <family val="2"/>
          </rPr>
          <t xml:space="preserve"> Conservation of </t>
        </r>
        <r>
          <rPr>
            <b/>
            <i/>
            <sz val="10"/>
            <color rgb="FF000000"/>
            <rFont val="Calibri"/>
            <family val="2"/>
          </rPr>
          <t>Siebenrockiella crassicollis</t>
        </r>
        <r>
          <rPr>
            <sz val="10"/>
            <color rgb="FF000000"/>
            <rFont val="Calibri"/>
            <family val="2"/>
          </rPr>
          <t xml:space="preserve">
</t>
        </r>
        <r>
          <rPr>
            <b/>
            <sz val="10"/>
            <color rgb="FF000000"/>
            <rFont val="Calibri"/>
            <family val="2"/>
          </rPr>
          <t>to develop the Psycomotors and Environmental</t>
        </r>
        <r>
          <rPr>
            <sz val="10"/>
            <color rgb="FF000000"/>
            <rFont val="Calibri"/>
            <family val="2"/>
          </rPr>
          <t xml:space="preserve">
</t>
        </r>
        <r>
          <rPr>
            <b/>
            <sz val="10"/>
            <color rgb="FF000000"/>
            <rFont val="Calibri"/>
            <family val="2"/>
          </rPr>
          <t>Awareness of Students</t>
        </r>
        <r>
          <rPr>
            <sz val="10"/>
            <color rgb="FF000000"/>
            <rFont val="Tahoma"/>
            <family val="2"/>
          </rPr>
          <t xml:space="preserve">. 
</t>
        </r>
        <r>
          <rPr>
            <sz val="10"/>
            <color rgb="FF000000"/>
            <rFont val="Tahoma"/>
            <family val="2"/>
          </rPr>
          <t xml:space="preserve">
</t>
        </r>
        <r>
          <rPr>
            <sz val="10"/>
            <color rgb="FF000000"/>
            <rFont val="Tahoma"/>
            <family val="2"/>
          </rPr>
          <t>These turtles on average weight 0.5kg</t>
        </r>
      </text>
    </comment>
    <comment ref="H71" authorId="0" shapeId="0" xr:uid="{5D245A67-DD28-0E47-908F-D06838DB537B}">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L72" authorId="0" shapeId="0" xr:uid="{98A208E6-3F79-E449-A4B4-B5AD49CD5D05}">
      <text>
        <r>
          <rPr>
            <b/>
            <sz val="10"/>
            <color rgb="FF000000"/>
            <rFont val="Tahoma"/>
            <family val="2"/>
          </rPr>
          <t>Constantin George Glen:</t>
        </r>
        <r>
          <rPr>
            <sz val="10"/>
            <color rgb="FF000000"/>
            <rFont val="Tahoma"/>
            <family val="2"/>
          </rPr>
          <t xml:space="preserve">
</t>
        </r>
        <r>
          <rPr>
            <sz val="10"/>
            <color rgb="FF000000"/>
            <rFont val="Tahoma"/>
            <family val="2"/>
          </rPr>
          <t xml:space="preserve">mean clutch size in the US is 10.5 eggs and mean clutch frequency is 2.5
</t>
        </r>
        <r>
          <rPr>
            <sz val="10"/>
            <color rgb="FF000000"/>
            <rFont val="Tahoma"/>
            <family val="2"/>
          </rPr>
          <t xml:space="preserve">
</t>
        </r>
        <r>
          <rPr>
            <sz val="10"/>
            <color rgb="FF000000"/>
            <rFont val="Tahoma"/>
            <family val="2"/>
          </rPr>
          <t>Ernest and Lovich 2009 pp 460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E1" authorId="0" shapeId="0" xr:uid="{B8DF1B86-ABDC-5A40-966C-69321C5BF4F8}">
      <text>
        <r>
          <rPr>
            <b/>
            <sz val="10"/>
            <color rgb="FF000000"/>
            <rFont val="Tahoma"/>
            <family val="2"/>
          </rPr>
          <t>Constantin George Glen:</t>
        </r>
        <r>
          <rPr>
            <sz val="10"/>
            <color rgb="FF000000"/>
            <rFont val="Tahoma"/>
            <family val="2"/>
          </rPr>
          <t xml:space="preserve">
</t>
        </r>
        <r>
          <rPr>
            <sz val="10"/>
            <color rgb="FF000000"/>
            <rFont val="Tahoma"/>
            <family val="2"/>
          </rPr>
          <t>age at sexual maturity (years)</t>
        </r>
      </text>
    </comment>
    <comment ref="F1" authorId="0" shapeId="0" xr:uid="{D10E4A6B-63C5-1C4D-B090-663F29D9E0C8}">
      <text>
        <r>
          <rPr>
            <b/>
            <sz val="10"/>
            <color rgb="FF000000"/>
            <rFont val="Tahoma"/>
            <family val="2"/>
          </rPr>
          <t>Constantin George Glen:</t>
        </r>
        <r>
          <rPr>
            <sz val="10"/>
            <color rgb="FF000000"/>
            <rFont val="Tahoma"/>
            <family val="2"/>
          </rPr>
          <t xml:space="preserve">
</t>
        </r>
        <r>
          <rPr>
            <sz val="10"/>
            <color rgb="FF000000"/>
            <rFont val="Calibri"/>
            <family val="2"/>
          </rPr>
          <t xml:space="preserve">longevity (years)
</t>
        </r>
      </text>
    </comment>
    <comment ref="I1" authorId="0" shapeId="0" xr:uid="{2D7BC9AB-AADB-5443-8B62-084FF7018E8B}">
      <text>
        <r>
          <rPr>
            <b/>
            <sz val="10"/>
            <color rgb="FF000000"/>
            <rFont val="Tahoma"/>
            <family val="2"/>
          </rPr>
          <t>Constantin George Glen:</t>
        </r>
        <r>
          <rPr>
            <sz val="10"/>
            <color rgb="FF000000"/>
            <rFont val="Tahoma"/>
            <family val="2"/>
          </rPr>
          <t xml:space="preserve">
</t>
        </r>
        <r>
          <rPr>
            <sz val="10"/>
            <color rgb="FF000000"/>
            <rFont val="Tahoma"/>
            <family val="2"/>
          </rPr>
          <t>body mass (g)</t>
        </r>
      </text>
    </comment>
    <comment ref="K1" authorId="0" shapeId="0" xr:uid="{D90ABB11-82EA-F14F-961C-7B24FBCB2449}">
      <text>
        <r>
          <rPr>
            <b/>
            <sz val="10"/>
            <color rgb="FF000000"/>
            <rFont val="Tahoma"/>
            <family val="2"/>
          </rPr>
          <t>Constantin George Glen:</t>
        </r>
        <r>
          <rPr>
            <sz val="10"/>
            <color rgb="FF000000"/>
            <rFont val="Tahoma"/>
            <family val="2"/>
          </rPr>
          <t xml:space="preserve">
</t>
        </r>
        <r>
          <rPr>
            <sz val="10"/>
            <color rgb="FF000000"/>
            <rFont val="Tahoma"/>
            <family val="2"/>
          </rPr>
          <t>hatchling mass (grams)</t>
        </r>
      </text>
    </comment>
    <comment ref="L1" authorId="0" shapeId="0" xr:uid="{FDE32FF0-544B-5A47-AA34-51175CD0EC81}">
      <text>
        <r>
          <rPr>
            <b/>
            <sz val="10"/>
            <color rgb="FF000000"/>
            <rFont val="Tahoma"/>
            <family val="2"/>
          </rPr>
          <t>Constantin George Glen:</t>
        </r>
        <r>
          <rPr>
            <sz val="10"/>
            <color rgb="FF000000"/>
            <rFont val="Tahoma"/>
            <family val="2"/>
          </rPr>
          <t xml:space="preserve">
</t>
        </r>
        <r>
          <rPr>
            <sz val="10"/>
            <color rgb="FF000000"/>
            <rFont val="Calibri"/>
            <family val="2"/>
          </rPr>
          <t xml:space="preserve">egg mass (g)
</t>
        </r>
      </text>
    </comment>
    <comment ref="M1" authorId="0" shapeId="0" xr:uid="{F5642414-DFA6-1D48-BC7E-3FF5362D145F}">
      <text>
        <r>
          <rPr>
            <b/>
            <sz val="10"/>
            <color rgb="FF000000"/>
            <rFont val="Tahoma"/>
            <family val="2"/>
          </rPr>
          <t>Constantin George Glen:</t>
        </r>
        <r>
          <rPr>
            <sz val="10"/>
            <color rgb="FF000000"/>
            <rFont val="Tahoma"/>
            <family val="2"/>
          </rPr>
          <t xml:space="preserve">
</t>
        </r>
        <r>
          <rPr>
            <sz val="10"/>
            <color rgb="FF000000"/>
            <rFont val="Calibri"/>
            <family val="2"/>
          </rPr>
          <t xml:space="preserve">litter_or_clutch_size_n </t>
        </r>
      </text>
    </comment>
    <comment ref="N1" authorId="0" shapeId="0" xr:uid="{BC2FE3B6-893F-374B-AB53-382327341BFD}">
      <text>
        <r>
          <rPr>
            <b/>
            <sz val="10"/>
            <color rgb="FF000000"/>
            <rFont val="Tahoma"/>
            <family val="2"/>
          </rPr>
          <t>Constantin George Glen:</t>
        </r>
        <r>
          <rPr>
            <sz val="10"/>
            <color rgb="FF000000"/>
            <rFont val="Tahoma"/>
            <family val="2"/>
          </rPr>
          <t xml:space="preserve">
</t>
        </r>
        <r>
          <rPr>
            <sz val="10"/>
            <color rgb="FF000000"/>
            <rFont val="Calibri"/>
            <family val="2"/>
          </rPr>
          <t xml:space="preserve">litters_or_clutches_per_y </t>
        </r>
      </text>
    </comment>
    <comment ref="O1" authorId="0" shapeId="0" xr:uid="{4BEE13B7-F247-F541-8B65-1F46F34DA537}">
      <text>
        <r>
          <rPr>
            <b/>
            <sz val="10"/>
            <color rgb="FF000000"/>
            <rFont val="Tahoma"/>
            <family val="2"/>
          </rPr>
          <t>Constantin George Glen:</t>
        </r>
        <r>
          <rPr>
            <sz val="10"/>
            <color rgb="FF000000"/>
            <rFont val="Tahoma"/>
            <family val="2"/>
          </rPr>
          <t xml:space="preserve">
</t>
        </r>
        <r>
          <rPr>
            <sz val="10"/>
            <color rgb="FF000000"/>
            <rFont val="Tahoma"/>
            <family val="2"/>
          </rPr>
          <t>clutch mass (grams)</t>
        </r>
      </text>
    </comment>
    <comment ref="B3" authorId="0" shapeId="0" xr:uid="{5CF893E5-DC52-2C46-AFEC-E82057FD213F}">
      <text>
        <r>
          <rPr>
            <b/>
            <sz val="10"/>
            <color rgb="FF000000"/>
            <rFont val="Tahoma"/>
            <family val="2"/>
          </rPr>
          <t>Constantin George Glen:</t>
        </r>
        <r>
          <rPr>
            <sz val="10"/>
            <color rgb="FF000000"/>
            <rFont val="Tahoma"/>
            <family val="2"/>
          </rPr>
          <t xml:space="preserve">
</t>
        </r>
        <r>
          <rPr>
            <sz val="10"/>
            <color rgb="FF000000"/>
            <rFont val="Tahoma"/>
            <family val="2"/>
          </rPr>
          <t xml:space="preserve">annual fecundity is higher than any other North American freshwater turtle species
</t>
        </r>
        <r>
          <rPr>
            <sz val="10"/>
            <color rgb="FF000000"/>
            <rFont val="Tahoma"/>
            <family val="2"/>
          </rPr>
          <t xml:space="preserve">
</t>
        </r>
        <r>
          <rPr>
            <sz val="10"/>
            <color rgb="FF000000"/>
            <rFont val="Calibri"/>
            <family val="2"/>
            <scheme val="minor"/>
          </rPr>
          <t>Iverson, J.B. and Moler, P.E., 1997. The female reproductive cycle of the Florida softshell turtle (Apalone ferox). </t>
        </r>
        <r>
          <rPr>
            <i/>
            <sz val="10"/>
            <color rgb="FF000000"/>
            <rFont val="Calibri"/>
            <family val="2"/>
            <scheme val="minor"/>
          </rPr>
          <t>Journal of Herpetology</t>
        </r>
        <r>
          <rPr>
            <sz val="10"/>
            <color rgb="FF000000"/>
            <rFont val="Calibri"/>
            <family val="2"/>
            <scheme val="minor"/>
          </rPr>
          <t>, pp.399-409.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C1" authorId="0" shapeId="0" xr:uid="{C158BDC6-DD10-8C4D-8B80-DDC38C2EB28E}">
      <text>
        <r>
          <rPr>
            <b/>
            <sz val="10"/>
            <color rgb="FF000000"/>
            <rFont val="Tahoma"/>
            <family val="2"/>
          </rPr>
          <t>Constantin George Glen:</t>
        </r>
        <r>
          <rPr>
            <sz val="10"/>
            <color rgb="FF000000"/>
            <rFont val="Tahoma"/>
            <family val="2"/>
          </rPr>
          <t xml:space="preserve">
</t>
        </r>
        <r>
          <rPr>
            <sz val="10"/>
            <color rgb="FF000000"/>
            <rFont val="Calibri"/>
            <family val="2"/>
            <scheme val="minor"/>
          </rPr>
          <t>body mass (g)</t>
        </r>
        <r>
          <rPr>
            <sz val="10"/>
            <color rgb="FF000000"/>
            <rFont val="Calibri"/>
            <family val="2"/>
            <scheme val="minor"/>
          </rPr>
          <t xml:space="preserve">
</t>
        </r>
      </text>
    </comment>
    <comment ref="D1" authorId="0" shapeId="0" xr:uid="{4E789E5A-0CD4-4342-A7C0-E82DC9908D68}">
      <text>
        <r>
          <rPr>
            <b/>
            <sz val="10"/>
            <color rgb="FF000000"/>
            <rFont val="Tahoma"/>
            <family val="2"/>
          </rPr>
          <t>Constantin George Glen:</t>
        </r>
        <r>
          <rPr>
            <sz val="10"/>
            <color rgb="FF000000"/>
            <rFont val="Tahoma"/>
            <family val="2"/>
          </rPr>
          <t xml:space="preserve">
</t>
        </r>
        <r>
          <rPr>
            <sz val="10"/>
            <color rgb="FF000000"/>
            <rFont val="Tahoma"/>
            <family val="2"/>
          </rPr>
          <t>hatchling mass (g)</t>
        </r>
      </text>
    </comment>
    <comment ref="E1" authorId="0" shapeId="0" xr:uid="{9100EA01-DB10-4B4C-BFB1-7B2811C3D806}">
      <text>
        <r>
          <rPr>
            <b/>
            <sz val="10"/>
            <color rgb="FF000000"/>
            <rFont val="Tahoma"/>
            <family val="2"/>
          </rPr>
          <t>Constantin George Glen:</t>
        </r>
        <r>
          <rPr>
            <sz val="10"/>
            <color rgb="FF000000"/>
            <rFont val="Tahoma"/>
            <family val="2"/>
          </rPr>
          <t xml:space="preserve">
</t>
        </r>
        <r>
          <rPr>
            <sz val="10"/>
            <color rgb="FF000000"/>
            <rFont val="Calibri"/>
            <family val="2"/>
            <scheme val="minor"/>
          </rPr>
          <t>litter_or_clutch_size_n</t>
        </r>
        <r>
          <rPr>
            <sz val="10"/>
            <color rgb="FF000000"/>
            <rFont val="Calibri"/>
            <family val="2"/>
            <scheme val="minor"/>
          </rPr>
          <t xml:space="preserve"> </t>
        </r>
      </text>
    </comment>
    <comment ref="F1" authorId="0" shapeId="0" xr:uid="{B63F8571-3687-2D40-8741-BDCA8C02E185}">
      <text>
        <r>
          <rPr>
            <b/>
            <sz val="10"/>
            <color rgb="FF000000"/>
            <rFont val="Tahoma"/>
            <family val="2"/>
          </rPr>
          <t>Constantin George Glen:</t>
        </r>
        <r>
          <rPr>
            <sz val="10"/>
            <color rgb="FF000000"/>
            <rFont val="Tahoma"/>
            <family val="2"/>
          </rPr>
          <t xml:space="preserve">
</t>
        </r>
        <r>
          <rPr>
            <sz val="10"/>
            <color rgb="FF000000"/>
            <rFont val="Calibri"/>
            <family val="2"/>
            <scheme val="minor"/>
          </rPr>
          <t>litters_or_clutches_per_y</t>
        </r>
        <r>
          <rPr>
            <sz val="10"/>
            <color rgb="FF000000"/>
            <rFont val="Calibri"/>
            <family val="2"/>
            <scheme val="minor"/>
          </rPr>
          <t xml:space="preserve"> </t>
        </r>
      </text>
    </comment>
    <comment ref="G1" authorId="0" shapeId="0" xr:uid="{3C53B484-CB68-B94A-A949-862A27D4E848}">
      <text>
        <r>
          <rPr>
            <b/>
            <sz val="10"/>
            <color rgb="FF000000"/>
            <rFont val="Tahoma"/>
            <family val="2"/>
          </rPr>
          <t>Constantin George Glen:</t>
        </r>
        <r>
          <rPr>
            <sz val="10"/>
            <color rgb="FF000000"/>
            <rFont val="Tahoma"/>
            <family val="2"/>
          </rPr>
          <t xml:space="preserve">
</t>
        </r>
        <r>
          <rPr>
            <sz val="10"/>
            <color rgb="FF000000"/>
            <rFont val="Tahoma"/>
            <family val="2"/>
          </rPr>
          <t>age at sexual maturity (years)</t>
        </r>
      </text>
    </comment>
    <comment ref="H1" authorId="0" shapeId="0" xr:uid="{26B47D48-A900-EB4E-A527-26F4F78BDE2A}">
      <text>
        <r>
          <rPr>
            <b/>
            <sz val="10"/>
            <color rgb="FF000000"/>
            <rFont val="Tahoma"/>
            <family val="2"/>
          </rPr>
          <t>Constantin George Glen:</t>
        </r>
        <r>
          <rPr>
            <sz val="10"/>
            <color rgb="FF000000"/>
            <rFont val="Tahoma"/>
            <family val="2"/>
          </rPr>
          <t xml:space="preserve">
</t>
        </r>
        <r>
          <rPr>
            <sz val="10"/>
            <color rgb="FF000000"/>
            <rFont val="Calibri"/>
            <family val="2"/>
          </rPr>
          <t xml:space="preserve">longevity (years)
</t>
        </r>
      </text>
    </comment>
    <comment ref="N1" authorId="0" shapeId="0" xr:uid="{AF2EB270-3C69-3C42-B8FD-FE3E47773387}">
      <text>
        <r>
          <rPr>
            <b/>
            <sz val="10"/>
            <color rgb="FF000000"/>
            <rFont val="Tahoma"/>
            <family val="2"/>
          </rPr>
          <t>Constantin George Glen:</t>
        </r>
        <r>
          <rPr>
            <sz val="10"/>
            <color rgb="FF000000"/>
            <rFont val="Tahoma"/>
            <family val="2"/>
          </rPr>
          <t xml:space="preserve">
</t>
        </r>
        <r>
          <rPr>
            <sz val="10"/>
            <color rgb="FF000000"/>
            <rFont val="Tahoma"/>
            <family val="2"/>
          </rPr>
          <t>body mass (g)</t>
        </r>
      </text>
    </comment>
    <comment ref="P1" authorId="0" shapeId="0" xr:uid="{4C763123-90E0-B146-AD8A-FE282124530E}">
      <text>
        <r>
          <rPr>
            <b/>
            <sz val="10"/>
            <color rgb="FF000000"/>
            <rFont val="Tahoma"/>
            <family val="2"/>
          </rPr>
          <t>Constantin George Glen:</t>
        </r>
        <r>
          <rPr>
            <sz val="10"/>
            <color rgb="FF000000"/>
            <rFont val="Tahoma"/>
            <family val="2"/>
          </rPr>
          <t xml:space="preserve">
</t>
        </r>
        <r>
          <rPr>
            <sz val="10"/>
            <color rgb="FF000000"/>
            <rFont val="Calibri"/>
            <family val="2"/>
          </rPr>
          <t xml:space="preserve">egg mass (g)
</t>
        </r>
      </text>
    </comment>
    <comment ref="Q1" authorId="0" shapeId="0" xr:uid="{9372E97B-5E0A-6B4A-8C33-E3EE59C289A8}">
      <text>
        <r>
          <rPr>
            <b/>
            <sz val="10"/>
            <color rgb="FF000000"/>
            <rFont val="Tahoma"/>
            <family val="2"/>
          </rPr>
          <t>Constantin George Glen:</t>
        </r>
        <r>
          <rPr>
            <sz val="10"/>
            <color rgb="FF000000"/>
            <rFont val="Tahoma"/>
            <family val="2"/>
          </rPr>
          <t xml:space="preserve">
</t>
        </r>
        <r>
          <rPr>
            <sz val="10"/>
            <color rgb="FF000000"/>
            <rFont val="Calibri"/>
            <family val="2"/>
          </rPr>
          <t xml:space="preserve">litter_or_clutch_size_n </t>
        </r>
      </text>
    </comment>
    <comment ref="R1" authorId="0" shapeId="0" xr:uid="{E8C8D9E5-3115-0C47-B512-5C60350BB14F}">
      <text>
        <r>
          <rPr>
            <b/>
            <sz val="10"/>
            <color rgb="FF000000"/>
            <rFont val="Tahoma"/>
            <family val="2"/>
          </rPr>
          <t>Constantin George Glen:</t>
        </r>
        <r>
          <rPr>
            <sz val="10"/>
            <color rgb="FF000000"/>
            <rFont val="Tahoma"/>
            <family val="2"/>
          </rPr>
          <t xml:space="preserve">
</t>
        </r>
        <r>
          <rPr>
            <sz val="10"/>
            <color rgb="FF000000"/>
            <rFont val="Calibri"/>
            <family val="2"/>
          </rPr>
          <t xml:space="preserve">litters_or_clutches_per_y </t>
        </r>
      </text>
    </comment>
    <comment ref="T1" authorId="0" shapeId="0" xr:uid="{B7568EA1-A44A-3049-B29D-FD7862D591CC}">
      <text>
        <r>
          <rPr>
            <b/>
            <sz val="10"/>
            <color rgb="FF000000"/>
            <rFont val="Tahoma"/>
            <family val="2"/>
          </rPr>
          <t>Constantin George Glen:</t>
        </r>
        <r>
          <rPr>
            <sz val="10"/>
            <color rgb="FF000000"/>
            <rFont val="Tahoma"/>
            <family val="2"/>
          </rPr>
          <t xml:space="preserve">
</t>
        </r>
        <r>
          <rPr>
            <sz val="10"/>
            <color rgb="FF000000"/>
            <rFont val="Calibri"/>
            <family val="2"/>
          </rPr>
          <t xml:space="preserve">longevity (years)
</t>
        </r>
      </text>
    </comment>
    <comment ref="AC1" authorId="0" shapeId="0" xr:uid="{698F9449-E41C-2E4D-9925-E6C147AE04DA}">
      <text>
        <r>
          <rPr>
            <b/>
            <sz val="10"/>
            <color rgb="FF000000"/>
            <rFont val="Tahoma"/>
            <family val="2"/>
          </rPr>
          <t>Constantin George Glen:</t>
        </r>
        <r>
          <rPr>
            <sz val="10"/>
            <color rgb="FF000000"/>
            <rFont val="Tahoma"/>
            <family val="2"/>
          </rPr>
          <t xml:space="preserve">
</t>
        </r>
        <r>
          <rPr>
            <sz val="10"/>
            <color rgb="FF000000"/>
            <rFont val="Tahoma"/>
            <family val="2"/>
          </rPr>
          <t>body mass (g)</t>
        </r>
      </text>
    </comment>
    <comment ref="AD1" authorId="0" shapeId="0" xr:uid="{D94A5E33-319A-A24B-AA5E-1F9FEB5037D3}">
      <text>
        <r>
          <rPr>
            <b/>
            <sz val="10"/>
            <color rgb="FF000000"/>
            <rFont val="Tahoma"/>
            <family val="2"/>
          </rPr>
          <t>Constantin George Glen:</t>
        </r>
        <r>
          <rPr>
            <sz val="10"/>
            <color rgb="FF000000"/>
            <rFont val="Tahoma"/>
            <family val="2"/>
          </rPr>
          <t xml:space="preserve">
</t>
        </r>
        <r>
          <rPr>
            <sz val="10"/>
            <color rgb="FF000000"/>
            <rFont val="Calibri"/>
            <family val="2"/>
          </rPr>
          <t xml:space="preserve">egg mass (g)
</t>
        </r>
      </text>
    </comment>
    <comment ref="AE1" authorId="0" shapeId="0" xr:uid="{7ADD55EC-FD77-F548-8224-553F36F199AF}">
      <text>
        <r>
          <rPr>
            <b/>
            <sz val="10"/>
            <color rgb="FF000000"/>
            <rFont val="Tahoma"/>
            <family val="2"/>
          </rPr>
          <t>Constantin George Glen:</t>
        </r>
        <r>
          <rPr>
            <sz val="10"/>
            <color rgb="FF000000"/>
            <rFont val="Tahoma"/>
            <family val="2"/>
          </rPr>
          <t xml:space="preserve">
</t>
        </r>
        <r>
          <rPr>
            <sz val="10"/>
            <color rgb="FF000000"/>
            <rFont val="Calibri"/>
            <family val="2"/>
          </rPr>
          <t xml:space="preserve">litter_or_clutch_size_n </t>
        </r>
      </text>
    </comment>
    <comment ref="AF1" authorId="0" shapeId="0" xr:uid="{58696B49-C7C7-7A40-BCAC-9CF5771F67B6}">
      <text>
        <r>
          <rPr>
            <b/>
            <sz val="10"/>
            <color rgb="FF000000"/>
            <rFont val="Tahoma"/>
            <family val="2"/>
          </rPr>
          <t>Constantin George Glen:</t>
        </r>
        <r>
          <rPr>
            <sz val="10"/>
            <color rgb="FF000000"/>
            <rFont val="Tahoma"/>
            <family val="2"/>
          </rPr>
          <t xml:space="preserve">
</t>
        </r>
        <r>
          <rPr>
            <sz val="10"/>
            <color rgb="FF000000"/>
            <rFont val="Tahoma"/>
            <family val="2"/>
          </rPr>
          <t>clutch mass (grams)</t>
        </r>
      </text>
    </comment>
    <comment ref="AL1" authorId="0" shapeId="0" xr:uid="{60844578-5EBC-EF48-863D-A15B36FE00E0}">
      <text>
        <r>
          <rPr>
            <b/>
            <sz val="10"/>
            <color rgb="FF000000"/>
            <rFont val="Tahoma"/>
            <family val="2"/>
          </rPr>
          <t>Constantin George Glen:</t>
        </r>
        <r>
          <rPr>
            <sz val="10"/>
            <color rgb="FF000000"/>
            <rFont val="Tahoma"/>
            <family val="2"/>
          </rPr>
          <t xml:space="preserve">
</t>
        </r>
        <r>
          <rPr>
            <sz val="10"/>
            <color rgb="FF000000"/>
            <rFont val="Tahoma"/>
            <family val="2"/>
          </rPr>
          <t>body mass (kg)</t>
        </r>
      </text>
    </comment>
    <comment ref="AM1" authorId="0" shapeId="0" xr:uid="{9CABE4A1-45D1-8345-80E4-AE8F3C46E13B}">
      <text>
        <r>
          <rPr>
            <b/>
            <sz val="10"/>
            <color rgb="FF000000"/>
            <rFont val="Tahoma"/>
            <family val="2"/>
          </rPr>
          <t>Constantin George Glen:</t>
        </r>
        <r>
          <rPr>
            <sz val="10"/>
            <color rgb="FF000000"/>
            <rFont val="Tahoma"/>
            <family val="2"/>
          </rPr>
          <t xml:space="preserve">
</t>
        </r>
        <r>
          <rPr>
            <sz val="10"/>
            <color rgb="FF000000"/>
            <rFont val="Calibri"/>
            <family val="2"/>
            <scheme val="minor"/>
          </rPr>
          <t>egg mass (kg)</t>
        </r>
        <r>
          <rPr>
            <sz val="10"/>
            <color rgb="FF000000"/>
            <rFont val="Calibri"/>
            <family val="2"/>
            <scheme val="minor"/>
          </rPr>
          <t xml:space="preserve">
</t>
        </r>
      </text>
    </comment>
    <comment ref="AN1" authorId="0" shapeId="0" xr:uid="{690B48C1-4C50-DC42-B994-346C35C26D32}">
      <text>
        <r>
          <rPr>
            <b/>
            <sz val="10"/>
            <color rgb="FF000000"/>
            <rFont val="Tahoma"/>
            <family val="2"/>
          </rPr>
          <t>Constantin George Glen:</t>
        </r>
        <r>
          <rPr>
            <sz val="10"/>
            <color rgb="FF000000"/>
            <rFont val="Tahoma"/>
            <family val="2"/>
          </rPr>
          <t xml:space="preserve">
</t>
        </r>
        <r>
          <rPr>
            <sz val="10"/>
            <color rgb="FF000000"/>
            <rFont val="Tahoma"/>
            <family val="2"/>
          </rPr>
          <t>clutch mass (kg)</t>
        </r>
      </text>
    </comment>
    <comment ref="AO1" authorId="0" shapeId="0" xr:uid="{1F9B28CE-43BB-E048-9949-463A2DD3AAD5}">
      <text>
        <r>
          <rPr>
            <b/>
            <sz val="10"/>
            <color rgb="FF000000"/>
            <rFont val="Tahoma"/>
            <family val="2"/>
          </rPr>
          <t>Constantin George Glen:</t>
        </r>
        <r>
          <rPr>
            <sz val="10"/>
            <color rgb="FF000000"/>
            <rFont val="Tahoma"/>
            <family val="2"/>
          </rPr>
          <t xml:space="preserve">
</t>
        </r>
        <r>
          <rPr>
            <sz val="10"/>
            <color rgb="FF000000"/>
            <rFont val="Tahoma"/>
            <family val="2"/>
          </rPr>
          <t>annual egg mass (kg)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C1" authorId="0" shapeId="0" xr:uid="{71E7DB8D-2138-BE42-A426-2E06EC7579A7}">
      <text>
        <r>
          <rPr>
            <b/>
            <sz val="10"/>
            <color rgb="FF000000"/>
            <rFont val="Tahoma"/>
            <family val="2"/>
          </rPr>
          <t>Constantin George Glen:</t>
        </r>
        <r>
          <rPr>
            <sz val="10"/>
            <color rgb="FF000000"/>
            <rFont val="Tahoma"/>
            <family val="2"/>
          </rPr>
          <t xml:space="preserve">
</t>
        </r>
        <r>
          <rPr>
            <sz val="10"/>
            <color rgb="FF000000"/>
            <rFont val="Tahoma"/>
            <family val="2"/>
          </rPr>
          <t xml:space="preserve">If blank the body mass was taken from the Reinke et al 2022 (wild) or da Silva et al 2022 (captive)
</t>
        </r>
        <r>
          <rPr>
            <sz val="10"/>
            <color rgb="FF000000"/>
            <rFont val="Tahoma"/>
            <family val="2"/>
          </rPr>
          <t xml:space="preserve">
</t>
        </r>
        <r>
          <rPr>
            <sz val="10"/>
            <color rgb="FF000000"/>
            <rFont val="Calibri"/>
            <family val="2"/>
          </rPr>
          <t>da Silva, R., Conde, D.A., Baudisch, A. and Colchero, F., 2022. Slow and negligible senescence among testudines challenges evolutionary theories of senescence.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pp.1466-1470.</t>
        </r>
        <r>
          <rPr>
            <sz val="10"/>
            <color rgb="FF000000"/>
            <rFont val="Tahoma"/>
            <family val="2"/>
          </rPr>
          <t xml:space="preserve">
</t>
        </r>
        <r>
          <rPr>
            <sz val="10"/>
            <color rgb="FF000000"/>
            <rFont val="Tahoma"/>
            <family val="2"/>
          </rPr>
          <t xml:space="preserve">
</t>
        </r>
        <r>
          <rPr>
            <sz val="10"/>
            <color rgb="FF000000"/>
            <rFont val="Calibri"/>
            <family val="2"/>
          </rPr>
          <t>Reinke, B.A., Cayuela, H., Janzen, F.J., Lemaître, J.F., Gaillard, J.M., Lawing, A.M., Iverson, J.B., Christiansen, D.G., Martínez-Solano, I., Sánchez-Montes, G. and Gutiérrez-Rodríguez, J., 2022. Diverse aging rates in ectothermic tetrapods provide insights for the evolution of aging and longevity.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pp.1459-1466.</t>
        </r>
      </text>
    </comment>
  </commentList>
</comments>
</file>

<file path=xl/sharedStrings.xml><?xml version="1.0" encoding="utf-8"?>
<sst xmlns="http://schemas.openxmlformats.org/spreadsheetml/2006/main" count="16168" uniqueCount="747">
  <si>
    <t>species</t>
  </si>
  <si>
    <t>class</t>
  </si>
  <si>
    <t>maxLong</t>
  </si>
  <si>
    <t>habitat</t>
  </si>
  <si>
    <t>hibernation</t>
  </si>
  <si>
    <t>afr</t>
  </si>
  <si>
    <t>Mean.EX.Female</t>
  </si>
  <si>
    <t>SD.EX.Female</t>
  </si>
  <si>
    <t>Lower.EX.Female</t>
  </si>
  <si>
    <t>Upper.EX.Female</t>
  </si>
  <si>
    <t>Mean.AR.Female</t>
  </si>
  <si>
    <t>SD.AR.Female</t>
  </si>
  <si>
    <t>Lower.AR.Female</t>
  </si>
  <si>
    <t>Upper.AR.Female</t>
  </si>
  <si>
    <t>pop</t>
  </si>
  <si>
    <t>Aquatic</t>
  </si>
  <si>
    <t>Yes</t>
  </si>
  <si>
    <t>Terrestrial</t>
  </si>
  <si>
    <t>No</t>
  </si>
  <si>
    <t>1:OTN</t>
  </si>
  <si>
    <t>AreprFemales</t>
  </si>
  <si>
    <t>https://reptilesmagazine.com/the-vietnamese-black-breasted-leaf-turtle/</t>
  </si>
  <si>
    <t>clutchMass</t>
  </si>
  <si>
    <t>Species</t>
  </si>
  <si>
    <t>Annual reproductive output</t>
  </si>
  <si>
    <t>Egg mass</t>
  </si>
  <si>
    <t>Hatchling mass</t>
  </si>
  <si>
    <t>TRAFFIC. "Inspection Manual for use in Commercial Reptile Breeding Facilities in Southeast Asia." (2013).</t>
  </si>
  <si>
    <t>eggMass</t>
  </si>
  <si>
    <t>hatchlingMass</t>
  </si>
  <si>
    <t>hatchlingLength</t>
  </si>
  <si>
    <t>femaleMass</t>
  </si>
  <si>
    <t>Icsort</t>
  </si>
  <si>
    <t>Hatchling length</t>
  </si>
  <si>
    <t>Augustine and Haislip, 2019. Husbandry and reproduction of the Indochinese box turtle Cuora galbinifrons, Bourret's box turtle Cuora bourreti and Southern Vietnam box turtle Cuora picturata in North America. International Zoo Yearbook 53.1: 238-249.</t>
  </si>
  <si>
    <t>https://www.tortoisetrust.org/articles/kandb.htm</t>
  </si>
  <si>
    <t>Legler and Vogt, 2013. The tuertles of Mexico, land and freshwater forms. University of Claifornia press. California.</t>
  </si>
  <si>
    <t>Source</t>
  </si>
  <si>
    <t>mortality.est.method</t>
  </si>
  <si>
    <t>CMR-BaSTA</t>
  </si>
  <si>
    <t>CMR-BaSTA.DC</t>
  </si>
  <si>
    <t>CMR-BaSTA.census</t>
  </si>
  <si>
    <t>Mauremys_reevesii</t>
  </si>
  <si>
    <t>Cuora_galbinifrons</t>
  </si>
  <si>
    <t>Cuora_trifasciata</t>
  </si>
  <si>
    <t>Cuora_amboinensis</t>
  </si>
  <si>
    <t>Heosemys_grandis</t>
  </si>
  <si>
    <t>Geoclemys_hamiltonii</t>
  </si>
  <si>
    <t>Batagur_borneoensis</t>
  </si>
  <si>
    <t>Siebenrockiella_crassicollis</t>
  </si>
  <si>
    <t>Geoemyda_spengleri</t>
  </si>
  <si>
    <t>Indotestudo_forstenii</t>
  </si>
  <si>
    <t>Indotestudo_elongata</t>
  </si>
  <si>
    <t>Malacochersus_tornieri</t>
  </si>
  <si>
    <t>Testudo_marginata</t>
  </si>
  <si>
    <t>Testudo_kleinmanni</t>
  </si>
  <si>
    <t>Testudo_graeca</t>
  </si>
  <si>
    <t>Testudo_horsfieldii</t>
  </si>
  <si>
    <t>Kinixys_homeana</t>
  </si>
  <si>
    <t>Kinixys_belliana</t>
  </si>
  <si>
    <t>Geochelone_elegans</t>
  </si>
  <si>
    <t>Chelonoidis_niger</t>
  </si>
  <si>
    <t>Chelonoidis_chilensis</t>
  </si>
  <si>
    <t>Stigmochelys_pardalis</t>
  </si>
  <si>
    <t>Chersina_angulata</t>
  </si>
  <si>
    <t>Pyxis_arachnoides</t>
  </si>
  <si>
    <t>Pyxis_planicauda</t>
  </si>
  <si>
    <t>Aldabrachelys_gigantea</t>
  </si>
  <si>
    <t>Gopherus_polyphemus</t>
  </si>
  <si>
    <t>Gopherus_berlandieri</t>
  </si>
  <si>
    <t>Gopherus_agassizii</t>
  </si>
  <si>
    <t>Glyptemys_insculpta</t>
  </si>
  <si>
    <t>Glyptemys_muhlenbergii</t>
  </si>
  <si>
    <t>Clemmys_guttata</t>
  </si>
  <si>
    <t>Trachemys_callirostris</t>
  </si>
  <si>
    <t>Graptemys_pseudogeographica</t>
  </si>
  <si>
    <t>Macrochelys_temminckii</t>
  </si>
  <si>
    <t>Sternotherus_odoratus</t>
  </si>
  <si>
    <t>Kinosternon_leucostomum</t>
  </si>
  <si>
    <t>Apalone_spinifera</t>
  </si>
  <si>
    <t>Apalone_ferox</t>
  </si>
  <si>
    <t>Pelodiscus_sinensis</t>
  </si>
  <si>
    <t>Pelomedusa_subrufa</t>
  </si>
  <si>
    <t>Pelusios_castaneus</t>
  </si>
  <si>
    <t>Podocnemis_unifilis</t>
  </si>
  <si>
    <t>Chelodina_mccordi</t>
  </si>
  <si>
    <t>Chelodina_longicollis</t>
  </si>
  <si>
    <t>Chelus_fimbriatus</t>
  </si>
  <si>
    <t>Platemys_platycephala</t>
  </si>
  <si>
    <t>Emydoidea_blandingii</t>
  </si>
  <si>
    <t>Chelonia_mydas</t>
  </si>
  <si>
    <t>Emys_orbicularis</t>
  </si>
  <si>
    <t>Emys_orbicularis1</t>
  </si>
  <si>
    <t>Emys_orbicularis2</t>
  </si>
  <si>
    <t>Graptemys_flavimaculata1</t>
  </si>
  <si>
    <t>Chrysemys_picta1</t>
  </si>
  <si>
    <t>Chrysemys_picta2</t>
  </si>
  <si>
    <t>Chelydra_serpentina1</t>
  </si>
  <si>
    <t>Graptemys_geographica</t>
  </si>
  <si>
    <t>Hydromedusa_maximiliani</t>
  </si>
  <si>
    <t>Kinosternon_flavescens</t>
  </si>
  <si>
    <t>Mauremys_rivulata</t>
  </si>
  <si>
    <t>Pseudemys_texana</t>
  </si>
  <si>
    <t>Terrapene_ornata</t>
  </si>
  <si>
    <t>Testudo_hermanni1</t>
  </si>
  <si>
    <t>Trachemys_scripta1</t>
  </si>
  <si>
    <t>Trachemys_scripta2</t>
  </si>
  <si>
    <t xml:space="preserve">Reinke et al. 2022 </t>
  </si>
  <si>
    <t>This study</t>
  </si>
  <si>
    <t>https://animaldiversity.org/accounts/Graptemys_flavimaculata/</t>
  </si>
  <si>
    <t>https://en.wikipedia.org/wiki/Balkan_terrapin</t>
  </si>
  <si>
    <t xml:space="preserve">species name separated by an underscore for that dataset. Naming conventions follow that of the tree source. Multiple populations of the same species are denoted with a number after the name. </t>
  </si>
  <si>
    <t>Trachemys_scripta</t>
  </si>
  <si>
    <t>Graptemys_flavimaculata</t>
  </si>
  <si>
    <t>Chrysemys_picta</t>
  </si>
  <si>
    <t>Chelydra_serpentina</t>
  </si>
  <si>
    <t>Testudo_hermanni</t>
  </si>
  <si>
    <t>Chelonia_mydas1</t>
  </si>
  <si>
    <t>Chelonia_mydas2</t>
  </si>
  <si>
    <t>Sternotherus_odoratus1</t>
  </si>
  <si>
    <t>https://life4mauremys.agr.hr/en/91/First+hatchlings+at+the+Zagreb+Zoo</t>
  </si>
  <si>
    <t>location</t>
  </si>
  <si>
    <t>Variable</t>
  </si>
  <si>
    <t>Traits were estimated at the population level, "pop", or group level (for CTC green turtles)</t>
  </si>
  <si>
    <t>Body mass in kilograms</t>
  </si>
  <si>
    <t>Egg mass in kilograms</t>
  </si>
  <si>
    <t>Hatchling length in cm</t>
  </si>
  <si>
    <t>Hatchling mass in kilograms</t>
  </si>
  <si>
    <t>The age at first reproduction for that species</t>
  </si>
  <si>
    <t>Annual fecundity is the average number of offspring produced by an individual of that species per year</t>
  </si>
  <si>
    <t>status</t>
  </si>
  <si>
    <t>wild</t>
  </si>
  <si>
    <t>captive</t>
  </si>
  <si>
    <t>da Silva et al. 2022</t>
  </si>
  <si>
    <t>sp</t>
  </si>
  <si>
    <t>type</t>
  </si>
  <si>
    <t>other_testudine</t>
  </si>
  <si>
    <t>sea_turtle</t>
  </si>
  <si>
    <t>class.old</t>
  </si>
  <si>
    <t>class.new</t>
  </si>
  <si>
    <t>ZIMS</t>
  </si>
  <si>
    <t>CTC</t>
  </si>
  <si>
    <t>CTC - OTN</t>
  </si>
  <si>
    <t>USA - Texas</t>
  </si>
  <si>
    <t>USA - Wisconsin</t>
  </si>
  <si>
    <t>USA - Michigan</t>
  </si>
  <si>
    <t>France</t>
  </si>
  <si>
    <t>USA - Mississippi</t>
  </si>
  <si>
    <t>USA - Indiana</t>
  </si>
  <si>
    <t>Brazil</t>
  </si>
  <si>
    <t>USA - Nebraska</t>
  </si>
  <si>
    <t>Serbia</t>
  </si>
  <si>
    <t>Greece</t>
  </si>
  <si>
    <t>USA</t>
  </si>
  <si>
    <t>CTC - MSN</t>
  </si>
  <si>
    <t>2.MSN</t>
  </si>
  <si>
    <t>hatchlingMassKG</t>
  </si>
  <si>
    <t>clutchMassKG</t>
  </si>
  <si>
    <t>eggMassKG</t>
  </si>
  <si>
    <t>femaleMassKG</t>
  </si>
  <si>
    <t>AnnualRepOut</t>
  </si>
  <si>
    <t>RAllocation</t>
  </si>
  <si>
    <t>Mean life expectancy in years</t>
  </si>
  <si>
    <t>Standard deviation in life expectancy in years</t>
  </si>
  <si>
    <t>Upper 95% CI for life expectancy in years</t>
  </si>
  <si>
    <t>Lower 95% CI for life expectancy in years</t>
  </si>
  <si>
    <t>The method mortality rate was estimates</t>
  </si>
  <si>
    <t>Mean aging rate</t>
  </si>
  <si>
    <t>Standard deviation in aging rate</t>
  </si>
  <si>
    <t>Lower 95% CI for aging rate</t>
  </si>
  <si>
    <t>Upper 95% CI for aging rate</t>
  </si>
  <si>
    <t>Mass of egg produced in kg per reproductive season</t>
  </si>
  <si>
    <t>If an turtle hibrinates</t>
  </si>
  <si>
    <t>Maximum years lived</t>
  </si>
  <si>
    <t xml:space="preserve">type of habitat a species can be found in </t>
  </si>
  <si>
    <t>Source for life history data</t>
  </si>
  <si>
    <t>Astrochelys_radiata</t>
  </si>
  <si>
    <t>Chelonoidis_carbonarius</t>
  </si>
  <si>
    <t>Chelonoidis_denticulatus</t>
  </si>
  <si>
    <t>Gopherus_flavomarginatus</t>
  </si>
  <si>
    <t>Homopus_areolatus</t>
  </si>
  <si>
    <t>Indotestudo_travancorica</t>
  </si>
  <si>
    <t>Kinixys_erosa</t>
  </si>
  <si>
    <t>Manouria_emys</t>
  </si>
  <si>
    <t>CS</t>
  </si>
  <si>
    <t>CY</t>
  </si>
  <si>
    <t>BM</t>
  </si>
  <si>
    <t>HM</t>
  </si>
  <si>
    <t>Allen et al 2017</t>
  </si>
  <si>
    <t>Astrochelys_yniphora</t>
  </si>
  <si>
    <t>Chelonoidis_abingdonii</t>
  </si>
  <si>
    <t>Chelonoidis_becki</t>
  </si>
  <si>
    <t>Chelonoidis_chathamensis</t>
  </si>
  <si>
    <t>Chelonoidis_darwini</t>
  </si>
  <si>
    <t>Chelonoidis_duncanensis</t>
  </si>
  <si>
    <t>Chelonoidis_hoodensis</t>
  </si>
  <si>
    <t>Chelonoidis_porteri</t>
  </si>
  <si>
    <t>Chelonoidis_vicina</t>
  </si>
  <si>
    <t>Geochelone_platynota</t>
  </si>
  <si>
    <t>Geochelone_sulcata</t>
  </si>
  <si>
    <t>Homopus_boulengeri</t>
  </si>
  <si>
    <t>Homopus_femoralis</t>
  </si>
  <si>
    <t>Homopus_signatus</t>
  </si>
  <si>
    <t>Kinixys_lobatsiana</t>
  </si>
  <si>
    <t>Kinixys_natalensis</t>
  </si>
  <si>
    <t>Kinixys_nogueyi</t>
  </si>
  <si>
    <t>Kinixys_spekii</t>
  </si>
  <si>
    <t>Kinixys_zombensis</t>
  </si>
  <si>
    <t>Manouria_impressa</t>
  </si>
  <si>
    <t>Psammobates_geometricus</t>
  </si>
  <si>
    <t>Psammobates_oculiferus</t>
  </si>
  <si>
    <t>Psammobates_tentorius</t>
  </si>
  <si>
    <t>Myhrvold et al 2015</t>
  </si>
  <si>
    <t>INCLUDED</t>
  </si>
  <si>
    <t>EM</t>
  </si>
  <si>
    <t>incubation_d</t>
  </si>
  <si>
    <t>SM</t>
  </si>
  <si>
    <t>LG</t>
  </si>
  <si>
    <t>maxLG</t>
  </si>
  <si>
    <t>Espinoza 2002</t>
  </si>
  <si>
    <t>Taxon</t>
  </si>
  <si>
    <t>Diet</t>
  </si>
  <si>
    <t>Latitude</t>
  </si>
  <si>
    <t>H</t>
  </si>
  <si>
    <t>C</t>
  </si>
  <si>
    <t>O</t>
  </si>
  <si>
    <t>Iverson_etal1993</t>
  </si>
  <si>
    <t>Callagur_bomeoensis</t>
  </si>
  <si>
    <t>Iverson1992a</t>
  </si>
  <si>
    <t>Chinemys_reevesii</t>
  </si>
  <si>
    <t>Cistoclemmys_flavomarginata1</t>
  </si>
  <si>
    <t>Cistoclemmys_flavomarginata2</t>
  </si>
  <si>
    <t>Chen_and_Lue1999</t>
  </si>
  <si>
    <t>Iversonetal1993</t>
  </si>
  <si>
    <t>Cuora_aurocapitata</t>
  </si>
  <si>
    <t>deBruin_and_Zwartepoorte1994</t>
  </si>
  <si>
    <t>Cuora_mccordi</t>
  </si>
  <si>
    <t>Cyclemys_dentata</t>
  </si>
  <si>
    <t>Geomyda_silvatica</t>
  </si>
  <si>
    <t>Geomyda_spengleri</t>
  </si>
  <si>
    <t>Heosemys_spinosa</t>
  </si>
  <si>
    <t>Kachuga_dhongoka</t>
  </si>
  <si>
    <t>Kachuga_kachuga</t>
  </si>
  <si>
    <t>Kachuga_smithii</t>
  </si>
  <si>
    <t>Kachuga_tecta</t>
  </si>
  <si>
    <t>Hossain_and_Sarker1995</t>
  </si>
  <si>
    <t>Kachuga_tentoria1</t>
  </si>
  <si>
    <t>Kachuga_tentoria2</t>
  </si>
  <si>
    <t>Mauremys_japonica</t>
  </si>
  <si>
    <t>Mauremys_leprosa1</t>
  </si>
  <si>
    <t>Mauremys_leprosa2</t>
  </si>
  <si>
    <t>Mauremys_mutica</t>
  </si>
  <si>
    <t>Melanochelys_trijuga</t>
  </si>
  <si>
    <t>Ocadia_philippeni</t>
  </si>
  <si>
    <t>Ocadia_sinensis</t>
  </si>
  <si>
    <t>Chen_and_Lue1998</t>
  </si>
  <si>
    <t>Orlitia_bomeensis</t>
  </si>
  <si>
    <t>Rhinoclemmys_areolata</t>
  </si>
  <si>
    <t>Rhinoclemmys_diademata</t>
  </si>
  <si>
    <t>Rhinoclemmys_funerea</t>
  </si>
  <si>
    <t>Rhinoclemmys_melanostema</t>
  </si>
  <si>
    <t>Rhinoclemmys_nasuta</t>
  </si>
  <si>
    <t>Carretochelys_insculpta</t>
  </si>
  <si>
    <t>Acanthochelys_pallidipectoris</t>
  </si>
  <si>
    <t>Chelodina_expansa1</t>
  </si>
  <si>
    <t>Chelodina_expansa2</t>
  </si>
  <si>
    <t>Booth1998</t>
  </si>
  <si>
    <t>Chelodina_novaeguineae</t>
  </si>
  <si>
    <t>Chelodina_oblonga</t>
  </si>
  <si>
    <t>Chelodina_parkeri</t>
  </si>
  <si>
    <t>Chelodina_siebenrocki</t>
  </si>
  <si>
    <t>Elusor_macmrus</t>
  </si>
  <si>
    <t>Cann_and_Legler1994</t>
  </si>
  <si>
    <t>Elysea_dentata</t>
  </si>
  <si>
    <t>Elysea_latistemum</t>
  </si>
  <si>
    <t>Emydura_kreffiii1</t>
  </si>
  <si>
    <t>Emydura_kreffiii2</t>
  </si>
  <si>
    <t>Emydura_macquarrii</t>
  </si>
  <si>
    <t>Emydura_subglobosa</t>
  </si>
  <si>
    <t>Phrynops_dahli</t>
  </si>
  <si>
    <t>Phrynops_gibbus</t>
  </si>
  <si>
    <t>Phrynops_hilarii</t>
  </si>
  <si>
    <t>Phrynops_zuliae</t>
  </si>
  <si>
    <t>Pseudemydura_umbrina</t>
  </si>
  <si>
    <t>Rheodytes_leukops</t>
  </si>
  <si>
    <t>Iverson_elal1993</t>
  </si>
  <si>
    <t>Caretta_caretta1</t>
  </si>
  <si>
    <t>Caretta_caretta2</t>
  </si>
  <si>
    <t>Chelonia_agassizti</t>
  </si>
  <si>
    <t>Eretmochelys_imbricata</t>
  </si>
  <si>
    <t>Lepidochelys_kempii</t>
  </si>
  <si>
    <t>Lepidochelys_olivacea</t>
  </si>
  <si>
    <t>Natator_depressa</t>
  </si>
  <si>
    <t>Chelydra_serpentina2</t>
  </si>
  <si>
    <t>Chelydra_serpentina3</t>
  </si>
  <si>
    <t>Macroclemys_temminckii</t>
  </si>
  <si>
    <t>Dermatemys_mawii1</t>
  </si>
  <si>
    <t>Dermatemys_mawii2</t>
  </si>
  <si>
    <t>Polisar19962</t>
  </si>
  <si>
    <t>Dermochelys_coriacea</t>
  </si>
  <si>
    <t>Chrysemys_picta3</t>
  </si>
  <si>
    <t>Chrysemys_picta4</t>
  </si>
  <si>
    <t>Clemmys_insculpta1</t>
  </si>
  <si>
    <t>Clemmys_insculpta2</t>
  </si>
  <si>
    <t>Tuttle_and_Carroll1997</t>
  </si>
  <si>
    <t>Clemmys_mamwrata1</t>
  </si>
  <si>
    <t>36,0</t>
  </si>
  <si>
    <t>Clemmys_mamiorata2</t>
  </si>
  <si>
    <t>7,91</t>
  </si>
  <si>
    <t>Goodman19973</t>
  </si>
  <si>
    <t>Clemmys_muhlenbergii</t>
  </si>
  <si>
    <t>Deirochelys_reticularia1</t>
  </si>
  <si>
    <t>Deirochelys_reticularia2</t>
  </si>
  <si>
    <t>Emydoidea_blatidingii1</t>
  </si>
  <si>
    <t>Emydoidea_blandingii2</t>
  </si>
  <si>
    <t>Zuffi_etal1999</t>
  </si>
  <si>
    <t>Graptemys_barbouri</t>
  </si>
  <si>
    <t>Graptemys_nigrinoda</t>
  </si>
  <si>
    <t>Graptemys_oculifera</t>
  </si>
  <si>
    <t>Graptemys_ouachitensis</t>
  </si>
  <si>
    <t>Graptemys_pulchra</t>
  </si>
  <si>
    <t>Malaclemys_terrapin</t>
  </si>
  <si>
    <t>Pseudemys_concima1</t>
  </si>
  <si>
    <t>Pseudemys_concinna2</t>
  </si>
  <si>
    <t>Pseudemys_concinna3</t>
  </si>
  <si>
    <t>Pseudemys_nelsoni</t>
  </si>
  <si>
    <t>Pseudemys_rubriventris</t>
  </si>
  <si>
    <t>Terrapene_Carolina1</t>
  </si>
  <si>
    <t>Terrapene_Carolina2</t>
  </si>
  <si>
    <t>Tucker1995</t>
  </si>
  <si>
    <t>Terrapene_coahuila</t>
  </si>
  <si>
    <t>Terrapene_nelsoni</t>
  </si>
  <si>
    <t>Trachemys_decorata</t>
  </si>
  <si>
    <t>Trachemys_decussata</t>
  </si>
  <si>
    <t>Trachemys_dorbigni</t>
  </si>
  <si>
    <t>Trachemys_scripta3</t>
  </si>
  <si>
    <t>Trachemys_scripta4</t>
  </si>
  <si>
    <t>Tucker1999</t>
  </si>
  <si>
    <t>Trachemys_scripta5</t>
  </si>
  <si>
    <t>Claudius_angustatus1</t>
  </si>
  <si>
    <t>Claudius_angustatus2</t>
  </si>
  <si>
    <t>Flores-Villela_and_Zug1995</t>
  </si>
  <si>
    <t>Kinostemon_alamosae</t>
  </si>
  <si>
    <t>Kinostemon_angustipons</t>
  </si>
  <si>
    <t>Kinostemon_baurii</t>
  </si>
  <si>
    <t>Kinostemon_carinaium</t>
  </si>
  <si>
    <t>Kinostemon_creaseri</t>
  </si>
  <si>
    <t>Kinostemon_depressum</t>
  </si>
  <si>
    <t>Kinostemon_dunni</t>
  </si>
  <si>
    <t>Kinostemon_flavescens1</t>
  </si>
  <si>
    <t>Kinostemon_flavescens2</t>
  </si>
  <si>
    <t>Kinostemon_flavescens3</t>
  </si>
  <si>
    <t>Kinostemon_flavescens4</t>
  </si>
  <si>
    <t>Thornton_and_Smith1996</t>
  </si>
  <si>
    <t>daSilva1995</t>
  </si>
  <si>
    <t>Kinostemon_herrerai</t>
  </si>
  <si>
    <t>Kinostemon_hirtipes</t>
  </si>
  <si>
    <t>Kinostemon_integrum</t>
  </si>
  <si>
    <t>Kinostemon_leucostomum</t>
  </si>
  <si>
    <t>Kinostemon_minor1</t>
  </si>
  <si>
    <t>Kinostemon_minor2</t>
  </si>
  <si>
    <t>Kinostemon_odoratum1</t>
  </si>
  <si>
    <t>Kinostemon_odoratum2</t>
  </si>
  <si>
    <t>Kinostemon_scorpioides</t>
  </si>
  <si>
    <t>Kinostemon_sonoriense1</t>
  </si>
  <si>
    <t>Kinostemon_sonoriense2</t>
  </si>
  <si>
    <t>Kinostemon_sonoriense3</t>
  </si>
  <si>
    <t>Kinostemon_sonoriense4</t>
  </si>
  <si>
    <t>Kinostemon_sonoriense5</t>
  </si>
  <si>
    <t>Kinostemon_sonoriense6</t>
  </si>
  <si>
    <t>vanLoben_Sels_etal1997</t>
  </si>
  <si>
    <t>Kinostemon_subrubrum1</t>
  </si>
  <si>
    <t>Kinostemon_subrubrum2</t>
  </si>
  <si>
    <t>Staurotypus_salvinii</t>
  </si>
  <si>
    <t>Staurotypus_triporcaius</t>
  </si>
  <si>
    <t>Pelusios_castanoides</t>
  </si>
  <si>
    <t>Pelusios_rhodesianus</t>
  </si>
  <si>
    <t>Peltocephalus_dumerilianus</t>
  </si>
  <si>
    <t>Podocnemis_expansa</t>
  </si>
  <si>
    <t>Podocnemis_lewyana</t>
  </si>
  <si>
    <t>Podocnemis_sextuberculata</t>
  </si>
  <si>
    <t>Pezzuti_etal20004</t>
  </si>
  <si>
    <t>Podocnemis_vogli</t>
  </si>
  <si>
    <t>Chersim_angulata</t>
  </si>
  <si>
    <t>Geochelone_carbomria</t>
  </si>
  <si>
    <t>Geochelone_chilensis1</t>
  </si>
  <si>
    <t>Geochelone_chilensis2</t>
  </si>
  <si>
    <t>Richard19883</t>
  </si>
  <si>
    <t>Geochelone_gigantea1</t>
  </si>
  <si>
    <t>Geochelone_gigantea2</t>
  </si>
  <si>
    <t>Geochelone_pardalis</t>
  </si>
  <si>
    <t>Geochelone_radiata</t>
  </si>
  <si>
    <t>Indotestudo_forstenii1</t>
  </si>
  <si>
    <t>Indotestudo_forstenii2</t>
  </si>
  <si>
    <t>McDougal_and_Castellano1996</t>
  </si>
  <si>
    <t>Malacochersus_tomieri</t>
  </si>
  <si>
    <t>Testudo_henmanni3</t>
  </si>
  <si>
    <t>Apalone_ferox1</t>
  </si>
  <si>
    <t>Apalone_ferox2</t>
  </si>
  <si>
    <t>Iverson_and_Moler1997</t>
  </si>
  <si>
    <t>Apalone_mutica</t>
  </si>
  <si>
    <t>Apalone_spinifera1</t>
  </si>
  <si>
    <t>Apalone_spinifera2</t>
  </si>
  <si>
    <t>Graham_and_Graham1997</t>
  </si>
  <si>
    <t>Aspideretes_gangeticus</t>
  </si>
  <si>
    <t>Aspideretes_nigricans</t>
  </si>
  <si>
    <t>Chitm_indica</t>
  </si>
  <si>
    <t>Cyclodemm_fremtum</t>
  </si>
  <si>
    <t>Ussemys_punciata</t>
  </si>
  <si>
    <t>Pelochelys_bibroni</t>
  </si>
  <si>
    <t>Rhodin_etal1993</t>
  </si>
  <si>
    <t>Trionyx_triunguis</t>
  </si>
  <si>
    <t>Iverson_etal,1993</t>
  </si>
  <si>
    <t>Testudo_henmanni1</t>
  </si>
  <si>
    <t>Testudo_henmanni2</t>
  </si>
  <si>
    <t>Batagur_baska</t>
  </si>
  <si>
    <t>TaxonID</t>
  </si>
  <si>
    <t>CM</t>
  </si>
  <si>
    <t>ACM</t>
  </si>
  <si>
    <t>Werner and Griebeler 2010</t>
  </si>
  <si>
    <t>Carettochelys_insculpta</t>
  </si>
  <si>
    <t>Acanthochelys_spixii</t>
  </si>
  <si>
    <t>Chelodina_canni</t>
  </si>
  <si>
    <t>Chelodina_expansa</t>
  </si>
  <si>
    <t>Chelodina_reimanni</t>
  </si>
  <si>
    <t>Elseya_albagula</t>
  </si>
  <si>
    <t>Elseya_dentata</t>
  </si>
  <si>
    <t>Elseya_irwini</t>
  </si>
  <si>
    <t>Elseya_lavarackorum</t>
  </si>
  <si>
    <t>Elseya_novaeguineae</t>
  </si>
  <si>
    <t>Emydura_macquarii</t>
  </si>
  <si>
    <t>Emydura_tanybaraga</t>
  </si>
  <si>
    <t>Flaviemys_purvisi</t>
  </si>
  <si>
    <t>Hydromedusa_tectifera</t>
  </si>
  <si>
    <t>Mesoclemmys_dahli</t>
  </si>
  <si>
    <t>Mesoclemmys_gibba</t>
  </si>
  <si>
    <t>Mesoclemmys_nasuta</t>
  </si>
  <si>
    <t>Mesoclemmys_tuberculata</t>
  </si>
  <si>
    <t>Mesoclemmys_vanderhaegei</t>
  </si>
  <si>
    <t>Mesoclemmys_zuliae</t>
  </si>
  <si>
    <t>Myuchelys_bellii</t>
  </si>
  <si>
    <t>Myuchelys_georgesi</t>
  </si>
  <si>
    <t>Myuchelys_latisternum</t>
  </si>
  <si>
    <t>Phrynops_geoffroanus</t>
  </si>
  <si>
    <t>Phrynops_tuberosus</t>
  </si>
  <si>
    <t>Phrynops_williamsi</t>
  </si>
  <si>
    <t>Rhinemys_rufipes</t>
  </si>
  <si>
    <t>Caretta_caretta</t>
  </si>
  <si>
    <t>Natator_depressus</t>
  </si>
  <si>
    <t>Chelydra_acutirostris</t>
  </si>
  <si>
    <t>Chelydra_rossignonii</t>
  </si>
  <si>
    <t>Dermatemys_mawii</t>
  </si>
  <si>
    <t>Actinemys_marmorata</t>
  </si>
  <si>
    <t>Chrysemys_dorsalis</t>
  </si>
  <si>
    <t>Deirochelys_reticularia</t>
  </si>
  <si>
    <t>Graptemys_caglei</t>
  </si>
  <si>
    <t>Graptemys_ernsti</t>
  </si>
  <si>
    <t>Graptemys_gibbonsi</t>
  </si>
  <si>
    <t>Graptemys_pearlensis</t>
  </si>
  <si>
    <t>Graptemys_versa</t>
  </si>
  <si>
    <t>Pseudemys_alabamensis</t>
  </si>
  <si>
    <t>Pseudemys_concinna</t>
  </si>
  <si>
    <t>Pseudemys_gorzugi</t>
  </si>
  <si>
    <t>Pseudemys_peninsularis</t>
  </si>
  <si>
    <t>Terrapene_carolina</t>
  </si>
  <si>
    <t>Terrapene_mexicana</t>
  </si>
  <si>
    <t>Trachemys_emolli</t>
  </si>
  <si>
    <t>Trachemys_gaigeae</t>
  </si>
  <si>
    <t>Trachemys_grayi</t>
  </si>
  <si>
    <t>Trachemys_nebulosa</t>
  </si>
  <si>
    <t>Trachemys_ornata</t>
  </si>
  <si>
    <t>Trachemys_stejnegeri</t>
  </si>
  <si>
    <t>Trachemys_taylori</t>
  </si>
  <si>
    <t>Trachemys_terrapen</t>
  </si>
  <si>
    <t>Trachemys_venusta</t>
  </si>
  <si>
    <t>Trachemys_yaquia</t>
  </si>
  <si>
    <t>Batagur_dhongoka</t>
  </si>
  <si>
    <t>Batagur_kachuga</t>
  </si>
  <si>
    <t>Batagur_trivittata</t>
  </si>
  <si>
    <t>Cuora_bourreti</t>
  </si>
  <si>
    <t>Cuora_evelynae</t>
  </si>
  <si>
    <t>Cuora_flavomarginata</t>
  </si>
  <si>
    <t>Cuora_mouhotii</t>
  </si>
  <si>
    <t>Cuora_picturata</t>
  </si>
  <si>
    <t>Cuora_yunnanensis</t>
  </si>
  <si>
    <t>Cuora_zhoui</t>
  </si>
  <si>
    <t>Cyclemys_tcheponensis</t>
  </si>
  <si>
    <t>Geoemyda_japonica</t>
  </si>
  <si>
    <t>Hardella_thurjii</t>
  </si>
  <si>
    <t>Heosemys_annandalii</t>
  </si>
  <si>
    <t>Leucocephalon_yuwonoi</t>
  </si>
  <si>
    <t>Malayemys_subtrijuga</t>
  </si>
  <si>
    <t>Mauremys_annamensis</t>
  </si>
  <si>
    <t>Mauremys_caspica</t>
  </si>
  <si>
    <t>Mauremys_leprosa</t>
  </si>
  <si>
    <t>Mauremys_nigricans</t>
  </si>
  <si>
    <t>Mauremys_sinensis</t>
  </si>
  <si>
    <t>Melanochelys_tricarinata</t>
  </si>
  <si>
    <t>Notochelys_platynota</t>
  </si>
  <si>
    <t>Orlitia_borneensis</t>
  </si>
  <si>
    <t>Pangshura_smithii</t>
  </si>
  <si>
    <t>Pangshura_sylhetensis</t>
  </si>
  <si>
    <t>Pangshura_tecta</t>
  </si>
  <si>
    <t>Pangshura_tentoria</t>
  </si>
  <si>
    <t>Rhinoclemmys_annulata</t>
  </si>
  <si>
    <t>Rhinoclemmys_melanosterna</t>
  </si>
  <si>
    <t>Rhinoclemmys_pulcherrima</t>
  </si>
  <si>
    <t>Rhinoclemmys_punctularia</t>
  </si>
  <si>
    <t>Rhinoclemmys_rubida</t>
  </si>
  <si>
    <t>Sacalia_bealei</t>
  </si>
  <si>
    <t>Sacalia_quadriocellata</t>
  </si>
  <si>
    <t>Vijayachelys_silvatica</t>
  </si>
  <si>
    <t>Claudius_angustatus</t>
  </si>
  <si>
    <t>Cryptochelys_acuta</t>
  </si>
  <si>
    <t>Cryptochelys_angustipons</t>
  </si>
  <si>
    <t>Cryptochelys_creaseri</t>
  </si>
  <si>
    <t>Cryptochelys_dunni</t>
  </si>
  <si>
    <t>Cryptochelys_herrerai</t>
  </si>
  <si>
    <t>Cryptochelys_leucostomum</t>
  </si>
  <si>
    <t>Kinosternon_alamosae</t>
  </si>
  <si>
    <t>Kinosternon_arizonense</t>
  </si>
  <si>
    <t>Kinosternon_baurii</t>
  </si>
  <si>
    <t>Kinosternon_chimalhuaca</t>
  </si>
  <si>
    <t>Kinosternon_durangoense</t>
  </si>
  <si>
    <t>Kinosternon_hirtipes</t>
  </si>
  <si>
    <t>Kinosternon_integrum</t>
  </si>
  <si>
    <t>Kinosternon_scorpioides</t>
  </si>
  <si>
    <t>Kinosternon_sonoriense</t>
  </si>
  <si>
    <t>Kinosternon_subrubrum</t>
  </si>
  <si>
    <t>Staurotypus_triporcatus</t>
  </si>
  <si>
    <t>Sternotherus_carinatus</t>
  </si>
  <si>
    <t>Sternotherus_depressus</t>
  </si>
  <si>
    <t>Sternotherus_minor</t>
  </si>
  <si>
    <t>Pelusios_adansonii</t>
  </si>
  <si>
    <t>Pelusios_bechuanicus</t>
  </si>
  <si>
    <t>Pelusios_chapini</t>
  </si>
  <si>
    <t>Pelusios_nanus</t>
  </si>
  <si>
    <t>Pelusios_niger</t>
  </si>
  <si>
    <t>Pelusios_sinuatus</t>
  </si>
  <si>
    <t>Pelusios_subniger</t>
  </si>
  <si>
    <t>Pelusios_upembae</t>
  </si>
  <si>
    <t>Pelusios_williamsi</t>
  </si>
  <si>
    <t>Platysternon_megacephalum</t>
  </si>
  <si>
    <t>Erymnochelys_madagascariensis</t>
  </si>
  <si>
    <t>Podocnemis_erythrocephala</t>
  </si>
  <si>
    <t>Amyda_cartilaginea</t>
  </si>
  <si>
    <t>Chitra_indica</t>
  </si>
  <si>
    <t>Cyclanorbis_senegalensis</t>
  </si>
  <si>
    <t>Cycloderma_frenatum</t>
  </si>
  <si>
    <t>Lissemys_punctata</t>
  </si>
  <si>
    <t>Lissemys_scutata</t>
  </si>
  <si>
    <t>Nilssonia_gangetica</t>
  </si>
  <si>
    <t>Nilssonia_nigricans</t>
  </si>
  <si>
    <t>Palea_steindachneri</t>
  </si>
  <si>
    <t>References</t>
  </si>
  <si>
    <t>Myhrvold, N.P., Baldridge, E., Chan, B., Sivam, D., Freeman, D.L. and Ernest, S.M., 2015. An amniote life‐history database to perform comparative analyses with birds, mammals, and reptiles: Ecological Archives E096‐269. Ecology, 96(11), pp.3109-3109.</t>
  </si>
  <si>
    <t>Allen, W.L., Street, S.E. and Capellini, I., 2017. Fast life history traits promote invasion success in amphibians and reptiles. Ecology letters, 20(2), pp.222-230.</t>
  </si>
  <si>
    <t>Augustine and Haislip 2019</t>
  </si>
  <si>
    <t>Conde et al 2019</t>
  </si>
  <si>
    <t>Conde, D.A., Staerk, J., Colchero, F., da Silva, R., Schöley, J., Baden, H.M., Jouvet, L., Fa, J.E., Syed, H., Jongejans, E. and Meiri, S., 2019. Data gaps and opportunities for comparative and conservation biology. Proceedings of the National Academy of Sciences, 116(19), pp.9658-9664.</t>
  </si>
  <si>
    <t>Famelli, S., Adriano, L.R., Pinheiro, S.C., Souza, F.L. and Bertoluci, J., 2014. Reproductive biology of the freshwater turtle Hydromedusa maximiliani (Chelidae) from southeastern Brazil. Chelonian Conservation and Biology, 13(1), pp.81-88.</t>
  </si>
  <si>
    <t>IUCN</t>
  </si>
  <si>
    <t>IUCN; TRAFFIC 2013</t>
  </si>
  <si>
    <t>TRAFFIC 2013</t>
  </si>
  <si>
    <t>Legler and Vogt 2013</t>
  </si>
  <si>
    <t>Famelli et al 2014</t>
  </si>
  <si>
    <t>Mahoney et al 2015</t>
  </si>
  <si>
    <t>Mahoney, P.J., Beard, K.H., Durso, A.M., Tallian, A.G., Long, A.L., Kindermann, R.J., Nolan, N.E., Kinka, D. and Mohn, H.E., 2015. Introduction effort, climate matching and species traits as predictors of global establishment success in non‐native reptiles. Diversity and Distributions, 21(1), pp.64-74.</t>
  </si>
  <si>
    <t>Myhrvold et al 2015; Rachmansah 2015</t>
  </si>
  <si>
    <t>Rachmansah, A., 2015. Life history traits, latitude, and sustainable harvesting in freshwater turtles. State University of New York College of Environmental Science and Forestry.</t>
  </si>
  <si>
    <t>Rachmansah 2015</t>
  </si>
  <si>
    <t>Jorgewich-Cohen, G., Henrique, R.S., Dias, P.H. and Sánchez-Villagra, M.R., 2022. The evolution of reproductive strategies in turtles. PeerJ, 10, p.e13014.</t>
  </si>
  <si>
    <t>Jorgewich-Cohen et al 2020</t>
  </si>
  <si>
    <t>Rachmansah et al 2020</t>
  </si>
  <si>
    <t>Rachmansah, A., Norris, D. and Gibbs, J.P., 2020. Population dynamics and biological feasibility of sustainable harvesting as a conservation strategy for tropical and temperate freshwater turtles. PloS one, 15(2), p.e0229689.</t>
  </si>
  <si>
    <t>Ye et al 2019</t>
  </si>
  <si>
    <t>Ye, Y.Z., Ma, L., Sun, B.J., Li, T., Wang, Y., Shine, R. and Du, W.G., 2019. The embryos of turtles can influence their own sexual destinies. Current Biology, 29(16), pp.2597-2603.</t>
  </si>
  <si>
    <t>Goode and Ewert 2006</t>
  </si>
  <si>
    <t>Goode, J.M. and Ewert, M.A., 2006. Reproductive trends in captive Heosemys grandis (Geoemydidae). Chelonian Conservation and Biology, 5(1), pp.165-169.</t>
  </si>
  <si>
    <t>weblink1</t>
  </si>
  <si>
    <t>weblink2</t>
  </si>
  <si>
    <t>Swingland and Klemens 1989</t>
  </si>
  <si>
    <t>Swingland, I.R. and Klemens, M.W. eds., 1989. The conservation biology of tortoises (Vol. 5). Iucn.</t>
  </si>
  <si>
    <t>Turtles of the World</t>
  </si>
  <si>
    <t>Conde et al 2019; Turtles of the World</t>
  </si>
  <si>
    <t>Geoclemys hamiltonii: Turtles of the World (https://turtles.linnaeus.naturalis.nl/linnaeus_ng/app/views/species/taxon.php?id=8033)</t>
  </si>
  <si>
    <t>Cuora amboinensis: IUCN (https://www.iucnredlist.org/species/5958/3078812)</t>
  </si>
  <si>
    <t>Cuora galbinifrons: IUCN (https://www.iucnredlist.org/species/97357437/123816666#habitat-ecology)</t>
  </si>
  <si>
    <t>Cuora trifasciata: IUCN (https://www.iucnredlist.org/species/123768950/123769768)</t>
  </si>
  <si>
    <t>Malacochersus tornieri: IUCN (https://www.iucnredlist.org/species/12696/508210#habitat-ecology)</t>
  </si>
  <si>
    <t>Trachemys scripta: IUCN (https://www.iucnredlist.org/species/22028/97429935#habitat-ecology)</t>
  </si>
  <si>
    <t>Apalone ferox: Turtles of the World (https://turtles.linnaeus.naturalis.nl/linnaeus_ng/app/views/species/taxon.php?id=7998)</t>
  </si>
  <si>
    <t>Chelodina longicollis: Turtles of the World (https://turtles.linnaeus.naturalis.nl/linnaeus_ng/app/views/species/taxon.php?id=7925)</t>
  </si>
  <si>
    <t>Chelydra serpentina: Turtles of the World (https://turtles.linnaeus.naturalis.nl/linnaeus_ng/app/views/species/taxon.php?id=7968)</t>
  </si>
  <si>
    <t>Chersina angulata: Turtles of the World (https://turtles.linnaeus.naturalis.nl/linnaeus_ng/app/views/species/taxon.php?id=8140)</t>
  </si>
  <si>
    <t>Chrysemys picta: Turtles of the World (https://turtles.linnaeus.naturalis.nl/linnaeus_ng/app/views/species/taxon.php?id=8102)</t>
  </si>
  <si>
    <t>Clemmys guttata: Turtles of the World (https://turtles.linnaeus.naturalis.nl/linnaeus_ng/app/views/species/taxon.php?id=8092)</t>
  </si>
  <si>
    <t>Emydoidea_blandingii: Turtles of the World (https://turtles.linnaeus.naturalis.nl/linnaeus_ng/app/views/species/taxon.php?id=8097)</t>
  </si>
  <si>
    <t>Emys_orbicularis: Turtles of the World (https://turtles.linnaeus.naturalis.nl/linnaeus_ng/app/views/species/taxon.php?id=8096)</t>
  </si>
  <si>
    <t>Geochelone elegans: Turtles of the World (https://turtles.linnaeus.naturalis.nl/linnaeus_ng/app/views/species/taxon.php?id=8153)</t>
  </si>
  <si>
    <t>Glyptemys insculpta: Turtles of the World (https://turtles.linnaeus.naturalis.nl/linnaeus_ng/app/views/species/taxon.php?id=8094)</t>
  </si>
  <si>
    <t>Glyptemys muhlenbergii: Turtles of the World (https://turtles.linnaeus.naturalis.nl/linnaeus_ng/app/views/species/taxon.php?id=8093)</t>
  </si>
  <si>
    <t>Gopherus agassizii: Turtles of the World (https://turtles.linnaeus.naturalis.nl/linnaeus_ng/app/views/species/taxon.php?id=8185)</t>
  </si>
  <si>
    <t>Gopherus berlandieri: Turtles of the World (https://turtles.linnaeus.naturalis.nl/linnaeus_ng/app/views/species/taxon.php?id=8186)</t>
  </si>
  <si>
    <t>Gopherus polyphemus: Turtles of the World (https://turtles.linnaeus.naturalis.nl/linnaeus_ng/app/views/species/taxon.php?id=8184)</t>
  </si>
  <si>
    <t>Graptemys pseudogeographica: Turtles of the World (https://turtles.linnaeus.naturalis.nl/linnaeus_ng/app/views/species/taxon.php?id=8125)</t>
  </si>
  <si>
    <t>Graptemys_geographica: Turtles of the World (https://turtles.linnaeus.naturalis.nl/linnaeus_ng/app/views/species/taxon.php?id=8119)</t>
  </si>
  <si>
    <t>Indotestudo elongata: Turtles of the World (https://turtles.linnaeus.naturalis.nl/linnaeus_ng/app/views/species/taxon.php?id=8151)</t>
  </si>
  <si>
    <t>Kinixys homeana: Turtles of the World (https://turtles.linnaeus.naturalis.nl/linnaeus_ng/app/views/species/taxon.php?id=8136)</t>
  </si>
  <si>
    <t>Kinosternon leucostomum: Turtles of the World (https://turtles.linnaeus.naturalis.nl/linnaeus_ng/app/views/species/taxon.php?id=8016)</t>
  </si>
  <si>
    <t>Kinosternon_flavescens: Turtles of the World (https://turtles.linnaeus.naturalis.nl/linnaeus_ng/app/views/species/taxon.php?id=8025)</t>
  </si>
  <si>
    <t>Macrochelys temminckii: Turtles of the World (https://turtles.linnaeus.naturalis.nl/linnaeus_ng/app/views/species/taxon.php?id=7971)</t>
  </si>
  <si>
    <t>Pelodiscus sinensis: Turtles of the World (https://turtles.linnaeus.naturalis.nl/linnaeus_ng/app/views/species/taxon.php?id=7983)</t>
  </si>
  <si>
    <t>Pelomedusa subrufa: Turtles of the World (https://turtles.linnaeus.naturalis.nl/linnaeus_ng/app/views/species/taxon.php?id=7900)</t>
  </si>
  <si>
    <t>Pelusios castaneus: Turtles of the World (https://turtles.linnaeus.naturalis.nl/linnaeus_ng/app/views/species/taxon.php?id=7905)</t>
  </si>
  <si>
    <t>Platemys platycephala: Turtles of the World (https://turtles.linnaeus.naturalis.nl/linnaeus_ng/app/views/species/taxon.php?id=7962)</t>
  </si>
  <si>
    <t>Podocnemis unifilis: Turtles of the World (https://turtles.linnaeus.naturalis.nl/linnaeus_ng/app/views/species/taxon.php?id=7921)</t>
  </si>
  <si>
    <t>Sternotherus odoratus: Turtles of the World (https://turtles.linnaeus.naturalis.nl/linnaeus_ng/app/views/species/nsr_taxon.php?id=8008)</t>
  </si>
  <si>
    <t>Testudo graeca: Turtles of the World (https://turtles.linnaeus.naturalis.nl/linnaeus_ng/app/views/species/taxon.php?id=8177)</t>
  </si>
  <si>
    <t>Testudo hermanni: Turtles of the World (https://turtles.linnaeus.naturalis.nl/linnaeus_ng/app/views/species/taxon.php?id=8178)</t>
  </si>
  <si>
    <t>Testudo horsfieldii: Turtles of the World (https://turtles.linnaeus.naturalis.nl/linnaeus_ng/app/views/species/taxon.php?id=8179)</t>
  </si>
  <si>
    <t>Testudo kleinmanni: Turtles of the World (https://turtles.linnaeus.naturalis.nl/linnaeus_ng/app/views/species/taxon.php?id=8180)</t>
  </si>
  <si>
    <t>Testudo marginata: Turtles of the World (https://turtles.linnaeus.naturalis.nl/linnaeus_ng/app/views/species/taxon.php?id=8181)</t>
  </si>
  <si>
    <t>Espinoza, R.E., 2002. Body size, temperature, and the evolution of herbivory in reptiles. University of Nevada, Reno.</t>
  </si>
  <si>
    <t>Guisheng and Dayou 2002</t>
  </si>
  <si>
    <t>Guisheng, L. and Dayou, T., 2002. Study on the breeding ecology of Cuora trifasciata. Ecologic Science, 21(2), pp.112-114.</t>
  </si>
  <si>
    <t>weblink3</t>
  </si>
  <si>
    <t>weblink4</t>
  </si>
  <si>
    <t>Novelli, I.A. and de Sousa, B.M., 2008. Hydromedusa maximiliani (Brazilian snake-necked turtle). Hatchling size and body mass. Herpetological Review, 39(3), pp.344-345.</t>
  </si>
  <si>
    <t>Novelli and de Sousa 2008</t>
  </si>
  <si>
    <t>Blackwell 1968</t>
  </si>
  <si>
    <t>Blackwell, K., 1968. Some observations on the hatching and growth of the African tortoise Kinixys homeana. British Journal of Herpetology, 4, pp.40-41.</t>
  </si>
  <si>
    <t>Galgon 1991</t>
  </si>
  <si>
    <t>Galgon, F., 2002. Captive bred hybrids between Chinemys reevesii (Gray, 1831) and Cuora amboinensis kamaroma Rummler &amp; Fritz, 1991. Herpetozoa, 15(3/4), pp.137-148.</t>
  </si>
  <si>
    <t>weblink5</t>
  </si>
  <si>
    <t>weblink6</t>
  </si>
  <si>
    <t>Siebenrockiella crassicollis: Turtles of the World (https://turtles.linnaeus.naturalis.nl/linnaeus_ng/app/views/species/taxon.php?id=8050)</t>
  </si>
  <si>
    <t>Body mass</t>
  </si>
  <si>
    <t>Congdon, J.D., Breitenbach, G.L., van Loben Sels, R.C. and Tinkle, D.W., 1987. Reproduction and nesting ecology of snapping turtles (Chelydra serpentina) in southeastern Michigan. Herpetologica, pp.39-54.</t>
  </si>
  <si>
    <t>Congdon et al 1987</t>
  </si>
  <si>
    <t>Iverson, J.B., Balgooyen, C.P., Byrd, K.K. and Lyddan, K.K., 1993. Latitudinal variation in egg and clutch size in turtles. Canadian Journal of Zoology, 71(12), pp.2448-2461.</t>
  </si>
  <si>
    <t>Iverson et al 1993</t>
  </si>
  <si>
    <t>Chelonoidis_carbonaria</t>
  </si>
  <si>
    <t>Chelonoidis_nigra</t>
  </si>
  <si>
    <t>Geochelone_elegants</t>
  </si>
  <si>
    <t>Wild</t>
  </si>
  <si>
    <t>Female</t>
  </si>
  <si>
    <t>Unknown</t>
  </si>
  <si>
    <t>family</t>
  </si>
  <si>
    <t>order</t>
  </si>
  <si>
    <t>sourcedb</t>
  </si>
  <si>
    <t>varname</t>
  </si>
  <si>
    <t>varvalue</t>
  </si>
  <si>
    <t>biofunction</t>
  </si>
  <si>
    <t>demovar</t>
  </si>
  <si>
    <t>origin</t>
  </si>
  <si>
    <t>sex</t>
  </si>
  <si>
    <t>quality</t>
  </si>
  <si>
    <t>Testudinidae</t>
  </si>
  <si>
    <t>Testudines</t>
  </si>
  <si>
    <t>ALHDB</t>
  </si>
  <si>
    <t>litter_or_clutch_size_n</t>
  </si>
  <si>
    <t>Fertility/Reproduction</t>
  </si>
  <si>
    <t>Litter/Clutch size</t>
  </si>
  <si>
    <t>NA</t>
  </si>
  <si>
    <t>litters_or_clutches_n_or_y</t>
  </si>
  <si>
    <t>maximum_longevity_y</t>
  </si>
  <si>
    <t>Survival/Mortality</t>
  </si>
  <si>
    <t>Maximum recorded lifespan</t>
  </si>
  <si>
    <t>no_sex_maturity_d</t>
  </si>
  <si>
    <t>Age at first reproduction</t>
  </si>
  <si>
    <t>AnAge</t>
  </si>
  <si>
    <t>Maximum.longevity..yrs.</t>
  </si>
  <si>
    <t>Captive</t>
  </si>
  <si>
    <t>questionable</t>
  </si>
  <si>
    <t>female_maturity_d</t>
  </si>
  <si>
    <t>male_maturity_d</t>
  </si>
  <si>
    <t>Male</t>
  </si>
  <si>
    <t>acceptable</t>
  </si>
  <si>
    <t>inter_litter_or_interbirth_interval_y</t>
  </si>
  <si>
    <t>Inter-litter/Inter-birth interval</t>
  </si>
  <si>
    <t>DATLife_DB</t>
  </si>
  <si>
    <t>AnnSurvival</t>
  </si>
  <si>
    <t>Crude mortality</t>
  </si>
  <si>
    <t>Male/Female</t>
  </si>
  <si>
    <t>Survival</t>
  </si>
  <si>
    <t>Shine_&amp;_Iverson_1995</t>
  </si>
  <si>
    <t>AgeMaturity.yrs</t>
  </si>
  <si>
    <t>AgeMaturity</t>
  </si>
  <si>
    <t>M</t>
  </si>
  <si>
    <t>AnnualSurvival</t>
  </si>
  <si>
    <t>COMADRE</t>
  </si>
  <si>
    <t>Matrix</t>
  </si>
  <si>
    <t>Survival/Mortality and Fertility/Reproduction</t>
  </si>
  <si>
    <t>Matrix with age- or stage-specific fertility and death rates</t>
  </si>
  <si>
    <t>LifeTable</t>
  </si>
  <si>
    <t>Matrix with age- or stage-specific death rates</t>
  </si>
  <si>
    <t>Lifetable with age- or stage-specific fertility and death rates</t>
  </si>
  <si>
    <t>Female.maturity..days.</t>
  </si>
  <si>
    <t>Male.maturity..days.</t>
  </si>
  <si>
    <t>Litter.Clutch.size</t>
  </si>
  <si>
    <t>Grimm_et_al_2014</t>
  </si>
  <si>
    <t>Median_age_female</t>
  </si>
  <si>
    <t>Min_age_male</t>
  </si>
  <si>
    <t>Median_age_male</t>
  </si>
  <si>
    <t>Min_age_female</t>
  </si>
  <si>
    <t>Chelonoidis_denticulata</t>
  </si>
  <si>
    <t>Dipsochelys_arnoldi</t>
  </si>
  <si>
    <t>Dipsochelys_dussumieri</t>
  </si>
  <si>
    <t>Dipsochelys_hololissa</t>
  </si>
  <si>
    <t>Gopherus_morafkai</t>
  </si>
  <si>
    <t>da Silva et al 2022</t>
  </si>
  <si>
    <t>da Silva, R., Conde, D.A., Baudisch, A. and Colchero, F., 2022. Slow and negligible senescence among testudines challenges evolutionary theories of senescence. Science, 376(6600), pp.1466-1470.</t>
  </si>
  <si>
    <t>Reinke et al 2022</t>
  </si>
  <si>
    <t>Reinke, B.A., Cayuela, H., Janzen, F.J., Lemaître, J.F., Gaillard, J.M., Lawing, A.M., Iverson, J.B., Christiansen, D.G., Martínez-Solano, I., Sánchez-Montes, G. and Gutiérrez-Rodríguez, J., 2022. Diverse aging rates in ectothermic tetrapods provide insights for the evolution of aging and longevity. Science, 376(6600), pp.1459-1466.</t>
  </si>
  <si>
    <t>Kayat and Saragih 2021</t>
  </si>
  <si>
    <t>Kayat and Saragih, G.S., 2021, December. Reproductive biology of the Rote Snake-necked Turtle Chelodina mccordi (Rhodin, 1994) in Oelsonbai Captivity, Kupang. In IOP Conference Series: Earth and Environmental Science (Vol. 948, No. 1, p. 012021). IOP Publishing.</t>
  </si>
  <si>
    <t>da Silva et al 2022; Myhrvold et al 2015</t>
  </si>
  <si>
    <t>spID</t>
  </si>
  <si>
    <t>Zuffi, M.A.L., Odetti, F. and Meozzi, P., 1999. Body size and clutch size in the European pond turtle (Emys orbicularis) from central Italy. Journal of Zoology, 247(2), pp.139-143.</t>
  </si>
  <si>
    <t>Zuffi et al 1999</t>
  </si>
  <si>
    <t>Zuffi, M.A.L., Celani, A., Foschi, E. and Tripepi, S., 2007. Reproductive strategies and body shape in the European pond turtle (Emys orbicularis) from contrasting habitats in Italy. Journal of Zoology, 271(2), pp.218-224.</t>
  </si>
  <si>
    <t>Zuffi et al 2007</t>
  </si>
  <si>
    <t>Zuffi et al 1999; Zuffi et al 2007</t>
  </si>
  <si>
    <t>Ayaz, D., Çiçek, K., Bayrakci, Y. and Tok, C.V., 2017. Reproductive ecology of the European pond turtle, Emys orbicularis (Linnaeus, 1758), from Mediterranean Turkey. Acta Zool Bulg, 10(Suppl), pp.23-29.</t>
  </si>
  <si>
    <t>Ayaz et al 2017</t>
  </si>
  <si>
    <t>Novotný, M., Danko, S. and Havaš, P., 2004. Activity cycle and reproductive characteristics of the European pond turtle (Emys orbicularis) in the Tajba National Nature Reserve, Slovakia. Biologia, 59(14), pp.113-121.</t>
  </si>
  <si>
    <t>Novotný et al 2004</t>
  </si>
  <si>
    <t>Zuffi et al 2006</t>
  </si>
  <si>
    <t>Zuffi et al 1999; Ayaz et al 2017, Novotný et al 2004, Zuffi et al 2006</t>
  </si>
  <si>
    <t>fBM</t>
  </si>
  <si>
    <t>Hailey, A.D.R.I.A.N. and Coulson, I.M., 1996. Nesting behaviour and clutch and egg size of the hingeback tortoise Kinixys spekii. BULLETIN-BRITISH HERPETOLOGICAL SOCIETY, pp.11-18.</t>
  </si>
  <si>
    <t>Hailey and Coulson 1996</t>
  </si>
  <si>
    <t>Allen et al 2017 (also see Hailey and Coulson 1996)</t>
  </si>
  <si>
    <t>University of the West Indies. (2024). Podocnemis unifilis - Yellow-headed Sideneck Turtle. Retrieved from https://sta.uwi.edu/fst/lifesciences/sites/default/files/lifesciences/documents/ogatt/Podocnemis_unifilis%20-%20Yellow-headed%20Sideneck%20Turtle.pdf</t>
  </si>
  <si>
    <t>University of the West Indies (2024)</t>
  </si>
  <si>
    <t>Myhrvold et al 2015 (also see University of the West Indies (2024))</t>
  </si>
  <si>
    <t>da Silva et al 2022; Allen et al 2017</t>
  </si>
  <si>
    <t>Lindeman, P.V., 2013. The map turtle and sawback atlas: ecology, evolution, distribution, and conservation (Vol. 12). University of Oklahoma Press.</t>
  </si>
  <si>
    <t>Lindeman 2013</t>
  </si>
  <si>
    <t>Ernst, C.H. and Lovich, J.E., 2009. Turtles of the united states and Canada. JHU Press.</t>
  </si>
  <si>
    <t>Ernest and Lovich 2009</t>
  </si>
  <si>
    <t>Jones, R.L., 1996. Home range and seasonal movements of the turtle Graptemys flavimaculata. Journal of Herpetology, pp.376-385.</t>
  </si>
  <si>
    <t>Jones 1996</t>
  </si>
  <si>
    <t>Vogt, R.C. and Guzman, S.G., 1988. Food partitioning in a neotropical freshwater turtle community. Copeia, pp.37-47.</t>
  </si>
  <si>
    <t>Vogt and Guzman 1988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</si>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</sst>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3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i/>
      <sz val="10"/>
      <color rgb="FF000000"/>
      <name val="Calibri"/>
      <family val="2"/>
    </font>
    <font>
      <sz val="12"/>
      <color rgb="FF000000"/>
      <name val="Calibri"/>
      <family val="2"/>
      <scheme val="minor"/>
    </font>
    <font>
      <sz val="10"/>
      <color rgb="FF000000"/>
      <name val="Calibri"/>
      <family val="2"/>
      <scheme val="minor"/>
    </font>
    <font>
      <b/>
      <sz val="12"/>
      <color rgb="FF000000"/>
      <name val="Calibri"/>
      <family val="34"/>
    </font>
    <font>
      <sz val="12"/>
      <color rgb="FF000000"/>
      <name val="Calibri"/>
      <family val="34"/>
    </font>
    <font>
      <sz val="12"/>
      <color rgb="FFC9211E"/>
      <name val="Calibri"/>
      <family val="2"/>
    </font>
    <font>
      <sz val="12"/>
      <color theme="1"/>
      <name val="Calibri"/>
      <family val="2"/>
    </font>
    <font>
      <sz val="12"/>
      <color rgb="FF000000"/>
      <name val="Calibri"/>
      <family val="2"/>
    </font>
    <font>
      <b/>
      <sz val="12"/>
      <color theme="1"/>
      <name val="Calibri"/>
      <family val="2"/>
    </font>
    <font>
      <sz val="10"/>
      <color rgb="FF000000"/>
      <name val="Calibri"/>
      <family val="2"/>
    </font>
    <font>
      <b/>
      <sz val="12"/>
      <color rgb="FF000000"/>
      <name val="Times New Roman"/>
      <family val="1"/>
    </font>
    <font>
      <sz val="12"/>
      <color rgb="FF000000"/>
      <name val="Times New Roman"/>
      <family val="1"/>
    </font>
    <font>
      <b/>
      <sz val="10"/>
      <color rgb="FF000000"/>
      <name val="Calibri"/>
      <family val="2"/>
    </font>
    <font>
      <b/>
      <i/>
      <sz val="10"/>
      <color rgb="FF000000"/>
      <name val="Calibri"/>
      <family val="2"/>
    </font>
    <font>
      <sz val="8"/>
      <name val="Calibri"/>
      <family val="2"/>
      <scheme val="minor"/>
    </font>
    <font>
      <b/>
      <sz val="10"/>
      <color rgb="FF000000"/>
      <name val="Calibri"/>
      <family val="34"/>
    </font>
    <font>
      <sz val="10"/>
      <color rgb="FF000000"/>
      <name val="Calibri"/>
      <family val="34"/>
    </font>
    <font>
      <i/>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1" fontId="0" fillId="0" borderId="0" xfId="0" applyNumberFormat="1"/>
    <xf numFmtId="0" fontId="0" fillId="0" borderId="0" xfId="0" applyAlignment="1">
      <alignment vertical="center"/>
    </xf>
    <xf numFmtId="0" fontId="0" fillId="0" borderId="0" xfId="0" applyAlignment="1">
      <alignment vertical="center" wrapText="1"/>
    </xf>
    <xf numFmtId="2" fontId="0" fillId="0" borderId="0" xfId="0" applyNumberFormat="1"/>
    <xf numFmtId="0" fontId="21" fillId="0" borderId="0" xfId="0" applyFont="1"/>
    <xf numFmtId="0" fontId="0" fillId="0" borderId="0" xfId="0" applyAlignment="1">
      <alignment wrapText="1"/>
    </xf>
    <xf numFmtId="0" fontId="25" fillId="0" borderId="0" xfId="0" applyFont="1"/>
    <xf numFmtId="165" fontId="0" fillId="0" borderId="0" xfId="0" applyNumberFormat="1"/>
    <xf numFmtId="165" fontId="27" fillId="0" borderId="0" xfId="0" applyNumberFormat="1" applyFont="1"/>
    <xf numFmtId="0" fontId="26" fillId="0" borderId="0" xfId="0" applyFont="1"/>
    <xf numFmtId="0" fontId="27" fillId="0" borderId="0" xfId="0" applyFont="1"/>
    <xf numFmtId="2" fontId="27" fillId="0" borderId="0" xfId="0" applyNumberFormat="1" applyFont="1"/>
    <xf numFmtId="0" fontId="0" fillId="0" borderId="0" xfId="0" applyAlignment="1">
      <alignment horizontal="left"/>
    </xf>
    <xf numFmtId="0" fontId="0" fillId="0" borderId="0" xfId="0" applyAlignment="1">
      <alignment horizontal="right"/>
    </xf>
    <xf numFmtId="0" fontId="26" fillId="0" borderId="0" xfId="0" applyFont="1" applyAlignment="1">
      <alignment horizontal="left"/>
    </xf>
    <xf numFmtId="2" fontId="26" fillId="0" borderId="0" xfId="0" applyNumberFormat="1" applyFont="1"/>
    <xf numFmtId="0" fontId="28" fillId="0" borderId="0" xfId="0" applyFont="1" applyAlignment="1">
      <alignment horizontal="center"/>
    </xf>
    <xf numFmtId="2" fontId="26" fillId="0" borderId="0" xfId="0" applyNumberFormat="1" applyFont="1" applyAlignment="1">
      <alignment horizontal="right"/>
    </xf>
    <xf numFmtId="0" fontId="26" fillId="0" borderId="0" xfId="0" applyFont="1" applyAlignment="1">
      <alignment horizontal="center"/>
    </xf>
    <xf numFmtId="0" fontId="0" fillId="0" borderId="0" xfId="0" applyAlignment="1">
      <alignment horizontal="center"/>
    </xf>
    <xf numFmtId="2" fontId="26" fillId="0" borderId="0" xfId="0" applyNumberFormat="1" applyFont="1" applyAlignment="1">
      <alignment horizontal="center"/>
    </xf>
    <xf numFmtId="0" fontId="28" fillId="0" borderId="0" xfId="0" applyFont="1"/>
    <xf numFmtId="0" fontId="30" fillId="0" borderId="0" xfId="0" applyFont="1" applyAlignment="1">
      <alignment vertical="center"/>
    </xf>
    <xf numFmtId="0" fontId="26" fillId="0" borderId="0" xfId="0" applyFont="1" applyAlignment="1">
      <alignment horizontal="right"/>
    </xf>
    <xf numFmtId="0" fontId="31" fillId="0" borderId="0" xfId="0" applyFont="1" applyAlignment="1">
      <alignment vertical="center"/>
    </xf>
    <xf numFmtId="165" fontId="26" fillId="0" borderId="0" xfId="0" applyNumberFormat="1" applyFont="1"/>
    <xf numFmtId="0" fontId="16" fillId="0" borderId="0" xfId="0" applyFont="1" applyAlignment="1">
      <alignment vertical="center"/>
    </xf>
    <xf numFmtId="0" fontId="16" fillId="0" borderId="0" xfId="0" applyFont="1"/>
    <xf numFmtId="0" fontId="21" fillId="0" borderId="0" xfId="0" applyFont="1" applyAlignment="1">
      <alignment vertical="center"/>
    </xf>
    <xf numFmtId="0" fontId="16" fillId="0" borderId="0" xfId="0" applyFont="1" applyAlignment="1">
      <alignment horizontal="center" vertical="center"/>
    </xf>
    <xf numFmtId="164" fontId="0" fillId="0" borderId="0" xfId="0" applyNumberFormat="1"/>
    <xf numFmtId="164" fontId="27"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BC4F-65F8-0C4D-999B-D2121CCA520E}">
  <dimension ref="A1:AB76"/>
  <sheetViews>
    <sheetView tabSelected="1" zoomScaleNormal="172" workbookViewId="0">
      <pane xSplit="3" ySplit="1" topLeftCell="D2" activePane="bottomRight" state="frozenSplit"/>
      <selection pane="topRight" activeCell="I1" sqref="I1"/>
      <selection pane="bottomLeft" activeCell="A36" sqref="A36"/>
      <selection pane="bottomRight" activeCell="H16" sqref="H16"/>
    </sheetView>
  </sheetViews>
  <sheetFormatPr baseColWidth="10" defaultRowHeight="16" x14ac:dyDescent="0.2"/>
  <cols>
    <col min="1" max="1" width="4.6640625" bestFit="1" customWidth="1"/>
    <col min="2" max="2" width="27.5" bestFit="1" customWidth="1"/>
    <col min="3" max="3" width="8.6640625" bestFit="1" customWidth="1"/>
    <col min="4" max="4" width="15.33203125" bestFit="1" customWidth="1"/>
    <col min="5" max="5" width="10.6640625" bestFit="1" customWidth="1"/>
    <col min="6" max="6" width="11.6640625" bestFit="1" customWidth="1"/>
    <col min="7" max="7" width="14.1640625" bestFit="1" customWidth="1"/>
    <col min="8" max="8" width="11" bestFit="1" customWidth="1"/>
    <col min="9" max="9" width="9.6640625" bestFit="1" customWidth="1"/>
    <col min="10" max="11" width="13" bestFit="1" customWidth="1"/>
    <col min="12" max="12" width="15.5" bestFit="1" customWidth="1"/>
    <col min="13" max="13" width="15.1640625" bestFit="1" customWidth="1"/>
    <col min="14" max="14" width="17.83203125" bestFit="1" customWidth="1"/>
    <col min="15" max="15" width="16.6640625" bestFit="1" customWidth="1"/>
    <col min="16" max="16" width="13.33203125" bestFit="1" customWidth="1"/>
    <col min="17" max="17" width="16.1640625" bestFit="1" customWidth="1"/>
    <col min="18" max="18" width="6" bestFit="1" customWidth="1"/>
    <col min="19" max="19" width="21.1640625" bestFit="1" customWidth="1"/>
    <col min="20" max="20" width="17.5" bestFit="1" customWidth="1"/>
    <col min="21" max="21" width="15" bestFit="1" customWidth="1"/>
    <col min="22" max="24" width="17.83203125" bestFit="1" customWidth="1"/>
    <col min="25" max="25" width="15.33203125" bestFit="1" customWidth="1"/>
    <col min="26" max="27" width="18.1640625" bestFit="1" customWidth="1"/>
    <col min="28" max="28" width="16.83203125" bestFit="1" customWidth="1"/>
  </cols>
  <sheetData>
    <row r="1" spans="1:28" x14ac:dyDescent="0.2">
      <c r="A1" t="s">
        <v>718</v>
      </c>
      <c r="B1" t="s">
        <v>0</v>
      </c>
      <c r="C1" t="s">
        <v>130</v>
      </c>
      <c r="D1" t="s">
        <v>121</v>
      </c>
      <c r="E1" t="s">
        <v>138</v>
      </c>
      <c r="F1" t="s">
        <v>139</v>
      </c>
      <c r="G1" t="s">
        <v>135</v>
      </c>
      <c r="H1" t="s">
        <v>2</v>
      </c>
      <c r="I1" t="s">
        <v>3</v>
      </c>
      <c r="J1" t="s">
        <v>4</v>
      </c>
      <c r="K1" t="s">
        <v>161</v>
      </c>
      <c r="L1" t="s">
        <v>160</v>
      </c>
      <c r="M1" t="s">
        <v>157</v>
      </c>
      <c r="N1" t="s">
        <v>156</v>
      </c>
      <c r="O1" t="s">
        <v>30</v>
      </c>
      <c r="P1" t="s">
        <v>158</v>
      </c>
      <c r="Q1" t="s">
        <v>159</v>
      </c>
      <c r="R1" t="s">
        <v>5</v>
      </c>
      <c r="S1" t="s">
        <v>38</v>
      </c>
      <c r="T1" t="s">
        <v>6</v>
      </c>
      <c r="U1" t="s">
        <v>7</v>
      </c>
      <c r="V1" t="s">
        <v>8</v>
      </c>
      <c r="W1" t="s">
        <v>9</v>
      </c>
      <c r="X1" t="s">
        <v>10</v>
      </c>
      <c r="Y1" t="s">
        <v>11</v>
      </c>
      <c r="Z1" t="s">
        <v>12</v>
      </c>
      <c r="AA1" t="s">
        <v>13</v>
      </c>
      <c r="AB1" t="s">
        <v>37</v>
      </c>
    </row>
    <row r="2" spans="1:28" x14ac:dyDescent="0.2">
      <c r="A2">
        <v>1</v>
      </c>
      <c r="B2" t="s">
        <v>67</v>
      </c>
      <c r="C2" t="s">
        <v>132</v>
      </c>
      <c r="D2" t="s">
        <v>140</v>
      </c>
      <c r="E2" t="s">
        <v>14</v>
      </c>
      <c r="F2" t="s">
        <v>134</v>
      </c>
      <c r="G2" t="s">
        <v>136</v>
      </c>
      <c r="H2">
        <v>152</v>
      </c>
      <c r="I2" t="s">
        <v>17</v>
      </c>
      <c r="J2" t="s">
        <v>18</v>
      </c>
      <c r="K2">
        <f t="shared" ref="K2:K11" si="0">(L2*P2)/Q2</f>
        <v>2.1467152228800562E-2</v>
      </c>
      <c r="L2" s="8">
        <v>27</v>
      </c>
      <c r="M2" s="8">
        <f t="shared" ref="M2:M14" si="1">L2*P2</f>
        <v>2.1816</v>
      </c>
      <c r="N2" s="8">
        <f>45*0.001</f>
        <v>4.4999999999999998E-2</v>
      </c>
      <c r="O2" s="8"/>
      <c r="P2" s="8">
        <f>80.8*0.001</f>
        <v>8.0799999999999997E-2</v>
      </c>
      <c r="Q2" s="8">
        <v>101.62503049999999</v>
      </c>
      <c r="R2" s="4">
        <v>25</v>
      </c>
      <c r="S2" t="s">
        <v>41</v>
      </c>
      <c r="T2">
        <v>47.745771509999997</v>
      </c>
      <c r="U2">
        <v>6.7445737020000003</v>
      </c>
      <c r="V2">
        <v>37.992947919999999</v>
      </c>
      <c r="W2">
        <v>64.256017259999993</v>
      </c>
      <c r="X2">
        <v>3.1689499999999998E-4</v>
      </c>
      <c r="Y2">
        <v>3.461305E-3</v>
      </c>
      <c r="Z2">
        <v>-4.2706990000000002E-3</v>
      </c>
      <c r="AA2">
        <v>9.3282680000000007E-3</v>
      </c>
      <c r="AB2" t="s">
        <v>133</v>
      </c>
    </row>
    <row r="3" spans="1:28" x14ac:dyDescent="0.2">
      <c r="A3">
        <v>2</v>
      </c>
      <c r="B3" t="s">
        <v>80</v>
      </c>
      <c r="C3" t="s">
        <v>132</v>
      </c>
      <c r="D3" t="s">
        <v>140</v>
      </c>
      <c r="E3" t="s">
        <v>14</v>
      </c>
      <c r="F3" t="s">
        <v>134</v>
      </c>
      <c r="G3" t="s">
        <v>136</v>
      </c>
      <c r="H3">
        <v>26.2</v>
      </c>
      <c r="I3" t="s">
        <v>15</v>
      </c>
      <c r="J3" t="s">
        <v>16</v>
      </c>
      <c r="K3">
        <f t="shared" si="0"/>
        <v>0.17648120300751879</v>
      </c>
      <c r="L3" s="8">
        <f>22.5*4</f>
        <v>90</v>
      </c>
      <c r="M3" s="8">
        <f t="shared" si="1"/>
        <v>1.1736</v>
      </c>
      <c r="N3" s="8">
        <f>9.7*0.001</f>
        <v>9.7000000000000003E-3</v>
      </c>
      <c r="O3" s="8">
        <f>((36.2+44.3)/2)*0.1</f>
        <v>4.0250000000000004</v>
      </c>
      <c r="P3" s="8">
        <f>13.04*0.001</f>
        <v>1.304E-2</v>
      </c>
      <c r="Q3" s="8">
        <v>6.65</v>
      </c>
      <c r="R3" s="4">
        <v>9</v>
      </c>
      <c r="S3" t="s">
        <v>41</v>
      </c>
      <c r="T3">
        <v>9.866557555</v>
      </c>
      <c r="U3">
        <v>1.3369513399999999</v>
      </c>
      <c r="V3">
        <v>7.4100456469999996</v>
      </c>
      <c r="W3">
        <v>12.66630118</v>
      </c>
      <c r="X3">
        <v>5.7991212E-2</v>
      </c>
      <c r="Y3">
        <v>5.1592391000000001E-2</v>
      </c>
      <c r="Z3">
        <v>-4.624151E-3</v>
      </c>
      <c r="AA3">
        <v>0.18586507699999999</v>
      </c>
      <c r="AB3" t="s">
        <v>133</v>
      </c>
    </row>
    <row r="4" spans="1:28" x14ac:dyDescent="0.2">
      <c r="A4">
        <v>3</v>
      </c>
      <c r="B4" t="s">
        <v>79</v>
      </c>
      <c r="C4" t="s">
        <v>132</v>
      </c>
      <c r="D4" t="s">
        <v>140</v>
      </c>
      <c r="E4" t="s">
        <v>14</v>
      </c>
      <c r="F4" t="s">
        <v>134</v>
      </c>
      <c r="G4" t="s">
        <v>136</v>
      </c>
      <c r="H4">
        <v>25.2</v>
      </c>
      <c r="I4" t="s">
        <v>15</v>
      </c>
      <c r="J4" t="s">
        <v>16</v>
      </c>
      <c r="K4">
        <f t="shared" si="0"/>
        <v>9.5515949758463156E-2</v>
      </c>
      <c r="L4" s="8">
        <f>18*1.5</f>
        <v>27</v>
      </c>
      <c r="M4" s="8">
        <f t="shared" si="1"/>
        <v>0.25555499999999998</v>
      </c>
      <c r="N4" s="8"/>
      <c r="O4" s="8">
        <f>43.8*0.1</f>
        <v>4.38</v>
      </c>
      <c r="P4" s="8">
        <f>9.465*0.001</f>
        <v>9.4649999999999995E-3</v>
      </c>
      <c r="Q4" s="8">
        <v>2.6755217390000001</v>
      </c>
      <c r="R4" s="4">
        <v>9</v>
      </c>
      <c r="S4" t="s">
        <v>41</v>
      </c>
      <c r="T4">
        <v>8.5976257280000006</v>
      </c>
      <c r="U4">
        <v>1.151088831</v>
      </c>
      <c r="V4">
        <v>6.5617497470000004</v>
      </c>
      <c r="W4">
        <v>11.07902842</v>
      </c>
      <c r="X4">
        <v>4.0683944E-2</v>
      </c>
      <c r="Y4">
        <v>3.3434380999999999E-2</v>
      </c>
      <c r="Z4">
        <v>-4.2523170000000002E-3</v>
      </c>
      <c r="AA4">
        <v>0.120176554</v>
      </c>
      <c r="AB4" t="s">
        <v>133</v>
      </c>
    </row>
    <row r="5" spans="1:28" x14ac:dyDescent="0.2">
      <c r="A5">
        <v>4</v>
      </c>
      <c r="B5" t="s">
        <v>48</v>
      </c>
      <c r="C5" t="s">
        <v>132</v>
      </c>
      <c r="D5" t="s">
        <v>140</v>
      </c>
      <c r="E5" t="s">
        <v>14</v>
      </c>
      <c r="F5" s="7" t="s">
        <v>134</v>
      </c>
      <c r="G5" t="s">
        <v>136</v>
      </c>
      <c r="H5">
        <v>50</v>
      </c>
      <c r="I5" t="s">
        <v>15</v>
      </c>
      <c r="J5" t="s">
        <v>16</v>
      </c>
      <c r="K5">
        <f t="shared" si="0"/>
        <v>0.17775530811531315</v>
      </c>
      <c r="L5" s="8">
        <v>24</v>
      </c>
      <c r="M5" s="8">
        <f t="shared" si="1"/>
        <v>1.6896</v>
      </c>
      <c r="N5" s="8">
        <f>35.2*0.001</f>
        <v>3.5200000000000002E-2</v>
      </c>
      <c r="O5" s="8"/>
      <c r="P5" s="8">
        <f>70.4*0.001</f>
        <v>7.0400000000000004E-2</v>
      </c>
      <c r="Q5" s="8">
        <v>9.5052013800000008</v>
      </c>
      <c r="R5" s="4">
        <v>7</v>
      </c>
      <c r="S5" t="s">
        <v>41</v>
      </c>
      <c r="AB5" t="s">
        <v>133</v>
      </c>
    </row>
    <row r="6" spans="1:28" x14ac:dyDescent="0.2">
      <c r="A6">
        <v>5</v>
      </c>
      <c r="B6" t="s">
        <v>86</v>
      </c>
      <c r="C6" t="s">
        <v>132</v>
      </c>
      <c r="D6" t="s">
        <v>140</v>
      </c>
      <c r="E6" t="s">
        <v>14</v>
      </c>
      <c r="F6" t="s">
        <v>134</v>
      </c>
      <c r="G6" t="s">
        <v>136</v>
      </c>
      <c r="H6">
        <v>37</v>
      </c>
      <c r="I6" t="s">
        <v>15</v>
      </c>
      <c r="J6" t="s">
        <v>16</v>
      </c>
      <c r="K6">
        <f t="shared" si="0"/>
        <v>0.22232026868155713</v>
      </c>
      <c r="L6" s="8">
        <f>13.9*1.5</f>
        <v>20.85</v>
      </c>
      <c r="M6" s="8">
        <f t="shared" si="1"/>
        <v>0.15387300000000001</v>
      </c>
      <c r="N6" s="8">
        <f>3.7*0.01</f>
        <v>3.7000000000000005E-2</v>
      </c>
      <c r="O6" s="8">
        <f>((25+30)/2)*0.1</f>
        <v>2.75</v>
      </c>
      <c r="P6" s="8">
        <f>7.38*0.001</f>
        <v>7.3800000000000003E-3</v>
      </c>
      <c r="Q6" s="8">
        <v>0.69212312899999995</v>
      </c>
      <c r="R6" s="4">
        <v>10</v>
      </c>
      <c r="S6" t="s">
        <v>41</v>
      </c>
      <c r="T6">
        <v>21.07124147</v>
      </c>
      <c r="U6">
        <v>2.6912268469999998</v>
      </c>
      <c r="V6">
        <v>16.89328944</v>
      </c>
      <c r="W6">
        <v>27.327295960000001</v>
      </c>
      <c r="X6">
        <v>8.1182000000000008E-3</v>
      </c>
      <c r="Y6">
        <v>1.1812736000000001E-2</v>
      </c>
      <c r="Z6">
        <v>-5.7850200000000001E-3</v>
      </c>
      <c r="AA6">
        <v>3.8819200999999998E-2</v>
      </c>
      <c r="AB6" t="s">
        <v>133</v>
      </c>
    </row>
    <row r="7" spans="1:28" x14ac:dyDescent="0.2">
      <c r="A7">
        <v>6</v>
      </c>
      <c r="B7" t="s">
        <v>85</v>
      </c>
      <c r="C7" t="s">
        <v>132</v>
      </c>
      <c r="D7" t="s">
        <v>140</v>
      </c>
      <c r="E7" t="s">
        <v>14</v>
      </c>
      <c r="F7" t="s">
        <v>134</v>
      </c>
      <c r="G7" t="s">
        <v>136</v>
      </c>
      <c r="H7">
        <v>35</v>
      </c>
      <c r="I7" t="s">
        <v>15</v>
      </c>
      <c r="J7" t="s">
        <v>16</v>
      </c>
      <c r="K7">
        <f>(L7*P7)/Q7</f>
        <v>0.18881947193116896</v>
      </c>
      <c r="L7" s="8">
        <f>12.3*2</f>
        <v>24.6</v>
      </c>
      <c r="M7" s="8">
        <f t="shared" si="1"/>
        <v>0.15990000000000001</v>
      </c>
      <c r="N7" s="8"/>
      <c r="O7" s="8"/>
      <c r="P7" s="8">
        <f>6.5*0.001</f>
        <v>6.5000000000000006E-3</v>
      </c>
      <c r="Q7" s="8">
        <v>0.84684062699999996</v>
      </c>
      <c r="R7" s="4">
        <v>7</v>
      </c>
      <c r="S7" t="s">
        <v>41</v>
      </c>
      <c r="T7">
        <v>14.19721019</v>
      </c>
      <c r="U7">
        <v>2.5879863360000002</v>
      </c>
      <c r="V7">
        <v>10.46182554</v>
      </c>
      <c r="W7">
        <v>19.674915129999999</v>
      </c>
      <c r="X7">
        <v>6.6380349999999996E-3</v>
      </c>
      <c r="Y7">
        <v>3.4459814999999998E-2</v>
      </c>
      <c r="Z7">
        <v>-2.262315E-3</v>
      </c>
      <c r="AA7">
        <v>9.1463183000000003E-2</v>
      </c>
      <c r="AB7" t="s">
        <v>133</v>
      </c>
    </row>
    <row r="8" spans="1:28" x14ac:dyDescent="0.2">
      <c r="A8">
        <v>7</v>
      </c>
      <c r="B8" t="s">
        <v>90</v>
      </c>
      <c r="C8" t="s">
        <v>132</v>
      </c>
      <c r="D8" t="s">
        <v>141</v>
      </c>
      <c r="E8" t="s">
        <v>14</v>
      </c>
      <c r="F8" t="s">
        <v>14</v>
      </c>
      <c r="G8" t="s">
        <v>137</v>
      </c>
      <c r="H8">
        <v>45</v>
      </c>
      <c r="I8" t="s">
        <v>15</v>
      </c>
      <c r="J8" t="s">
        <v>18</v>
      </c>
      <c r="K8">
        <f t="shared" si="0"/>
        <v>0.11641010528754736</v>
      </c>
      <c r="L8" s="8">
        <v>383.50850000000003</v>
      </c>
      <c r="M8" s="8">
        <f t="shared" si="1"/>
        <v>17.98654865</v>
      </c>
      <c r="N8" s="8">
        <f>24*0.001</f>
        <v>2.4E-2</v>
      </c>
      <c r="O8" s="8"/>
      <c r="P8" s="8">
        <f>46.9*0.001</f>
        <v>4.6899999999999997E-2</v>
      </c>
      <c r="Q8" s="8">
        <v>154.5102</v>
      </c>
      <c r="R8" s="4">
        <v>12.01</v>
      </c>
      <c r="S8" t="s">
        <v>40</v>
      </c>
      <c r="T8">
        <v>16.642924699999998</v>
      </c>
      <c r="U8">
        <v>0.77217449999999999</v>
      </c>
      <c r="V8">
        <v>15.1687221</v>
      </c>
      <c r="W8">
        <v>18.2030095</v>
      </c>
      <c r="X8">
        <v>8.4498809999999994E-2</v>
      </c>
      <c r="Y8">
        <v>1.006815E-2</v>
      </c>
      <c r="Z8">
        <f>X8-1.96*Y8</f>
        <v>6.476523599999999E-2</v>
      </c>
      <c r="AA8">
        <f>X8+1.96*Y8</f>
        <v>0.104232384</v>
      </c>
      <c r="AB8" t="s">
        <v>108</v>
      </c>
    </row>
    <row r="9" spans="1:28" x14ac:dyDescent="0.2">
      <c r="A9">
        <v>7</v>
      </c>
      <c r="B9" t="s">
        <v>117</v>
      </c>
      <c r="C9" t="s">
        <v>132</v>
      </c>
      <c r="D9" t="s">
        <v>142</v>
      </c>
      <c r="E9" t="s">
        <v>19</v>
      </c>
      <c r="F9" t="s">
        <v>14</v>
      </c>
      <c r="G9" t="s">
        <v>137</v>
      </c>
      <c r="H9">
        <v>32</v>
      </c>
      <c r="I9" t="s">
        <v>15</v>
      </c>
      <c r="J9" t="s">
        <v>18</v>
      </c>
      <c r="K9">
        <f t="shared" si="0"/>
        <v>5.6158273430120045E-2</v>
      </c>
      <c r="L9" s="8">
        <v>195.84209999999999</v>
      </c>
      <c r="M9" s="8">
        <f t="shared" si="1"/>
        <v>9.1849944899999993</v>
      </c>
      <c r="N9" s="8">
        <f>24*0.001</f>
        <v>2.4E-2</v>
      </c>
      <c r="O9" s="8"/>
      <c r="P9" s="8">
        <f>46.9*0.001</f>
        <v>4.6899999999999997E-2</v>
      </c>
      <c r="Q9" s="8">
        <v>163.55549999999999</v>
      </c>
      <c r="R9" s="4">
        <v>12.4</v>
      </c>
      <c r="S9" t="s">
        <v>40</v>
      </c>
      <c r="T9">
        <v>10.202719699999999</v>
      </c>
      <c r="U9">
        <v>1.0216968099999999</v>
      </c>
      <c r="V9">
        <v>8.2680802</v>
      </c>
      <c r="W9">
        <v>12.2762341</v>
      </c>
      <c r="X9">
        <v>9.2513880000000007E-2</v>
      </c>
      <c r="Y9">
        <v>2.36723E-2</v>
      </c>
      <c r="Z9">
        <v>4.6117020000000002E-2</v>
      </c>
      <c r="AA9">
        <v>0.1389107</v>
      </c>
      <c r="AB9" t="s">
        <v>108</v>
      </c>
    </row>
    <row r="10" spans="1:28" x14ac:dyDescent="0.2">
      <c r="A10">
        <v>7</v>
      </c>
      <c r="B10" t="s">
        <v>118</v>
      </c>
      <c r="C10" t="s">
        <v>132</v>
      </c>
      <c r="D10" t="s">
        <v>154</v>
      </c>
      <c r="E10" t="s">
        <v>155</v>
      </c>
      <c r="F10" t="s">
        <v>14</v>
      </c>
      <c r="G10" t="s">
        <v>137</v>
      </c>
      <c r="H10">
        <v>45</v>
      </c>
      <c r="I10" t="s">
        <v>15</v>
      </c>
      <c r="J10" t="s">
        <v>18</v>
      </c>
      <c r="K10">
        <f t="shared" si="0"/>
        <v>0.11946691841273467</v>
      </c>
      <c r="L10" s="8">
        <v>392.62790000000001</v>
      </c>
      <c r="M10" s="8">
        <f>L10*P10</f>
        <v>18.41424851</v>
      </c>
      <c r="N10" s="8">
        <v>2.4E-2</v>
      </c>
      <c r="O10" s="8"/>
      <c r="P10" s="8">
        <v>4.6899999999999997E-2</v>
      </c>
      <c r="Q10" s="8">
        <v>154.13679999999999</v>
      </c>
      <c r="R10" s="4">
        <v>11.89</v>
      </c>
      <c r="S10" t="s">
        <v>40</v>
      </c>
      <c r="T10">
        <v>19.599272800000001</v>
      </c>
      <c r="U10">
        <v>0.88884768999999997</v>
      </c>
      <c r="V10">
        <v>17.836106099999999</v>
      </c>
      <c r="W10">
        <v>21.334934000000001</v>
      </c>
      <c r="X10">
        <v>0.10298222999999999</v>
      </c>
      <c r="Y10">
        <v>1.202115E-2</v>
      </c>
      <c r="Z10">
        <v>7.9421210000000006E-2</v>
      </c>
      <c r="AA10">
        <v>0.1265433</v>
      </c>
      <c r="AB10" t="s">
        <v>108</v>
      </c>
    </row>
    <row r="11" spans="1:28" x14ac:dyDescent="0.2">
      <c r="A11">
        <v>8</v>
      </c>
      <c r="B11" t="s">
        <v>62</v>
      </c>
      <c r="C11" t="s">
        <v>132</v>
      </c>
      <c r="D11" t="s">
        <v>140</v>
      </c>
      <c r="E11" t="s">
        <v>14</v>
      </c>
      <c r="F11" t="s">
        <v>134</v>
      </c>
      <c r="G11" t="s">
        <v>136</v>
      </c>
      <c r="H11">
        <v>20</v>
      </c>
      <c r="I11" t="s">
        <v>17</v>
      </c>
      <c r="J11" t="s">
        <v>16</v>
      </c>
      <c r="K11">
        <f t="shared" si="0"/>
        <v>0.16018680677174546</v>
      </c>
      <c r="L11" s="8">
        <f>3*2</f>
        <v>6</v>
      </c>
      <c r="M11" s="8">
        <f t="shared" si="1"/>
        <v>0.20579999999999998</v>
      </c>
      <c r="N11" s="8"/>
      <c r="O11" s="8"/>
      <c r="P11" s="8">
        <f>34.3*0.001</f>
        <v>3.4299999999999997E-2</v>
      </c>
      <c r="Q11" s="8">
        <v>1.2847500000000001</v>
      </c>
      <c r="R11" s="4">
        <v>12</v>
      </c>
      <c r="S11" t="s">
        <v>41</v>
      </c>
      <c r="T11">
        <v>15.33354551</v>
      </c>
      <c r="U11">
        <v>2.7747788280000001</v>
      </c>
      <c r="V11">
        <v>11.48453043</v>
      </c>
      <c r="W11">
        <v>21.963991910000001</v>
      </c>
      <c r="X11">
        <v>6.602279E-3</v>
      </c>
      <c r="Y11">
        <v>1.7838942E-2</v>
      </c>
      <c r="Z11">
        <v>-1.4244155999999999E-2</v>
      </c>
      <c r="AA11">
        <v>5.5127423000000002E-2</v>
      </c>
      <c r="AB11" t="s">
        <v>133</v>
      </c>
    </row>
    <row r="12" spans="1:28" x14ac:dyDescent="0.2">
      <c r="A12">
        <v>9</v>
      </c>
      <c r="B12" t="s">
        <v>61</v>
      </c>
      <c r="C12" t="s">
        <v>132</v>
      </c>
      <c r="D12" t="s">
        <v>140</v>
      </c>
      <c r="E12" t="s">
        <v>14</v>
      </c>
      <c r="F12" s="7" t="s">
        <v>134</v>
      </c>
      <c r="G12" t="s">
        <v>136</v>
      </c>
      <c r="H12">
        <v>177</v>
      </c>
      <c r="I12" t="s">
        <v>17</v>
      </c>
      <c r="J12" t="s">
        <v>18</v>
      </c>
      <c r="K12">
        <f t="shared" ref="K12:K74" si="2">(L12*P12)/Q12</f>
        <v>3.5000152186879824E-2</v>
      </c>
      <c r="L12" s="8">
        <f>10*3.333382148</f>
        <v>33.333821479999997</v>
      </c>
      <c r="M12" s="8">
        <f t="shared" si="1"/>
        <v>3.9917251222300001</v>
      </c>
      <c r="N12" s="8"/>
      <c r="O12" s="8"/>
      <c r="P12" s="8">
        <f>119.75*0.001</f>
        <v>0.11975000000000001</v>
      </c>
      <c r="Q12" s="8">
        <v>114.0487933</v>
      </c>
      <c r="R12" s="4">
        <v>20</v>
      </c>
      <c r="S12" t="s">
        <v>41</v>
      </c>
      <c r="AB12" t="s">
        <v>133</v>
      </c>
    </row>
    <row r="13" spans="1:28" x14ac:dyDescent="0.2">
      <c r="A13">
        <v>10</v>
      </c>
      <c r="B13" t="s">
        <v>87</v>
      </c>
      <c r="C13" t="s">
        <v>132</v>
      </c>
      <c r="D13" t="s">
        <v>140</v>
      </c>
      <c r="E13" t="s">
        <v>14</v>
      </c>
      <c r="F13" t="s">
        <v>134</v>
      </c>
      <c r="G13" t="s">
        <v>136</v>
      </c>
      <c r="H13">
        <v>35.799999999999997</v>
      </c>
      <c r="I13" t="s">
        <v>15</v>
      </c>
      <c r="J13" t="s">
        <v>18</v>
      </c>
      <c r="K13">
        <f t="shared" si="2"/>
        <v>6.2472184810472738E-2</v>
      </c>
      <c r="L13" s="8">
        <v>12</v>
      </c>
      <c r="M13" s="8">
        <f t="shared" si="1"/>
        <v>0.34573199999999998</v>
      </c>
      <c r="N13" s="8"/>
      <c r="O13" s="8"/>
      <c r="P13" s="8">
        <f>28.811*0.001</f>
        <v>2.8811E-2</v>
      </c>
      <c r="Q13" s="8">
        <v>5.5341749460000003</v>
      </c>
      <c r="R13" s="4">
        <v>5</v>
      </c>
      <c r="S13" t="s">
        <v>41</v>
      </c>
      <c r="T13">
        <v>15.98806933</v>
      </c>
      <c r="U13">
        <v>1.4335841229999999</v>
      </c>
      <c r="V13">
        <v>13.32962208</v>
      </c>
      <c r="W13">
        <v>19.015534760000001</v>
      </c>
      <c r="X13">
        <v>7.3939569999999996E-3</v>
      </c>
      <c r="Y13">
        <v>1.1450856000000001E-2</v>
      </c>
      <c r="Z13">
        <v>-8.3423579999999994E-3</v>
      </c>
      <c r="AA13">
        <v>3.6158703E-2</v>
      </c>
      <c r="AB13" t="s">
        <v>133</v>
      </c>
    </row>
    <row r="14" spans="1:28" x14ac:dyDescent="0.2">
      <c r="A14">
        <v>11</v>
      </c>
      <c r="B14" t="s">
        <v>115</v>
      </c>
      <c r="C14" t="s">
        <v>132</v>
      </c>
      <c r="D14" t="s">
        <v>140</v>
      </c>
      <c r="E14" t="s">
        <v>14</v>
      </c>
      <c r="F14" t="s">
        <v>14</v>
      </c>
      <c r="G14" t="s">
        <v>136</v>
      </c>
      <c r="H14">
        <v>47</v>
      </c>
      <c r="I14" t="s">
        <v>15</v>
      </c>
      <c r="J14" t="s">
        <v>16</v>
      </c>
      <c r="K14">
        <f t="shared" si="2"/>
        <v>3.7358671490214886E-2</v>
      </c>
      <c r="L14" s="14">
        <v>35.200000000000003</v>
      </c>
      <c r="M14" s="8">
        <f t="shared" si="1"/>
        <v>0.42856000000000011</v>
      </c>
      <c r="N14" s="8"/>
      <c r="O14" s="8">
        <f>((24+31)/2)*0.1</f>
        <v>2.75</v>
      </c>
      <c r="P14" s="8">
        <f>12.175*0.001</f>
        <v>1.2175000000000002E-2</v>
      </c>
      <c r="Q14" s="8">
        <v>11.471500000000001</v>
      </c>
      <c r="R14" s="4">
        <v>11</v>
      </c>
      <c r="S14" t="s">
        <v>41</v>
      </c>
      <c r="T14">
        <v>11.94667544</v>
      </c>
      <c r="U14">
        <v>1.241180092</v>
      </c>
      <c r="V14">
        <v>9.7923337359999998</v>
      </c>
      <c r="W14">
        <v>14.65554468</v>
      </c>
      <c r="X14">
        <v>8.9034260000000007E-3</v>
      </c>
      <c r="Y14">
        <v>1.6320823000000002E-2</v>
      </c>
      <c r="Z14">
        <v>-1.1843677E-2</v>
      </c>
      <c r="AA14">
        <v>5.2753873E-2</v>
      </c>
      <c r="AB14" t="s">
        <v>133</v>
      </c>
    </row>
    <row r="15" spans="1:28" x14ac:dyDescent="0.2">
      <c r="A15">
        <v>11</v>
      </c>
      <c r="B15" s="11" t="s">
        <v>97</v>
      </c>
      <c r="C15" s="11" t="s">
        <v>131</v>
      </c>
      <c r="D15" s="11" t="s">
        <v>143</v>
      </c>
      <c r="E15" s="11" t="s">
        <v>14</v>
      </c>
      <c r="F15" s="10" t="s">
        <v>14</v>
      </c>
      <c r="G15" s="10" t="s">
        <v>136</v>
      </c>
      <c r="H15" s="11">
        <v>47</v>
      </c>
      <c r="I15" s="11" t="s">
        <v>15</v>
      </c>
      <c r="J15" s="11" t="s">
        <v>16</v>
      </c>
      <c r="K15" s="10">
        <f t="shared" si="2"/>
        <v>9.2687096774193553E-2</v>
      </c>
      <c r="L15">
        <f>((33+26)/2)</f>
        <v>29.5</v>
      </c>
      <c r="M15" s="9">
        <v>0.32400000000000001</v>
      </c>
      <c r="N15" s="9"/>
      <c r="O15" s="9">
        <v>2.75</v>
      </c>
      <c r="P15" s="9">
        <v>1.2175E-2</v>
      </c>
      <c r="Q15" s="9">
        <f>3875*0.001</f>
        <v>3.875</v>
      </c>
      <c r="R15" s="12">
        <v>12.2</v>
      </c>
      <c r="S15" s="11" t="s">
        <v>39</v>
      </c>
      <c r="T15" s="11">
        <v>21.5427514</v>
      </c>
      <c r="U15" s="5"/>
      <c r="V15" s="5"/>
      <c r="W15" s="5"/>
      <c r="X15">
        <v>7.0440699999999999E-4</v>
      </c>
      <c r="Y15" s="5"/>
      <c r="Z15" s="5"/>
      <c r="AA15" s="5"/>
      <c r="AB15" s="5" t="s">
        <v>107</v>
      </c>
    </row>
    <row r="16" spans="1:28" x14ac:dyDescent="0.2">
      <c r="A16">
        <v>12</v>
      </c>
      <c r="B16" t="s">
        <v>64</v>
      </c>
      <c r="C16" t="s">
        <v>132</v>
      </c>
      <c r="D16" t="s">
        <v>140</v>
      </c>
      <c r="E16" t="s">
        <v>14</v>
      </c>
      <c r="F16" t="s">
        <v>134</v>
      </c>
      <c r="G16" t="s">
        <v>136</v>
      </c>
      <c r="H16">
        <v>32</v>
      </c>
      <c r="I16" t="s">
        <v>17</v>
      </c>
      <c r="J16" t="s">
        <v>18</v>
      </c>
      <c r="K16">
        <f t="shared" si="2"/>
        <v>0.11968743378461538</v>
      </c>
      <c r="L16" s="8">
        <v>3.0838383839999999</v>
      </c>
      <c r="M16" s="8">
        <f>L16*P16</f>
        <v>8.5576515155999996E-2</v>
      </c>
      <c r="N16" s="8">
        <f>13.75*0.001</f>
        <v>1.375E-2</v>
      </c>
      <c r="O16" s="8">
        <f>((30+39)/2)*0.1</f>
        <v>3.45</v>
      </c>
      <c r="P16" s="8">
        <f>27.75*0.001</f>
        <v>2.775E-2</v>
      </c>
      <c r="Q16" s="8">
        <f>715*0.001</f>
        <v>0.71499999999999997</v>
      </c>
      <c r="R16" s="4">
        <v>10</v>
      </c>
      <c r="S16" t="s">
        <v>41</v>
      </c>
      <c r="T16">
        <v>3.332190314</v>
      </c>
      <c r="U16">
        <v>0.63579150100000004</v>
      </c>
      <c r="V16">
        <v>2.2156509529999999</v>
      </c>
      <c r="W16">
        <v>4.7133197659999997</v>
      </c>
      <c r="X16">
        <v>-1.4052801E-2</v>
      </c>
      <c r="Y16">
        <v>4.143355E-2</v>
      </c>
      <c r="Z16">
        <v>-0.12389151700000001</v>
      </c>
      <c r="AA16">
        <v>4.5454977000000001E-2</v>
      </c>
      <c r="AB16" t="s">
        <v>133</v>
      </c>
    </row>
    <row r="17" spans="1:28" x14ac:dyDescent="0.2">
      <c r="A17">
        <v>13</v>
      </c>
      <c r="B17" t="s">
        <v>114</v>
      </c>
      <c r="C17" t="s">
        <v>132</v>
      </c>
      <c r="D17" t="s">
        <v>140</v>
      </c>
      <c r="E17" t="s">
        <v>14</v>
      </c>
      <c r="F17" t="s">
        <v>14</v>
      </c>
      <c r="G17" t="s">
        <v>136</v>
      </c>
      <c r="H17">
        <v>61</v>
      </c>
      <c r="I17" t="s">
        <v>15</v>
      </c>
      <c r="J17" t="s">
        <v>16</v>
      </c>
      <c r="K17">
        <f t="shared" si="2"/>
        <v>0.13124280360480481</v>
      </c>
      <c r="L17" s="10">
        <v>12</v>
      </c>
      <c r="M17" s="8">
        <f>L17*P17</f>
        <v>6.3539999999999999E-2</v>
      </c>
      <c r="N17" s="8"/>
      <c r="O17" s="8">
        <f>((24+30)/2)*0.1</f>
        <v>2.7</v>
      </c>
      <c r="P17" s="8">
        <f>5.295*0.001</f>
        <v>5.2950000000000002E-3</v>
      </c>
      <c r="Q17" s="8">
        <v>0.48414083099999999</v>
      </c>
      <c r="R17" s="4">
        <v>6</v>
      </c>
      <c r="S17" t="s">
        <v>41</v>
      </c>
      <c r="T17">
        <v>11.122526710000001</v>
      </c>
      <c r="U17">
        <v>0.56062112399999997</v>
      </c>
      <c r="V17">
        <v>10.06003417</v>
      </c>
      <c r="W17">
        <v>12.236503770000001</v>
      </c>
      <c r="X17">
        <v>0.101735179</v>
      </c>
      <c r="Y17">
        <v>3.4496236E-2</v>
      </c>
      <c r="Z17">
        <v>3.7697672000000002E-2</v>
      </c>
      <c r="AA17">
        <v>0.17374189700000001</v>
      </c>
      <c r="AB17" t="s">
        <v>133</v>
      </c>
    </row>
    <row r="18" spans="1:28" x14ac:dyDescent="0.2">
      <c r="A18">
        <v>13</v>
      </c>
      <c r="B18" s="11" t="s">
        <v>95</v>
      </c>
      <c r="C18" s="11" t="s">
        <v>131</v>
      </c>
      <c r="D18" s="11" t="s">
        <v>144</v>
      </c>
      <c r="E18" s="11" t="s">
        <v>14</v>
      </c>
      <c r="F18" s="10" t="s">
        <v>14</v>
      </c>
      <c r="G18" s="10" t="s">
        <v>136</v>
      </c>
      <c r="H18" s="11">
        <v>61</v>
      </c>
      <c r="I18" s="11" t="s">
        <v>15</v>
      </c>
      <c r="J18" s="11" t="s">
        <v>16</v>
      </c>
      <c r="K18" s="10">
        <f t="shared" si="2"/>
        <v>0.1680952380952381</v>
      </c>
      <c r="L18" s="10">
        <v>12</v>
      </c>
      <c r="M18" s="9">
        <v>6.4000000000000001E-2</v>
      </c>
      <c r="N18" s="9"/>
      <c r="O18" s="9">
        <v>2.7</v>
      </c>
      <c r="P18" s="9">
        <v>5.2950000000000002E-3</v>
      </c>
      <c r="Q18" s="9">
        <f>378*(0.001)</f>
        <v>0.378</v>
      </c>
      <c r="R18" s="12">
        <v>6</v>
      </c>
      <c r="S18" s="11" t="s">
        <v>39</v>
      </c>
      <c r="T18" s="11">
        <v>31.942227110000001</v>
      </c>
      <c r="U18" s="5"/>
      <c r="V18" s="5"/>
      <c r="W18" s="5"/>
      <c r="X18">
        <v>3.6369290999999998E-2</v>
      </c>
      <c r="Y18" s="5"/>
      <c r="Z18" s="5"/>
      <c r="AA18" s="5"/>
      <c r="AB18" s="5" t="s">
        <v>107</v>
      </c>
    </row>
    <row r="19" spans="1:28" x14ac:dyDescent="0.2">
      <c r="A19">
        <v>13</v>
      </c>
      <c r="B19" s="11" t="s">
        <v>96</v>
      </c>
      <c r="C19" s="11" t="s">
        <v>131</v>
      </c>
      <c r="D19" s="11" t="s">
        <v>145</v>
      </c>
      <c r="E19" s="11" t="s">
        <v>14</v>
      </c>
      <c r="F19" s="10" t="s">
        <v>14</v>
      </c>
      <c r="G19" s="10" t="s">
        <v>136</v>
      </c>
      <c r="H19" s="11">
        <v>61</v>
      </c>
      <c r="I19" s="11" t="s">
        <v>15</v>
      </c>
      <c r="J19" s="11" t="s">
        <v>16</v>
      </c>
      <c r="K19" s="10">
        <f t="shared" si="2"/>
        <v>0.1680952380952381</v>
      </c>
      <c r="L19" s="10">
        <v>12</v>
      </c>
      <c r="M19" s="9">
        <v>6.4000000000000001E-2</v>
      </c>
      <c r="N19" s="9"/>
      <c r="O19" s="9">
        <v>2.7</v>
      </c>
      <c r="P19" s="9">
        <v>5.2950000000000002E-3</v>
      </c>
      <c r="Q19" s="9">
        <f>378*(0.001)</f>
        <v>0.378</v>
      </c>
      <c r="R19" s="12">
        <v>5</v>
      </c>
      <c r="S19" s="11" t="s">
        <v>39</v>
      </c>
      <c r="T19" s="11">
        <v>6.606940163</v>
      </c>
      <c r="U19" s="5"/>
      <c r="V19" s="5"/>
      <c r="W19" s="5"/>
      <c r="X19">
        <v>1.3579212E-2</v>
      </c>
      <c r="Y19" s="5"/>
      <c r="Z19" s="5"/>
      <c r="AA19" s="5"/>
      <c r="AB19" s="5" t="s">
        <v>107</v>
      </c>
    </row>
    <row r="20" spans="1:28" x14ac:dyDescent="0.2">
      <c r="A20">
        <v>14</v>
      </c>
      <c r="B20" t="s">
        <v>73</v>
      </c>
      <c r="C20" t="s">
        <v>132</v>
      </c>
      <c r="D20" t="s">
        <v>140</v>
      </c>
      <c r="E20" t="s">
        <v>14</v>
      </c>
      <c r="F20" t="s">
        <v>134</v>
      </c>
      <c r="G20" t="s">
        <v>136</v>
      </c>
      <c r="H20">
        <v>30</v>
      </c>
      <c r="I20" t="s">
        <v>15</v>
      </c>
      <c r="J20" t="s">
        <v>16</v>
      </c>
      <c r="K20">
        <f t="shared" si="2"/>
        <v>0.20107241461736941</v>
      </c>
      <c r="L20" s="8">
        <f>4.29*1.2</f>
        <v>5.1479999999999997</v>
      </c>
      <c r="M20" s="8">
        <f>L20*P20</f>
        <v>3.3976799999999995E-2</v>
      </c>
      <c r="N20" s="8"/>
      <c r="O20" s="8">
        <f>((28+31.2)/2)*0.1</f>
        <v>2.9600000000000004</v>
      </c>
      <c r="P20" s="8">
        <f>6.6*0.001</f>
        <v>6.6E-3</v>
      </c>
      <c r="Q20" s="8">
        <v>0.168977928</v>
      </c>
      <c r="R20" s="4">
        <v>8</v>
      </c>
      <c r="S20" t="s">
        <v>41</v>
      </c>
      <c r="T20">
        <v>16.191798309999999</v>
      </c>
      <c r="U20">
        <v>1.153393109</v>
      </c>
      <c r="V20">
        <v>14.1712159</v>
      </c>
      <c r="W20">
        <v>18.695421360000001</v>
      </c>
      <c r="X20">
        <v>4.0099506E-2</v>
      </c>
      <c r="Y20">
        <v>2.1405594999999999E-2</v>
      </c>
      <c r="Z20">
        <v>5.9405600000000001E-3</v>
      </c>
      <c r="AA20">
        <v>8.6710834000000001E-2</v>
      </c>
      <c r="AB20" t="s">
        <v>133</v>
      </c>
    </row>
    <row r="21" spans="1:28" x14ac:dyDescent="0.2">
      <c r="A21">
        <v>15</v>
      </c>
      <c r="B21" t="s">
        <v>45</v>
      </c>
      <c r="C21" t="s">
        <v>132</v>
      </c>
      <c r="D21" t="s">
        <v>140</v>
      </c>
      <c r="E21" t="s">
        <v>14</v>
      </c>
      <c r="F21" t="s">
        <v>134</v>
      </c>
      <c r="G21" t="s">
        <v>136</v>
      </c>
      <c r="H21">
        <v>38.200000000000003</v>
      </c>
      <c r="I21" t="s">
        <v>15</v>
      </c>
      <c r="J21" t="s">
        <v>18</v>
      </c>
      <c r="K21">
        <f t="shared" si="2"/>
        <v>2.2357257509745473E-2</v>
      </c>
      <c r="L21" s="8">
        <v>1</v>
      </c>
      <c r="M21" s="8">
        <f>L21*P21</f>
        <v>1.95E-2</v>
      </c>
      <c r="N21" s="8">
        <f>69*0.001</f>
        <v>6.9000000000000006E-2</v>
      </c>
      <c r="O21" s="8"/>
      <c r="P21" s="8">
        <f>19.5*0.001</f>
        <v>1.95E-2</v>
      </c>
      <c r="Q21" s="8">
        <v>0.87219999999999998</v>
      </c>
      <c r="R21" s="4">
        <v>4</v>
      </c>
      <c r="S21" t="s">
        <v>41</v>
      </c>
      <c r="T21">
        <v>12.37932078</v>
      </c>
      <c r="U21">
        <v>0.76086926899999996</v>
      </c>
      <c r="V21">
        <v>10.92185538</v>
      </c>
      <c r="W21">
        <v>13.913411549999999</v>
      </c>
      <c r="X21">
        <v>1.7793297E-2</v>
      </c>
      <c r="Y21">
        <v>1.2289803E-2</v>
      </c>
      <c r="Z21">
        <v>-3.6133200000000002E-4</v>
      </c>
      <c r="AA21">
        <v>4.6577314000000002E-2</v>
      </c>
      <c r="AB21" t="s">
        <v>133</v>
      </c>
    </row>
    <row r="22" spans="1:28" x14ac:dyDescent="0.2">
      <c r="A22">
        <v>16</v>
      </c>
      <c r="B22" t="s">
        <v>43</v>
      </c>
      <c r="C22" t="s">
        <v>132</v>
      </c>
      <c r="D22" t="s">
        <v>140</v>
      </c>
      <c r="E22" t="s">
        <v>14</v>
      </c>
      <c r="F22" t="s">
        <v>134</v>
      </c>
      <c r="G22" t="s">
        <v>136</v>
      </c>
      <c r="H22">
        <v>30</v>
      </c>
      <c r="I22" t="s">
        <v>17</v>
      </c>
      <c r="J22" t="s">
        <v>16</v>
      </c>
      <c r="K22">
        <f t="shared" si="2"/>
        <v>8.3915016963050051E-2</v>
      </c>
      <c r="L22" s="8">
        <f>2</f>
        <v>2</v>
      </c>
      <c r="M22" s="8">
        <f>L22*P22</f>
        <v>0.06</v>
      </c>
      <c r="N22" s="8">
        <f>( (15+24)/2 ) *0.001</f>
        <v>1.95E-2</v>
      </c>
      <c r="O22" s="8">
        <f>((45+50)/2)*0.1</f>
        <v>4.75</v>
      </c>
      <c r="P22" s="8">
        <f>((25+35)/2)*0.001</f>
        <v>0.03</v>
      </c>
      <c r="Q22" s="8">
        <v>0.71500909099999999</v>
      </c>
      <c r="R22" s="4">
        <v>5</v>
      </c>
      <c r="S22" t="s">
        <v>41</v>
      </c>
      <c r="T22">
        <v>16.291821370000001</v>
      </c>
      <c r="U22">
        <v>2.5707561490000002</v>
      </c>
      <c r="V22">
        <v>11.94996989</v>
      </c>
      <c r="W22">
        <v>21.958753640000001</v>
      </c>
      <c r="X22">
        <v>-3.2538700000000001E-4</v>
      </c>
      <c r="Y22">
        <v>1.0939255E-2</v>
      </c>
      <c r="Z22">
        <v>-1.8143250999999999E-2</v>
      </c>
      <c r="AA22">
        <v>2.7329780000000001E-2</v>
      </c>
      <c r="AB22" t="s">
        <v>133</v>
      </c>
    </row>
    <row r="23" spans="1:28" x14ac:dyDescent="0.2">
      <c r="A23">
        <v>17</v>
      </c>
      <c r="B23" t="s">
        <v>44</v>
      </c>
      <c r="C23" t="s">
        <v>132</v>
      </c>
      <c r="D23" t="s">
        <v>140</v>
      </c>
      <c r="E23" t="s">
        <v>14</v>
      </c>
      <c r="F23" s="7" t="s">
        <v>134</v>
      </c>
      <c r="G23" t="s">
        <v>136</v>
      </c>
      <c r="H23">
        <v>31.8</v>
      </c>
      <c r="I23" t="s">
        <v>15</v>
      </c>
      <c r="J23" t="s">
        <v>16</v>
      </c>
      <c r="K23">
        <f t="shared" si="2"/>
        <v>6.2634345378115894E-2</v>
      </c>
      <c r="L23" s="8">
        <v>4</v>
      </c>
      <c r="M23" s="8">
        <f>L23*P23</f>
        <v>9.5560000000000006E-2</v>
      </c>
      <c r="N23" s="8">
        <f>15*0.001</f>
        <v>1.4999999999999999E-2</v>
      </c>
      <c r="O23" s="8">
        <f>40*0.1</f>
        <v>4</v>
      </c>
      <c r="P23" s="8">
        <f>23.89*0.001</f>
        <v>2.3890000000000002E-2</v>
      </c>
      <c r="Q23" s="8">
        <v>1.5256805099999999</v>
      </c>
      <c r="R23" s="4">
        <v>8</v>
      </c>
      <c r="S23" t="s">
        <v>41</v>
      </c>
      <c r="AB23" t="s">
        <v>133</v>
      </c>
    </row>
    <row r="24" spans="1:28" x14ac:dyDescent="0.2">
      <c r="A24">
        <v>18</v>
      </c>
      <c r="B24" s="11" t="s">
        <v>89</v>
      </c>
      <c r="C24" s="11" t="s">
        <v>131</v>
      </c>
      <c r="D24" s="11" t="s">
        <v>153</v>
      </c>
      <c r="E24" s="11" t="s">
        <v>14</v>
      </c>
      <c r="F24" s="10" t="s">
        <v>134</v>
      </c>
      <c r="G24" s="10" t="s">
        <v>136</v>
      </c>
      <c r="H24" s="11">
        <v>77</v>
      </c>
      <c r="I24" s="11" t="s">
        <v>15</v>
      </c>
      <c r="J24" s="11" t="s">
        <v>16</v>
      </c>
      <c r="K24" s="10">
        <f t="shared" si="2"/>
        <v>0.15118760757314975</v>
      </c>
      <c r="L24" s="10">
        <f>9.6*1.5</f>
        <v>14.399999999999999</v>
      </c>
      <c r="M24" s="9">
        <v>0.17599999999999999</v>
      </c>
      <c r="N24" s="9">
        <v>6.1000000000000004E-3</v>
      </c>
      <c r="O24" s="9">
        <v>3.39</v>
      </c>
      <c r="P24" s="9">
        <v>1.2200000000000001E-2</v>
      </c>
      <c r="Q24" s="9">
        <f>1162*0.001</f>
        <v>1.1619999999999999</v>
      </c>
      <c r="R24" s="12">
        <v>14</v>
      </c>
      <c r="S24" s="11" t="s">
        <v>39</v>
      </c>
      <c r="T24" s="11">
        <v>19.394699710000001</v>
      </c>
      <c r="U24" s="5"/>
      <c r="V24" s="5"/>
      <c r="W24" s="5"/>
      <c r="X24">
        <v>1.5766504000000001E-2</v>
      </c>
      <c r="Y24" s="5"/>
      <c r="Z24" s="5"/>
      <c r="AA24" s="5"/>
      <c r="AB24" s="5" t="s">
        <v>107</v>
      </c>
    </row>
    <row r="25" spans="1:28" x14ac:dyDescent="0.2">
      <c r="A25">
        <v>19</v>
      </c>
      <c r="B25" s="11" t="s">
        <v>91</v>
      </c>
      <c r="C25" s="11" t="s">
        <v>131</v>
      </c>
      <c r="D25" s="11" t="s">
        <v>152</v>
      </c>
      <c r="E25" s="11" t="s">
        <v>14</v>
      </c>
      <c r="F25" s="10" t="s">
        <v>14</v>
      </c>
      <c r="G25" s="10" t="s">
        <v>136</v>
      </c>
      <c r="H25" s="11">
        <v>120</v>
      </c>
      <c r="I25" s="11" t="s">
        <v>15</v>
      </c>
      <c r="J25" s="11" t="s">
        <v>16</v>
      </c>
      <c r="K25" s="10">
        <f t="shared" si="2"/>
        <v>0.20313394149527048</v>
      </c>
      <c r="L25" s="9">
        <f>AVERAGE(7,5,5.8,12)*1.5</f>
        <v>11.175000000000001</v>
      </c>
      <c r="M25" s="9">
        <v>0.151</v>
      </c>
      <c r="N25" s="9">
        <f>3.6*0.001</f>
        <v>3.6000000000000003E-3</v>
      </c>
      <c r="O25" s="9">
        <v>2.06</v>
      </c>
      <c r="P25" s="9">
        <v>8.0999999999999996E-3</v>
      </c>
      <c r="Q25" s="26">
        <f>AVERAGE(407.81,483.4)*0.001</f>
        <v>0.44560500000000003</v>
      </c>
      <c r="R25" s="10">
        <v>10</v>
      </c>
      <c r="S25" s="11" t="s">
        <v>39</v>
      </c>
      <c r="T25" s="11">
        <v>14.24115027</v>
      </c>
      <c r="U25" s="5"/>
      <c r="V25" s="5"/>
      <c r="W25" s="5"/>
      <c r="X25">
        <v>3.3307675000000002E-2</v>
      </c>
      <c r="Y25" s="5"/>
      <c r="Z25" s="5"/>
      <c r="AA25" s="5"/>
      <c r="AB25" s="5" t="s">
        <v>107</v>
      </c>
    </row>
    <row r="26" spans="1:28" x14ac:dyDescent="0.2">
      <c r="A26">
        <v>19</v>
      </c>
      <c r="B26" s="11" t="s">
        <v>92</v>
      </c>
      <c r="C26" s="11" t="s">
        <v>131</v>
      </c>
      <c r="D26" s="11" t="s">
        <v>146</v>
      </c>
      <c r="E26" s="11" t="s">
        <v>14</v>
      </c>
      <c r="F26" s="10" t="s">
        <v>14</v>
      </c>
      <c r="G26" s="10" t="s">
        <v>136</v>
      </c>
      <c r="H26" s="11">
        <v>120</v>
      </c>
      <c r="I26" s="11" t="s">
        <v>15</v>
      </c>
      <c r="J26" s="11" t="s">
        <v>16</v>
      </c>
      <c r="K26" s="10">
        <f t="shared" si="2"/>
        <v>0.25862142857142856</v>
      </c>
      <c r="L26" s="9">
        <f>AVERAGE(7,5,5.8,12)*1.5</f>
        <v>11.175000000000001</v>
      </c>
      <c r="M26" s="9">
        <v>0.151</v>
      </c>
      <c r="N26" s="9">
        <f t="shared" ref="N26:N27" si="3">3.6*0.001</f>
        <v>3.6000000000000003E-3</v>
      </c>
      <c r="O26" s="9">
        <v>2.06</v>
      </c>
      <c r="P26" s="9">
        <v>8.0999999999999996E-3</v>
      </c>
      <c r="Q26" s="10">
        <f>350*0.001</f>
        <v>0.35000000000000003</v>
      </c>
      <c r="R26" s="10">
        <v>10.5</v>
      </c>
      <c r="S26" s="11" t="s">
        <v>39</v>
      </c>
      <c r="T26" s="11">
        <v>9.4199324989999997</v>
      </c>
      <c r="U26" s="5"/>
      <c r="V26" s="5"/>
      <c r="W26" s="5"/>
      <c r="X26">
        <v>1.8589939999999999E-2</v>
      </c>
      <c r="Y26" s="5"/>
      <c r="Z26" s="5"/>
      <c r="AA26" s="5"/>
      <c r="AB26" s="5" t="s">
        <v>107</v>
      </c>
    </row>
    <row r="27" spans="1:28" x14ac:dyDescent="0.2">
      <c r="A27">
        <v>19</v>
      </c>
      <c r="B27" s="11" t="s">
        <v>93</v>
      </c>
      <c r="C27" s="11" t="s">
        <v>131</v>
      </c>
      <c r="D27" s="11" t="s">
        <v>146</v>
      </c>
      <c r="E27" s="11" t="s">
        <v>14</v>
      </c>
      <c r="F27" s="10" t="s">
        <v>14</v>
      </c>
      <c r="G27" s="10" t="s">
        <v>136</v>
      </c>
      <c r="H27" s="11">
        <v>120</v>
      </c>
      <c r="I27" s="11" t="s">
        <v>15</v>
      </c>
      <c r="J27" s="11" t="s">
        <v>16</v>
      </c>
      <c r="K27" s="10">
        <f>(L27*P27)/Q27</f>
        <v>0.15326363020656958</v>
      </c>
      <c r="L27" s="9">
        <f>AVERAGE(7,5,5.8,12)*1.5</f>
        <v>11.175000000000001</v>
      </c>
      <c r="M27" s="9">
        <v>0.151</v>
      </c>
      <c r="N27" s="9">
        <f t="shared" si="3"/>
        <v>3.6000000000000003E-3</v>
      </c>
      <c r="O27" s="9">
        <v>2.06</v>
      </c>
      <c r="P27" s="9">
        <v>8.0999999999999996E-3</v>
      </c>
      <c r="Q27" s="10">
        <f>590.6*0.001</f>
        <v>0.59060000000000001</v>
      </c>
      <c r="R27" s="10">
        <v>6</v>
      </c>
      <c r="S27" s="11" t="s">
        <v>39</v>
      </c>
      <c r="T27" s="11">
        <v>34.848454029999999</v>
      </c>
      <c r="U27" s="5"/>
      <c r="V27" s="5"/>
      <c r="W27" s="5"/>
      <c r="X27">
        <v>-1.2318419999999999E-3</v>
      </c>
      <c r="Y27" s="5"/>
      <c r="Z27" s="5"/>
      <c r="AA27" s="5"/>
      <c r="AB27" s="5" t="s">
        <v>107</v>
      </c>
    </row>
    <row r="28" spans="1:28" x14ac:dyDescent="0.2">
      <c r="A28">
        <v>20</v>
      </c>
      <c r="B28" t="s">
        <v>60</v>
      </c>
      <c r="C28" t="s">
        <v>132</v>
      </c>
      <c r="D28" t="s">
        <v>140</v>
      </c>
      <c r="E28" t="s">
        <v>14</v>
      </c>
      <c r="F28" t="s">
        <v>134</v>
      </c>
      <c r="G28" t="s">
        <v>136</v>
      </c>
      <c r="H28">
        <v>24.3</v>
      </c>
      <c r="I28" t="s">
        <v>17</v>
      </c>
      <c r="J28" t="s">
        <v>16</v>
      </c>
      <c r="K28">
        <f t="shared" si="2"/>
        <v>0.1436893955862408</v>
      </c>
      <c r="L28" s="8">
        <f>5.290357143*2.209685368</f>
        <v>11.690024770381383</v>
      </c>
      <c r="M28" s="8">
        <f t="shared" ref="M28:M36" si="4">L28*P28</f>
        <v>0.32732069357067872</v>
      </c>
      <c r="N28" s="8">
        <f>18.7*0.001</f>
        <v>1.8700000000000001E-2</v>
      </c>
      <c r="O28" s="8">
        <f>((35+40)/2)*0.1</f>
        <v>3.75</v>
      </c>
      <c r="P28" s="8">
        <f>28*0.001</f>
        <v>2.8000000000000001E-2</v>
      </c>
      <c r="Q28" s="8">
        <v>2.2779739050000001</v>
      </c>
      <c r="R28" s="4">
        <v>6</v>
      </c>
      <c r="S28" t="s">
        <v>41</v>
      </c>
      <c r="T28">
        <v>15.54621184</v>
      </c>
      <c r="U28">
        <v>1.516903017</v>
      </c>
      <c r="V28">
        <v>13.33039057</v>
      </c>
      <c r="W28">
        <v>19.075065200000001</v>
      </c>
      <c r="X28">
        <v>2.5365677E-2</v>
      </c>
      <c r="Y28">
        <v>3.8372154999999998E-2</v>
      </c>
      <c r="Z28">
        <v>-8.2550950000000005E-3</v>
      </c>
      <c r="AA28">
        <v>0.12775426000000001</v>
      </c>
      <c r="AB28" t="s">
        <v>133</v>
      </c>
    </row>
    <row r="29" spans="1:28" x14ac:dyDescent="0.2">
      <c r="A29">
        <v>21</v>
      </c>
      <c r="B29" t="s">
        <v>47</v>
      </c>
      <c r="C29" t="s">
        <v>132</v>
      </c>
      <c r="D29" t="s">
        <v>140</v>
      </c>
      <c r="E29" t="s">
        <v>14</v>
      </c>
      <c r="F29" t="s">
        <v>134</v>
      </c>
      <c r="G29" t="s">
        <v>136</v>
      </c>
      <c r="H29">
        <v>19.2</v>
      </c>
      <c r="I29" t="s">
        <v>15</v>
      </c>
      <c r="J29" t="s">
        <v>16</v>
      </c>
      <c r="K29">
        <f t="shared" si="2"/>
        <v>0.16540617948049338</v>
      </c>
      <c r="L29" s="8">
        <f>2*15.5</f>
        <v>31</v>
      </c>
      <c r="M29" s="8">
        <f t="shared" si="4"/>
        <v>0.35649999999999998</v>
      </c>
      <c r="N29" s="8"/>
      <c r="O29" s="8">
        <f>AVERAGE(35,37)*0.1</f>
        <v>3.6</v>
      </c>
      <c r="P29" s="8">
        <f>11.5*0.001</f>
        <v>1.15E-2</v>
      </c>
      <c r="Q29" s="8">
        <v>2.155300371</v>
      </c>
      <c r="R29" s="4">
        <v>6</v>
      </c>
      <c r="S29" t="s">
        <v>41</v>
      </c>
      <c r="T29">
        <v>19.06127905</v>
      </c>
      <c r="U29">
        <v>1.7077028780000001</v>
      </c>
      <c r="V29">
        <v>16.01909934</v>
      </c>
      <c r="W29">
        <v>22.722474439999999</v>
      </c>
      <c r="X29">
        <v>6.0630101999999998E-2</v>
      </c>
      <c r="Y29">
        <v>3.3212281000000003E-2</v>
      </c>
      <c r="Z29">
        <v>8.5745479999999995E-3</v>
      </c>
      <c r="AA29">
        <v>0.131880201</v>
      </c>
      <c r="AB29" t="s">
        <v>133</v>
      </c>
    </row>
    <row r="30" spans="1:28" x14ac:dyDescent="0.2">
      <c r="A30">
        <v>22</v>
      </c>
      <c r="B30" t="s">
        <v>50</v>
      </c>
      <c r="C30" t="s">
        <v>132</v>
      </c>
      <c r="D30" t="s">
        <v>140</v>
      </c>
      <c r="E30" t="s">
        <v>14</v>
      </c>
      <c r="F30" t="s">
        <v>134</v>
      </c>
      <c r="G30" t="s">
        <v>136</v>
      </c>
      <c r="H30">
        <v>20</v>
      </c>
      <c r="I30" t="s">
        <v>15</v>
      </c>
      <c r="J30" t="s">
        <v>16</v>
      </c>
      <c r="K30">
        <f t="shared" si="2"/>
        <v>5.1900942595171307E-2</v>
      </c>
      <c r="L30" s="8">
        <v>1</v>
      </c>
      <c r="M30" s="8">
        <f t="shared" si="4"/>
        <v>8.199999999999999E-3</v>
      </c>
      <c r="N30" s="8">
        <f>((6+7.5)/2)*0.001</f>
        <v>6.7499999999999999E-3</v>
      </c>
      <c r="O30" s="8"/>
      <c r="P30" s="8">
        <f>8.2*0.001</f>
        <v>8.199999999999999E-3</v>
      </c>
      <c r="Q30" s="8">
        <v>0.15799327699999999</v>
      </c>
      <c r="R30" s="4">
        <v>3</v>
      </c>
      <c r="S30" t="s">
        <v>41</v>
      </c>
      <c r="T30">
        <v>15.15321408</v>
      </c>
      <c r="U30">
        <v>1.4591458100000001</v>
      </c>
      <c r="V30">
        <v>12.69906763</v>
      </c>
      <c r="W30">
        <v>18.3831624</v>
      </c>
      <c r="X30">
        <v>9.1227470000000005E-3</v>
      </c>
      <c r="Y30">
        <v>1.5731755E-2</v>
      </c>
      <c r="Z30">
        <v>-8.9896980000000008E-3</v>
      </c>
      <c r="AA30">
        <v>5.2462921000000003E-2</v>
      </c>
      <c r="AB30" t="s">
        <v>133</v>
      </c>
    </row>
    <row r="31" spans="1:28" x14ac:dyDescent="0.2">
      <c r="A31">
        <v>23</v>
      </c>
      <c r="B31" t="s">
        <v>71</v>
      </c>
      <c r="C31" t="s">
        <v>132</v>
      </c>
      <c r="D31" t="s">
        <v>140</v>
      </c>
      <c r="E31" t="s">
        <v>14</v>
      </c>
      <c r="F31" t="s">
        <v>134</v>
      </c>
      <c r="G31" t="s">
        <v>136</v>
      </c>
      <c r="H31">
        <v>60</v>
      </c>
      <c r="I31" t="s">
        <v>15</v>
      </c>
      <c r="J31" t="s">
        <v>16</v>
      </c>
      <c r="K31">
        <f t="shared" si="2"/>
        <v>0.17759210370478387</v>
      </c>
      <c r="L31" s="8">
        <f>8*1.5</f>
        <v>12</v>
      </c>
      <c r="M31" s="8">
        <f t="shared" si="4"/>
        <v>0.16188</v>
      </c>
      <c r="N31" s="8"/>
      <c r="O31" s="8">
        <f>((28+27.9)/2)*0.1</f>
        <v>2.7949999999999999</v>
      </c>
      <c r="P31" s="8">
        <f>13.49*0.001</f>
        <v>1.349E-2</v>
      </c>
      <c r="Q31" s="8">
        <v>0.91152701400000002</v>
      </c>
      <c r="R31" s="4">
        <v>17</v>
      </c>
      <c r="S31" t="s">
        <v>41</v>
      </c>
      <c r="T31">
        <v>11.49412798</v>
      </c>
      <c r="U31">
        <v>1.483654832</v>
      </c>
      <c r="V31">
        <v>8.9575042699999994</v>
      </c>
      <c r="W31">
        <v>14.731491760000001</v>
      </c>
      <c r="X31">
        <v>4.8285280999999999E-2</v>
      </c>
      <c r="Y31">
        <v>3.9146872999999999E-2</v>
      </c>
      <c r="Z31">
        <v>-2.110776E-3</v>
      </c>
      <c r="AA31">
        <v>0.143477824</v>
      </c>
      <c r="AB31" t="s">
        <v>133</v>
      </c>
    </row>
    <row r="32" spans="1:28" x14ac:dyDescent="0.2">
      <c r="A32">
        <v>24</v>
      </c>
      <c r="B32" t="s">
        <v>72</v>
      </c>
      <c r="C32" t="s">
        <v>132</v>
      </c>
      <c r="D32" t="s">
        <v>140</v>
      </c>
      <c r="E32" t="s">
        <v>14</v>
      </c>
      <c r="F32" t="s">
        <v>134</v>
      </c>
      <c r="G32" t="s">
        <v>136</v>
      </c>
      <c r="H32">
        <v>40</v>
      </c>
      <c r="I32" t="s">
        <v>15</v>
      </c>
      <c r="J32" t="s">
        <v>16</v>
      </c>
      <c r="K32">
        <f t="shared" si="2"/>
        <v>9.0913531493613114E-2</v>
      </c>
      <c r="L32" s="8">
        <v>3</v>
      </c>
      <c r="M32" s="8">
        <f t="shared" si="4"/>
        <v>1.392E-2</v>
      </c>
      <c r="N32" s="8"/>
      <c r="O32" s="8">
        <f>((21.1+30.1)/2)*0.1</f>
        <v>2.5600000000000005</v>
      </c>
      <c r="P32" s="8">
        <f>4.64*0.001</f>
        <v>4.64E-3</v>
      </c>
      <c r="Q32" s="8">
        <v>0.153112521</v>
      </c>
      <c r="R32" s="4">
        <v>7</v>
      </c>
      <c r="S32" t="s">
        <v>41</v>
      </c>
      <c r="T32">
        <v>11.666152439999999</v>
      </c>
      <c r="U32">
        <v>1.422777497</v>
      </c>
      <c r="V32">
        <v>9.1721486789999993</v>
      </c>
      <c r="W32">
        <v>14.704396239999999</v>
      </c>
      <c r="X32">
        <v>1.8837890999999999E-2</v>
      </c>
      <c r="Y32">
        <v>2.1333343000000001E-2</v>
      </c>
      <c r="Z32">
        <v>-8.1178069999999995E-3</v>
      </c>
      <c r="AA32">
        <v>7.2600002999999996E-2</v>
      </c>
      <c r="AB32" t="s">
        <v>133</v>
      </c>
    </row>
    <row r="33" spans="1:28" x14ac:dyDescent="0.2">
      <c r="A33">
        <v>25</v>
      </c>
      <c r="B33" t="s">
        <v>70</v>
      </c>
      <c r="C33" t="s">
        <v>132</v>
      </c>
      <c r="D33" t="s">
        <v>140</v>
      </c>
      <c r="E33" t="s">
        <v>14</v>
      </c>
      <c r="F33" t="s">
        <v>134</v>
      </c>
      <c r="G33" t="s">
        <v>136</v>
      </c>
      <c r="H33">
        <v>62.8</v>
      </c>
      <c r="I33" t="s">
        <v>17</v>
      </c>
      <c r="J33" t="s">
        <v>16</v>
      </c>
      <c r="K33">
        <f t="shared" si="2"/>
        <v>0.11395280871616643</v>
      </c>
      <c r="L33" s="8">
        <f>5.892097265*2</f>
        <v>11.784194530000001</v>
      </c>
      <c r="M33" s="8">
        <f t="shared" si="4"/>
        <v>0.42364179335350005</v>
      </c>
      <c r="N33" s="8">
        <f>32.9*0.001</f>
        <v>3.2899999999999999E-2</v>
      </c>
      <c r="O33" s="8">
        <f>((36+48)/2)*0.1</f>
        <v>4.2</v>
      </c>
      <c r="P33" s="8">
        <f>35.95*0.001</f>
        <v>3.5950000000000003E-2</v>
      </c>
      <c r="Q33" s="8">
        <v>3.717695054</v>
      </c>
      <c r="R33" s="4">
        <v>15</v>
      </c>
      <c r="S33" t="s">
        <v>41</v>
      </c>
      <c r="T33">
        <v>15.45389119</v>
      </c>
      <c r="U33">
        <v>1.614845197</v>
      </c>
      <c r="V33">
        <v>12.568650549999999</v>
      </c>
      <c r="W33">
        <v>18.869545089999999</v>
      </c>
      <c r="X33">
        <v>8.0291389999999994E-3</v>
      </c>
      <c r="Y33">
        <v>9.8427329999999993E-3</v>
      </c>
      <c r="Z33">
        <v>-6.1389169999999998E-3</v>
      </c>
      <c r="AA33">
        <v>3.230508E-2</v>
      </c>
      <c r="AB33" t="s">
        <v>133</v>
      </c>
    </row>
    <row r="34" spans="1:28" x14ac:dyDescent="0.2">
      <c r="A34">
        <v>26</v>
      </c>
      <c r="B34" t="s">
        <v>69</v>
      </c>
      <c r="C34" t="s">
        <v>132</v>
      </c>
      <c r="D34" t="s">
        <v>140</v>
      </c>
      <c r="E34" t="s">
        <v>14</v>
      </c>
      <c r="F34" s="7" t="s">
        <v>134</v>
      </c>
      <c r="G34" t="s">
        <v>136</v>
      </c>
      <c r="H34">
        <v>30.7</v>
      </c>
      <c r="I34" t="s">
        <v>17</v>
      </c>
      <c r="J34" t="s">
        <v>16</v>
      </c>
      <c r="K34">
        <f t="shared" si="2"/>
        <v>5.3470784570535293E-2</v>
      </c>
      <c r="L34" s="8">
        <f>2.8*1</f>
        <v>2.8</v>
      </c>
      <c r="M34" s="8">
        <f t="shared" si="4"/>
        <v>9.491999999999999E-2</v>
      </c>
      <c r="N34" s="8">
        <f>32.9*0.001</f>
        <v>3.2899999999999999E-2</v>
      </c>
      <c r="O34" s="8">
        <f>((40+50)/2)*0.1</f>
        <v>4.5</v>
      </c>
      <c r="P34" s="8">
        <f>33.9*0.001</f>
        <v>3.39E-2</v>
      </c>
      <c r="Q34" s="8">
        <v>1.7751749999999999</v>
      </c>
      <c r="R34" s="4">
        <v>13</v>
      </c>
      <c r="S34" t="s">
        <v>41</v>
      </c>
      <c r="AB34" t="s">
        <v>133</v>
      </c>
    </row>
    <row r="35" spans="1:28" x14ac:dyDescent="0.2">
      <c r="A35">
        <v>27</v>
      </c>
      <c r="B35" t="s">
        <v>68</v>
      </c>
      <c r="C35" t="s">
        <v>132</v>
      </c>
      <c r="D35" t="s">
        <v>140</v>
      </c>
      <c r="E35" t="s">
        <v>14</v>
      </c>
      <c r="F35" t="s">
        <v>134</v>
      </c>
      <c r="G35" t="s">
        <v>136</v>
      </c>
      <c r="H35">
        <v>25</v>
      </c>
      <c r="I35" t="s">
        <v>17</v>
      </c>
      <c r="J35" t="s">
        <v>16</v>
      </c>
      <c r="K35">
        <f t="shared" si="2"/>
        <v>6.0089865758252745E-2</v>
      </c>
      <c r="L35" s="8">
        <f>6.6*1</f>
        <v>6.6</v>
      </c>
      <c r="M35" s="8">
        <f t="shared" si="4"/>
        <v>0.27027000000000001</v>
      </c>
      <c r="N35" s="8">
        <f>32.9*0.001</f>
        <v>3.2899999999999999E-2</v>
      </c>
      <c r="O35" s="8">
        <f>((32+51.8)/2)*0.1</f>
        <v>4.1900000000000004</v>
      </c>
      <c r="P35" s="8">
        <f>40.95*0.001</f>
        <v>4.095E-2</v>
      </c>
      <c r="Q35" s="8">
        <v>4.4977634179999999</v>
      </c>
      <c r="R35" s="4">
        <v>13</v>
      </c>
      <c r="S35" t="s">
        <v>41</v>
      </c>
      <c r="T35">
        <v>12.85135893</v>
      </c>
      <c r="U35">
        <v>1.5331409359999999</v>
      </c>
      <c r="V35">
        <v>10.12733869</v>
      </c>
      <c r="W35">
        <v>16.18284478</v>
      </c>
      <c r="X35">
        <v>1.1460402999999999E-2</v>
      </c>
      <c r="Y35">
        <v>1.6750823000000001E-2</v>
      </c>
      <c r="Z35">
        <v>-1.1417946999999999E-2</v>
      </c>
      <c r="AA35">
        <v>5.4445923E-2</v>
      </c>
      <c r="AB35" t="s">
        <v>133</v>
      </c>
    </row>
    <row r="36" spans="1:28" x14ac:dyDescent="0.2">
      <c r="A36">
        <v>28</v>
      </c>
      <c r="B36" t="s">
        <v>113</v>
      </c>
      <c r="C36" t="s">
        <v>132</v>
      </c>
      <c r="D36" t="s">
        <v>140</v>
      </c>
      <c r="E36" t="s">
        <v>14</v>
      </c>
      <c r="F36" t="s">
        <v>14</v>
      </c>
      <c r="G36" t="s">
        <v>136</v>
      </c>
      <c r="H36" s="31">
        <v>36.941666669999996</v>
      </c>
      <c r="I36" t="s">
        <v>17</v>
      </c>
      <c r="J36" t="s">
        <v>16</v>
      </c>
      <c r="K36">
        <f t="shared" si="2"/>
        <v>0.14324035242290747</v>
      </c>
      <c r="L36" s="8">
        <f>3.3*3.4</f>
        <v>11.219999999999999</v>
      </c>
      <c r="M36" s="8">
        <f t="shared" si="4"/>
        <v>0.16257779999999999</v>
      </c>
      <c r="N36" s="8">
        <f>((45+12.5)/2)*0.001</f>
        <v>2.8750000000000001E-2</v>
      </c>
      <c r="O36" s="8">
        <f>((29.9+34.3)/2)*0.001</f>
        <v>3.2099999999999997E-2</v>
      </c>
      <c r="P36" s="8">
        <f>14.49*0.001</f>
        <v>1.4490000000000001E-2</v>
      </c>
      <c r="Q36" s="8">
        <f>1135*0.001</f>
        <v>1.135</v>
      </c>
      <c r="R36" s="4">
        <v>7</v>
      </c>
      <c r="S36" t="s">
        <v>41</v>
      </c>
      <c r="T36">
        <v>14.440339099999999</v>
      </c>
      <c r="U36">
        <v>1.335676291</v>
      </c>
      <c r="V36">
        <v>11.94970086</v>
      </c>
      <c r="W36">
        <v>17.17203147</v>
      </c>
      <c r="X36">
        <v>6.6076847999999994E-2</v>
      </c>
      <c r="Y36">
        <v>3.2921871999999998E-2</v>
      </c>
      <c r="Z36">
        <v>1.2545598999999999E-2</v>
      </c>
      <c r="AA36">
        <v>0.13726659299999999</v>
      </c>
      <c r="AB36" t="s">
        <v>133</v>
      </c>
    </row>
    <row r="37" spans="1:28" x14ac:dyDescent="0.2">
      <c r="A37">
        <v>28</v>
      </c>
      <c r="B37" s="11" t="s">
        <v>94</v>
      </c>
      <c r="C37" s="11" t="s">
        <v>131</v>
      </c>
      <c r="D37" s="11" t="s">
        <v>147</v>
      </c>
      <c r="E37" s="11" t="s">
        <v>14</v>
      </c>
      <c r="F37" s="10" t="s">
        <v>14</v>
      </c>
      <c r="G37" s="10" t="s">
        <v>136</v>
      </c>
      <c r="H37" s="32">
        <v>36.941666669999996</v>
      </c>
      <c r="I37" s="11" t="s">
        <v>17</v>
      </c>
      <c r="J37" s="11" t="s">
        <v>16</v>
      </c>
      <c r="K37" s="10">
        <f t="shared" si="2"/>
        <v>4.9728849557522117E-2</v>
      </c>
      <c r="L37" s="9">
        <f>1.2*4.6</f>
        <v>5.52</v>
      </c>
      <c r="M37" s="9">
        <v>0.122</v>
      </c>
      <c r="N37" s="9">
        <v>2.8750000000000001E-2</v>
      </c>
      <c r="O37" s="9">
        <v>3.2099999999999997E-2</v>
      </c>
      <c r="P37" s="9">
        <v>1.018E-2</v>
      </c>
      <c r="Q37" s="9">
        <f>1130*0.001</f>
        <v>1.1300000000000001</v>
      </c>
      <c r="R37" s="12">
        <v>10</v>
      </c>
      <c r="S37" s="11" t="s">
        <v>39</v>
      </c>
      <c r="T37" s="11">
        <v>24.178894660000001</v>
      </c>
      <c r="U37" s="5"/>
      <c r="V37" s="5"/>
      <c r="W37" s="5"/>
      <c r="X37">
        <v>5.2998447999999997E-2</v>
      </c>
      <c r="Y37" s="5"/>
      <c r="Z37" s="5"/>
      <c r="AA37" s="5"/>
      <c r="AB37" s="5" t="s">
        <v>107</v>
      </c>
    </row>
    <row r="38" spans="1:28" x14ac:dyDescent="0.2">
      <c r="A38">
        <v>29</v>
      </c>
      <c r="B38" s="11" t="s">
        <v>98</v>
      </c>
      <c r="C38" s="11" t="s">
        <v>131</v>
      </c>
      <c r="D38" s="11" t="s">
        <v>148</v>
      </c>
      <c r="E38" s="11" t="s">
        <v>14</v>
      </c>
      <c r="F38" s="10" t="s">
        <v>134</v>
      </c>
      <c r="G38" s="10" t="s">
        <v>136</v>
      </c>
      <c r="H38" s="32">
        <v>19.966666669999999</v>
      </c>
      <c r="I38" s="11" t="s">
        <v>15</v>
      </c>
      <c r="J38" s="11" t="s">
        <v>16</v>
      </c>
      <c r="K38" s="10">
        <f t="shared" si="2"/>
        <v>0.18800972584358525</v>
      </c>
      <c r="L38" s="10">
        <v>20.7723367</v>
      </c>
      <c r="M38" s="9"/>
      <c r="N38" s="9">
        <v>5.4099999999999999E-3</v>
      </c>
      <c r="O38" s="9">
        <v>3</v>
      </c>
      <c r="P38" s="9">
        <f>10.3*0.001</f>
        <v>1.03E-2</v>
      </c>
      <c r="Q38" s="9">
        <v>1.1379999999999999</v>
      </c>
      <c r="R38" s="12">
        <v>9</v>
      </c>
      <c r="S38" s="11" t="s">
        <v>39</v>
      </c>
      <c r="T38" s="11">
        <v>8.7569330000000001</v>
      </c>
      <c r="U38" s="5"/>
      <c r="V38" s="5"/>
      <c r="W38" s="5"/>
      <c r="X38">
        <v>-1.306445E-2</v>
      </c>
      <c r="Y38" s="5"/>
      <c r="Z38" s="5"/>
      <c r="AA38" s="5"/>
      <c r="AB38" s="5" t="s">
        <v>107</v>
      </c>
    </row>
    <row r="39" spans="1:28" x14ac:dyDescent="0.2">
      <c r="A39">
        <v>30</v>
      </c>
      <c r="B39" t="s">
        <v>75</v>
      </c>
      <c r="C39" t="s">
        <v>132</v>
      </c>
      <c r="D39" t="s">
        <v>140</v>
      </c>
      <c r="E39" t="s">
        <v>14</v>
      </c>
      <c r="F39" t="s">
        <v>134</v>
      </c>
      <c r="G39" t="s">
        <v>136</v>
      </c>
      <c r="H39">
        <v>35.4</v>
      </c>
      <c r="I39" t="s">
        <v>15</v>
      </c>
      <c r="J39" t="s">
        <v>16</v>
      </c>
      <c r="K39">
        <f t="shared" si="2"/>
        <v>0.1709817197020988</v>
      </c>
      <c r="L39" s="8">
        <f>AVERAGE(12.3,10.8,10.9,14.1,12.8,6.6)*2.3</f>
        <v>25.874999999999996</v>
      </c>
      <c r="M39" s="8">
        <f>L39*P39</f>
        <v>0.25253999999999993</v>
      </c>
      <c r="N39" s="8"/>
      <c r="O39" s="8">
        <f>((25+37)/2)*0.1</f>
        <v>3.1</v>
      </c>
      <c r="P39" s="8">
        <f>9.76*0.001</f>
        <v>9.7599999999999996E-3</v>
      </c>
      <c r="Q39" s="8">
        <f>1477*0.001</f>
        <v>1.4770000000000001</v>
      </c>
      <c r="R39" s="4">
        <v>6</v>
      </c>
      <c r="S39" t="s">
        <v>41</v>
      </c>
      <c r="T39">
        <v>14.99444418</v>
      </c>
      <c r="U39">
        <v>1.576101355</v>
      </c>
      <c r="V39">
        <v>12.45478029</v>
      </c>
      <c r="W39">
        <v>18.688084740000001</v>
      </c>
      <c r="X39">
        <v>5.1621340000000002E-2</v>
      </c>
      <c r="Y39">
        <v>3.8987053000000001E-2</v>
      </c>
      <c r="Z39">
        <v>-1.2834630000000001E-3</v>
      </c>
      <c r="AA39">
        <v>0.140446345</v>
      </c>
      <c r="AB39" t="s">
        <v>133</v>
      </c>
    </row>
    <row r="40" spans="1:28" x14ac:dyDescent="0.2">
      <c r="A40">
        <v>31</v>
      </c>
      <c r="B40" t="s">
        <v>46</v>
      </c>
      <c r="C40" t="s">
        <v>132</v>
      </c>
      <c r="D40" t="s">
        <v>140</v>
      </c>
      <c r="E40" t="s">
        <v>14</v>
      </c>
      <c r="F40" t="s">
        <v>134</v>
      </c>
      <c r="G40" t="s">
        <v>136</v>
      </c>
      <c r="H40">
        <v>29.6</v>
      </c>
      <c r="I40" t="s">
        <v>15</v>
      </c>
      <c r="J40" t="s">
        <v>18</v>
      </c>
      <c r="K40">
        <f t="shared" si="2"/>
        <v>6.5398905591688913E-2</v>
      </c>
      <c r="L40" s="8">
        <f>5.625*1.12</f>
        <v>6.3000000000000007</v>
      </c>
      <c r="M40" s="8">
        <f>L40*P40</f>
        <v>0.30743999999999999</v>
      </c>
      <c r="N40" s="8">
        <f>31.5*0.001</f>
        <v>3.15E-2</v>
      </c>
      <c r="O40" s="8">
        <f>52.7*0.1</f>
        <v>5.2700000000000005</v>
      </c>
      <c r="P40" s="8">
        <f>48.8*0.001</f>
        <v>4.8799999999999996E-2</v>
      </c>
      <c r="Q40" s="8">
        <v>4.7009960980000001</v>
      </c>
      <c r="R40" s="4">
        <v>7</v>
      </c>
      <c r="S40" t="s">
        <v>41</v>
      </c>
      <c r="T40">
        <v>17.760025049999999</v>
      </c>
      <c r="U40">
        <v>1.5143257480000001</v>
      </c>
      <c r="V40">
        <v>15.144521709999999</v>
      </c>
      <c r="W40">
        <v>21.09687641</v>
      </c>
      <c r="X40">
        <v>4.1946520000000001E-2</v>
      </c>
      <c r="Y40">
        <v>2.6352621999999999E-2</v>
      </c>
      <c r="Z40">
        <v>3.6151070000000002E-3</v>
      </c>
      <c r="AA40">
        <v>0.104660358</v>
      </c>
      <c r="AB40" t="s">
        <v>133</v>
      </c>
    </row>
    <row r="41" spans="1:28" x14ac:dyDescent="0.2">
      <c r="A41">
        <v>32</v>
      </c>
      <c r="B41" s="11" t="s">
        <v>99</v>
      </c>
      <c r="C41" s="11" t="s">
        <v>131</v>
      </c>
      <c r="D41" s="11" t="s">
        <v>149</v>
      </c>
      <c r="E41" s="11" t="s">
        <v>14</v>
      </c>
      <c r="F41" s="10" t="s">
        <v>134</v>
      </c>
      <c r="G41" s="10" t="s">
        <v>136</v>
      </c>
      <c r="H41" s="11">
        <v>11.8</v>
      </c>
      <c r="I41" s="11" t="s">
        <v>15</v>
      </c>
      <c r="J41" s="11" t="s">
        <v>16</v>
      </c>
      <c r="K41" s="10">
        <f t="shared" si="2"/>
        <v>4.6272493573264774E-2</v>
      </c>
      <c r="L41" s="9">
        <v>2</v>
      </c>
      <c r="M41" s="9">
        <v>8.1000000000000003E-2</v>
      </c>
      <c r="N41" s="9">
        <f>7.8*0.001</f>
        <v>7.7999999999999996E-3</v>
      </c>
      <c r="O41" s="9">
        <v>4.3</v>
      </c>
      <c r="P41" s="9">
        <v>8.9999999999999993E-3</v>
      </c>
      <c r="Q41" s="9">
        <f>389*0.001</f>
        <v>0.38900000000000001</v>
      </c>
      <c r="R41" s="12">
        <v>15</v>
      </c>
      <c r="S41" s="11" t="s">
        <v>39</v>
      </c>
      <c r="T41" s="11">
        <v>11.879044499999999</v>
      </c>
      <c r="U41" s="5"/>
      <c r="V41" s="5"/>
      <c r="W41" s="5"/>
      <c r="X41">
        <v>0.124046381</v>
      </c>
      <c r="Y41" s="5"/>
      <c r="Z41" s="5"/>
      <c r="AA41" s="5"/>
      <c r="AB41" s="5" t="s">
        <v>107</v>
      </c>
    </row>
    <row r="42" spans="1:28" x14ac:dyDescent="0.2">
      <c r="A42">
        <v>33</v>
      </c>
      <c r="B42" t="s">
        <v>52</v>
      </c>
      <c r="C42" t="s">
        <v>132</v>
      </c>
      <c r="D42" t="s">
        <v>140</v>
      </c>
      <c r="E42" t="s">
        <v>14</v>
      </c>
      <c r="F42" t="s">
        <v>134</v>
      </c>
      <c r="G42" t="s">
        <v>136</v>
      </c>
      <c r="H42">
        <v>14.1</v>
      </c>
      <c r="I42" t="s">
        <v>17</v>
      </c>
      <c r="J42" t="s">
        <v>18</v>
      </c>
      <c r="K42">
        <f>(L42*P42)/Q42</f>
        <v>0.18784525697640861</v>
      </c>
      <c r="L42" s="8">
        <f>4*2.5</f>
        <v>10</v>
      </c>
      <c r="M42" s="8">
        <f>L42*P42</f>
        <v>0.42799999999999999</v>
      </c>
      <c r="N42" s="8">
        <f>((17+27)/2)*0.001</f>
        <v>2.1999999999999999E-2</v>
      </c>
      <c r="O42" s="8">
        <f>((31+49)/2)*0.1</f>
        <v>4</v>
      </c>
      <c r="P42" s="8">
        <f>42.8*0.001</f>
        <v>4.2799999999999998E-2</v>
      </c>
      <c r="Q42" s="8">
        <v>2.2784711569999998</v>
      </c>
      <c r="R42" s="4">
        <v>6</v>
      </c>
      <c r="S42" t="s">
        <v>41</v>
      </c>
      <c r="T42">
        <v>21.675100749999999</v>
      </c>
      <c r="U42">
        <v>1.9504776500000001</v>
      </c>
      <c r="V42">
        <v>18.600337740000001</v>
      </c>
      <c r="W42">
        <v>26.263005939999999</v>
      </c>
      <c r="X42">
        <v>3.1707500999999999E-2</v>
      </c>
      <c r="Y42">
        <v>2.1642207E-2</v>
      </c>
      <c r="Z42">
        <v>2.064045E-3</v>
      </c>
      <c r="AA42">
        <v>8.3289888000000006E-2</v>
      </c>
      <c r="AB42" t="s">
        <v>133</v>
      </c>
    </row>
    <row r="43" spans="1:28" x14ac:dyDescent="0.2">
      <c r="A43">
        <v>34</v>
      </c>
      <c r="B43" t="s">
        <v>51</v>
      </c>
      <c r="C43" t="s">
        <v>132</v>
      </c>
      <c r="D43" t="s">
        <v>140</v>
      </c>
      <c r="E43" t="s">
        <v>14</v>
      </c>
      <c r="F43" t="s">
        <v>134</v>
      </c>
      <c r="G43" t="s">
        <v>136</v>
      </c>
      <c r="H43">
        <v>39.200000000000003</v>
      </c>
      <c r="I43" t="s">
        <v>17</v>
      </c>
      <c r="J43" t="s">
        <v>16</v>
      </c>
      <c r="K43">
        <f>(L43*P43)/Q43</f>
        <v>9.6991412862173332E-2</v>
      </c>
      <c r="L43" s="8">
        <f>4*2.5</f>
        <v>10</v>
      </c>
      <c r="M43" s="8">
        <f>L43*P43</f>
        <v>0.15699999999999997</v>
      </c>
      <c r="N43" s="8"/>
      <c r="O43" s="8"/>
      <c r="P43" s="8">
        <f>15.7*0.001</f>
        <v>1.5699999999999999E-2</v>
      </c>
      <c r="Q43" s="8">
        <v>1.6187</v>
      </c>
      <c r="R43" s="4">
        <v>8</v>
      </c>
      <c r="S43" t="s">
        <v>41</v>
      </c>
      <c r="T43">
        <v>8.6759213339999999</v>
      </c>
      <c r="U43">
        <v>1.6658753930000001</v>
      </c>
      <c r="V43">
        <v>5.9927899929999997</v>
      </c>
      <c r="W43">
        <v>12.434862280000001</v>
      </c>
      <c r="X43">
        <v>1.8546508E-2</v>
      </c>
      <c r="Y43">
        <v>2.9487718E-2</v>
      </c>
      <c r="Z43">
        <v>-2.0304218999999998E-2</v>
      </c>
      <c r="AA43">
        <v>9.5667463999999994E-2</v>
      </c>
      <c r="AB43" t="s">
        <v>133</v>
      </c>
    </row>
    <row r="44" spans="1:28" x14ac:dyDescent="0.2">
      <c r="A44">
        <v>35</v>
      </c>
      <c r="B44" t="s">
        <v>59</v>
      </c>
      <c r="C44" t="s">
        <v>132</v>
      </c>
      <c r="D44" t="s">
        <v>140</v>
      </c>
      <c r="E44" t="s">
        <v>14</v>
      </c>
      <c r="F44" t="s">
        <v>134</v>
      </c>
      <c r="G44" t="s">
        <v>136</v>
      </c>
      <c r="H44">
        <v>26.5</v>
      </c>
      <c r="I44" t="s">
        <v>17</v>
      </c>
      <c r="J44" t="s">
        <v>18</v>
      </c>
      <c r="K44">
        <f t="shared" si="2"/>
        <v>0.14907660539685372</v>
      </c>
      <c r="L44" s="8">
        <f>2.3*4</f>
        <v>9.1999999999999993</v>
      </c>
      <c r="M44" s="8">
        <f>L44*P44</f>
        <v>0.33193600000000001</v>
      </c>
      <c r="N44" s="8"/>
      <c r="O44" s="8">
        <f>40*0.1</f>
        <v>4</v>
      </c>
      <c r="P44" s="8">
        <f>36.08*0.001</f>
        <v>3.6080000000000001E-2</v>
      </c>
      <c r="Q44" s="8">
        <v>2.2266136200000002</v>
      </c>
      <c r="R44" s="4">
        <v>12</v>
      </c>
      <c r="S44" t="s">
        <v>41</v>
      </c>
      <c r="T44">
        <v>10.17687888</v>
      </c>
      <c r="U44">
        <v>1.3794786370000001</v>
      </c>
      <c r="V44">
        <v>7.8277668719999998</v>
      </c>
      <c r="W44">
        <v>13.203501989999999</v>
      </c>
      <c r="X44" s="1">
        <v>1.08E-5</v>
      </c>
      <c r="Y44">
        <v>3.6461940000000002E-3</v>
      </c>
      <c r="Z44">
        <v>-4.6896009999999998E-3</v>
      </c>
      <c r="AA44">
        <v>4.9578069999999998E-3</v>
      </c>
      <c r="AB44" t="s">
        <v>133</v>
      </c>
    </row>
    <row r="45" spans="1:28" x14ac:dyDescent="0.2">
      <c r="A45">
        <v>36</v>
      </c>
      <c r="B45" t="s">
        <v>58</v>
      </c>
      <c r="C45" t="s">
        <v>132</v>
      </c>
      <c r="D45" t="s">
        <v>140</v>
      </c>
      <c r="E45" t="s">
        <v>14</v>
      </c>
      <c r="F45" t="s">
        <v>134</v>
      </c>
      <c r="G45" t="s">
        <v>136</v>
      </c>
      <c r="H45">
        <v>60</v>
      </c>
      <c r="I45" t="s">
        <v>17</v>
      </c>
      <c r="J45" t="s">
        <v>18</v>
      </c>
      <c r="K45">
        <f t="shared" si="2"/>
        <v>0.15019138606148058</v>
      </c>
      <c r="L45" s="8">
        <f>3*1.5</f>
        <v>4.5</v>
      </c>
      <c r="M45" s="8"/>
      <c r="N45" s="8">
        <f>((15+22)/2)*0.1</f>
        <v>1.85</v>
      </c>
      <c r="O45" s="8">
        <f>((42+47)/2)*0.1</f>
        <v>4.45</v>
      </c>
      <c r="P45" s="8">
        <f>((23+32)/2)*0.001</f>
        <v>2.75E-2</v>
      </c>
      <c r="Q45" s="8">
        <v>0.82394871800000002</v>
      </c>
      <c r="R45" s="4">
        <v>15</v>
      </c>
      <c r="S45" t="s">
        <v>41</v>
      </c>
      <c r="T45">
        <v>7.5690665900000003</v>
      </c>
      <c r="U45">
        <v>1.2532340850000001</v>
      </c>
      <c r="V45">
        <v>5.4503199200000001</v>
      </c>
      <c r="W45">
        <v>10.362963690000001</v>
      </c>
      <c r="X45">
        <v>1.5282274E-2</v>
      </c>
      <c r="Y45">
        <v>2.4499139999999999E-2</v>
      </c>
      <c r="Z45">
        <v>-1.8679087E-2</v>
      </c>
      <c r="AA45">
        <v>7.9425622000000001E-2</v>
      </c>
      <c r="AB45" t="s">
        <v>133</v>
      </c>
    </row>
    <row r="46" spans="1:28" x14ac:dyDescent="0.2">
      <c r="A46">
        <v>37</v>
      </c>
      <c r="B46" s="11" t="s">
        <v>100</v>
      </c>
      <c r="C46" s="11" t="s">
        <v>131</v>
      </c>
      <c r="D46" s="11" t="s">
        <v>150</v>
      </c>
      <c r="E46" s="11" t="s">
        <v>14</v>
      </c>
      <c r="F46" s="10" t="s">
        <v>134</v>
      </c>
      <c r="G46" s="10" t="s">
        <v>136</v>
      </c>
      <c r="H46" s="11">
        <v>42.4</v>
      </c>
      <c r="I46" s="11" t="s">
        <v>15</v>
      </c>
      <c r="J46" s="11" t="s">
        <v>16</v>
      </c>
      <c r="K46" s="10">
        <f t="shared" si="2"/>
        <v>8.3491338002211549E-2</v>
      </c>
      <c r="L46" s="9">
        <v>4.68</v>
      </c>
      <c r="M46" s="9">
        <v>2.3E-2</v>
      </c>
      <c r="N46" s="9">
        <v>2.5100000000000001E-3</v>
      </c>
      <c r="O46" s="9">
        <v>2.5499999999999998</v>
      </c>
      <c r="P46" s="9">
        <v>4.8399999999999997E-3</v>
      </c>
      <c r="Q46" s="9">
        <f>271.3*0.001</f>
        <v>0.27130000000000004</v>
      </c>
      <c r="R46" s="12">
        <v>11</v>
      </c>
      <c r="S46" s="11" t="s">
        <v>39</v>
      </c>
      <c r="T46" s="11">
        <v>11.953288280000001</v>
      </c>
      <c r="U46" s="5"/>
      <c r="V46" s="5"/>
      <c r="W46" s="5"/>
      <c r="X46">
        <v>3.9536068000000001E-2</v>
      </c>
      <c r="Y46" s="5"/>
      <c r="Z46" s="5"/>
      <c r="AA46" s="5"/>
      <c r="AB46" s="5" t="s">
        <v>107</v>
      </c>
    </row>
    <row r="47" spans="1:28" x14ac:dyDescent="0.2">
      <c r="A47">
        <v>38</v>
      </c>
      <c r="B47" t="s">
        <v>78</v>
      </c>
      <c r="C47" t="s">
        <v>132</v>
      </c>
      <c r="D47" t="s">
        <v>140</v>
      </c>
      <c r="E47" t="s">
        <v>14</v>
      </c>
      <c r="F47" t="s">
        <v>134</v>
      </c>
      <c r="G47" t="s">
        <v>136</v>
      </c>
      <c r="H47">
        <v>19.2</v>
      </c>
      <c r="I47" t="s">
        <v>15</v>
      </c>
      <c r="J47" t="s">
        <v>16</v>
      </c>
      <c r="K47">
        <f t="shared" si="2"/>
        <v>0.1348801341156747</v>
      </c>
      <c r="L47" s="8">
        <f>2.26*((1+6.2)/2)</f>
        <v>8.1359999999999992</v>
      </c>
      <c r="M47" s="8">
        <f>L47*P47</f>
        <v>7.2410399999999972E-2</v>
      </c>
      <c r="N47" s="8">
        <f>5.8*0.001</f>
        <v>5.7999999999999996E-3</v>
      </c>
      <c r="O47" s="8">
        <f>30.2*0.1</f>
        <v>3.02</v>
      </c>
      <c r="P47" s="8">
        <f>AVERAGE(9.6,8.2)*0.001</f>
        <v>8.8999999999999982E-3</v>
      </c>
      <c r="Q47" s="8">
        <f>AVERAGE(730,343.7)*0.001</f>
        <v>0.53685000000000005</v>
      </c>
      <c r="R47" s="4">
        <v>10</v>
      </c>
      <c r="S47" t="s">
        <v>41</v>
      </c>
      <c r="T47">
        <v>1.6083826130000001</v>
      </c>
      <c r="U47">
        <v>0.38722810899999999</v>
      </c>
      <c r="V47">
        <v>0.99599931200000003</v>
      </c>
      <c r="W47">
        <v>2.5054982990000001</v>
      </c>
      <c r="X47">
        <v>2.3811593999999998E-2</v>
      </c>
      <c r="Y47">
        <v>5.4401975999999998E-2</v>
      </c>
      <c r="Z47">
        <v>-6.1526547000000001E-2</v>
      </c>
      <c r="AA47">
        <v>0.164235666</v>
      </c>
      <c r="AB47" t="s">
        <v>133</v>
      </c>
    </row>
    <row r="48" spans="1:28" x14ac:dyDescent="0.2">
      <c r="A48">
        <v>39</v>
      </c>
      <c r="B48" t="s">
        <v>76</v>
      </c>
      <c r="C48" t="s">
        <v>132</v>
      </c>
      <c r="D48" t="s">
        <v>140</v>
      </c>
      <c r="E48" t="s">
        <v>14</v>
      </c>
      <c r="F48" s="7" t="s">
        <v>134</v>
      </c>
      <c r="G48" t="s">
        <v>136</v>
      </c>
      <c r="H48">
        <v>70.3</v>
      </c>
      <c r="I48" t="s">
        <v>15</v>
      </c>
      <c r="J48" t="s">
        <v>16</v>
      </c>
      <c r="K48">
        <f t="shared" si="2"/>
        <v>5.3687709353802952E-2</v>
      </c>
      <c r="L48" s="8">
        <v>24.75</v>
      </c>
      <c r="M48" s="8">
        <f>L48*P48</f>
        <v>0.80635499999999993</v>
      </c>
      <c r="N48" s="8"/>
      <c r="O48" s="8">
        <f>((35.5+45)/2)*0.1</f>
        <v>4.0250000000000004</v>
      </c>
      <c r="P48" s="8">
        <f>32.58*0.001</f>
        <v>3.2579999999999998E-2</v>
      </c>
      <c r="Q48" s="8">
        <v>15.019359359999999</v>
      </c>
      <c r="R48" s="4">
        <v>12</v>
      </c>
      <c r="S48" t="s">
        <v>41</v>
      </c>
      <c r="AB48" t="s">
        <v>133</v>
      </c>
    </row>
    <row r="49" spans="1:28" x14ac:dyDescent="0.2">
      <c r="A49">
        <v>40</v>
      </c>
      <c r="B49" t="s">
        <v>53</v>
      </c>
      <c r="C49" t="s">
        <v>132</v>
      </c>
      <c r="D49" t="s">
        <v>140</v>
      </c>
      <c r="E49" t="s">
        <v>14</v>
      </c>
      <c r="F49" t="s">
        <v>134</v>
      </c>
      <c r="G49" t="s">
        <v>136</v>
      </c>
      <c r="H49">
        <v>25.9</v>
      </c>
      <c r="I49" t="s">
        <v>17</v>
      </c>
      <c r="J49" t="s">
        <v>16</v>
      </c>
      <c r="K49">
        <f t="shared" si="2"/>
        <v>3.9342640490652073E-2</v>
      </c>
      <c r="L49" s="8">
        <v>1</v>
      </c>
      <c r="M49" s="8">
        <f>L49*P49</f>
        <v>1.8880000000000001E-2</v>
      </c>
      <c r="N49" s="8">
        <f>((10+23)/2)*0.001</f>
        <v>1.6500000000000001E-2</v>
      </c>
      <c r="O49" s="8">
        <f>((32+47)/2)*0.1</f>
        <v>3.95</v>
      </c>
      <c r="P49" s="8">
        <f>18.88*0.001</f>
        <v>1.8880000000000001E-2</v>
      </c>
      <c r="Q49" s="8">
        <v>0.47988644800000002</v>
      </c>
      <c r="R49" s="4">
        <v>5</v>
      </c>
      <c r="S49" t="s">
        <v>41</v>
      </c>
      <c r="T49">
        <v>18.035706229999999</v>
      </c>
      <c r="U49">
        <v>1.092092061</v>
      </c>
      <c r="V49">
        <v>16.105932849999999</v>
      </c>
      <c r="W49">
        <v>20.3674648</v>
      </c>
      <c r="X49">
        <v>1.2805517000000001E-2</v>
      </c>
      <c r="Y49">
        <v>9.4843510000000002E-3</v>
      </c>
      <c r="Z49">
        <v>-4.8811200000000002E-4</v>
      </c>
      <c r="AA49">
        <v>3.5144598999999999E-2</v>
      </c>
      <c r="AB49" t="s">
        <v>133</v>
      </c>
    </row>
    <row r="50" spans="1:28" x14ac:dyDescent="0.2">
      <c r="A50">
        <v>41</v>
      </c>
      <c r="B50" t="s">
        <v>42</v>
      </c>
      <c r="C50" t="s">
        <v>132</v>
      </c>
      <c r="D50" t="s">
        <v>140</v>
      </c>
      <c r="E50" t="s">
        <v>14</v>
      </c>
      <c r="F50" t="s">
        <v>134</v>
      </c>
      <c r="G50" t="s">
        <v>136</v>
      </c>
      <c r="H50">
        <v>24.2</v>
      </c>
      <c r="I50" t="s">
        <v>15</v>
      </c>
      <c r="J50" t="s">
        <v>16</v>
      </c>
      <c r="K50">
        <f t="shared" si="2"/>
        <v>0.27717015077867602</v>
      </c>
      <c r="L50" s="8">
        <f>7.8*2.333333333</f>
        <v>18.199999997399999</v>
      </c>
      <c r="M50" s="8">
        <f>L50*P50</f>
        <v>0.23659999996620001</v>
      </c>
      <c r="N50" s="8">
        <f>5.6*0.001</f>
        <v>5.5999999999999999E-3</v>
      </c>
      <c r="O50" s="8">
        <f>AVERAGE(28.86,29.03,29.14,29.09)*0.1</f>
        <v>2.9030000000000005</v>
      </c>
      <c r="P50" s="8">
        <f>13*0.001</f>
        <v>1.3000000000000001E-2</v>
      </c>
      <c r="Q50" s="8">
        <v>0.85362727299999996</v>
      </c>
      <c r="R50" s="4">
        <v>9</v>
      </c>
      <c r="S50" t="s">
        <v>41</v>
      </c>
      <c r="T50">
        <v>10.18214457</v>
      </c>
      <c r="U50">
        <v>1.467197807</v>
      </c>
      <c r="V50">
        <v>7.6413288650000002</v>
      </c>
      <c r="W50">
        <v>13.33201918</v>
      </c>
      <c r="X50">
        <v>3.5659739000000003E-2</v>
      </c>
      <c r="Y50">
        <v>3.5189191000000002E-2</v>
      </c>
      <c r="Z50">
        <v>-7.6916229999999999E-3</v>
      </c>
      <c r="AA50">
        <v>0.123867667</v>
      </c>
      <c r="AB50" t="s">
        <v>133</v>
      </c>
    </row>
    <row r="51" spans="1:28" x14ac:dyDescent="0.2">
      <c r="A51">
        <v>42</v>
      </c>
      <c r="B51" s="11" t="s">
        <v>101</v>
      </c>
      <c r="C51" s="11" t="s">
        <v>131</v>
      </c>
      <c r="D51" s="11" t="s">
        <v>152</v>
      </c>
      <c r="E51" s="11" t="s">
        <v>14</v>
      </c>
      <c r="F51" s="10" t="s">
        <v>134</v>
      </c>
      <c r="G51" s="10" t="s">
        <v>136</v>
      </c>
      <c r="H51" s="11">
        <v>17.600000000000001</v>
      </c>
      <c r="I51" s="11" t="s">
        <v>15</v>
      </c>
      <c r="J51" s="11" t="s">
        <v>16</v>
      </c>
      <c r="K51" s="10">
        <f t="shared" si="2"/>
        <v>8.8129496402877691E-2</v>
      </c>
      <c r="L51" s="9">
        <v>5</v>
      </c>
      <c r="M51" s="9">
        <v>4.9000000000000002E-2</v>
      </c>
      <c r="N51" s="9"/>
      <c r="O51" s="9">
        <v>3.5</v>
      </c>
      <c r="P51" s="9">
        <v>9.7999999999999997E-3</v>
      </c>
      <c r="Q51" s="9">
        <f>556*0.001</f>
        <v>0.55600000000000005</v>
      </c>
      <c r="R51" s="12">
        <v>6</v>
      </c>
      <c r="S51" s="11" t="s">
        <v>39</v>
      </c>
      <c r="T51" s="11">
        <v>4.76625999</v>
      </c>
      <c r="U51" s="5"/>
      <c r="V51" s="5"/>
      <c r="W51" s="5"/>
      <c r="X51">
        <v>9.5362106000000002E-2</v>
      </c>
      <c r="Y51" s="5"/>
      <c r="Z51" s="5"/>
      <c r="AA51" s="5"/>
      <c r="AB51" s="5" t="s">
        <v>107</v>
      </c>
    </row>
    <row r="52" spans="1:28" x14ac:dyDescent="0.2">
      <c r="A52">
        <v>43</v>
      </c>
      <c r="B52" t="s">
        <v>81</v>
      </c>
      <c r="C52" t="s">
        <v>132</v>
      </c>
      <c r="D52" t="s">
        <v>140</v>
      </c>
      <c r="E52" t="s">
        <v>14</v>
      </c>
      <c r="F52" t="s">
        <v>134</v>
      </c>
      <c r="G52" t="s">
        <v>136</v>
      </c>
      <c r="H52">
        <v>7.3</v>
      </c>
      <c r="I52" t="s">
        <v>15</v>
      </c>
      <c r="J52" t="s">
        <v>16</v>
      </c>
      <c r="K52">
        <f>(L52*P52)/Q52</f>
        <v>0.11774436090225564</v>
      </c>
      <c r="L52" s="8">
        <f>14.5*3.5</f>
        <v>50.75</v>
      </c>
      <c r="M52" s="8">
        <f>L52*P52</f>
        <v>0.27405000000000002</v>
      </c>
      <c r="N52" s="8"/>
      <c r="O52" s="8" t="s">
        <v>746</v>
      </c>
      <c r="P52" s="8">
        <f>5.4*0.001</f>
        <v>5.4000000000000003E-3</v>
      </c>
      <c r="Q52" s="8">
        <v>2.3275000000000001</v>
      </c>
      <c r="R52" s="4">
        <v>4</v>
      </c>
      <c r="S52" t="s">
        <v>41</v>
      </c>
      <c r="T52">
        <v>8.1481271569999993</v>
      </c>
      <c r="U52">
        <v>1.0755219</v>
      </c>
      <c r="V52">
        <v>6.242045568</v>
      </c>
      <c r="W52">
        <v>10.49541967</v>
      </c>
      <c r="X52">
        <v>8.7989739999999993E-3</v>
      </c>
      <c r="Y52">
        <v>1.9808909999999999E-2</v>
      </c>
      <c r="Z52">
        <v>-2.187619E-2</v>
      </c>
      <c r="AA52">
        <v>5.9234664999999999E-2</v>
      </c>
      <c r="AB52" t="s">
        <v>133</v>
      </c>
    </row>
    <row r="53" spans="1:28" x14ac:dyDescent="0.2">
      <c r="A53">
        <v>44</v>
      </c>
      <c r="B53" t="s">
        <v>82</v>
      </c>
      <c r="C53" t="s">
        <v>132</v>
      </c>
      <c r="D53" t="s">
        <v>140</v>
      </c>
      <c r="E53" t="s">
        <v>14</v>
      </c>
      <c r="F53" t="s">
        <v>134</v>
      </c>
      <c r="G53" t="s">
        <v>136</v>
      </c>
      <c r="H53">
        <v>20.100000000000001</v>
      </c>
      <c r="I53" t="s">
        <v>15</v>
      </c>
      <c r="J53" t="s">
        <v>16</v>
      </c>
      <c r="K53">
        <f t="shared" si="2"/>
        <v>8.7144742630884287E-2</v>
      </c>
      <c r="L53" s="8">
        <v>16</v>
      </c>
      <c r="M53" s="8">
        <f>L53*P53</f>
        <v>0.19808000000000001</v>
      </c>
      <c r="N53" s="8"/>
      <c r="O53" s="8">
        <f>((25+30)/2)*0.1</f>
        <v>2.75</v>
      </c>
      <c r="P53" s="8">
        <f>12.38*0.001</f>
        <v>1.238E-2</v>
      </c>
      <c r="Q53" s="8">
        <v>2.2730000000000001</v>
      </c>
      <c r="R53" s="4">
        <v>4</v>
      </c>
      <c r="S53" t="s">
        <v>41</v>
      </c>
      <c r="T53">
        <v>12.149596259999999</v>
      </c>
      <c r="U53">
        <v>1.0426565969999999</v>
      </c>
      <c r="V53">
        <v>10.23200469</v>
      </c>
      <c r="W53">
        <v>14.34731275</v>
      </c>
      <c r="X53">
        <v>1.8909295999999999E-2</v>
      </c>
      <c r="Y53">
        <v>1.5511382000000001E-2</v>
      </c>
      <c r="Z53">
        <v>-3.1696490000000001E-3</v>
      </c>
      <c r="AA53">
        <v>5.5725416E-2</v>
      </c>
      <c r="AB53" t="s">
        <v>133</v>
      </c>
    </row>
    <row r="54" spans="1:28" x14ac:dyDescent="0.2">
      <c r="A54">
        <v>45</v>
      </c>
      <c r="B54" t="s">
        <v>83</v>
      </c>
      <c r="C54" t="s">
        <v>132</v>
      </c>
      <c r="D54" t="s">
        <v>140</v>
      </c>
      <c r="E54" t="s">
        <v>14</v>
      </c>
      <c r="F54" t="s">
        <v>134</v>
      </c>
      <c r="G54" t="s">
        <v>136</v>
      </c>
      <c r="H54">
        <v>41</v>
      </c>
      <c r="I54" t="s">
        <v>15</v>
      </c>
      <c r="J54" t="s">
        <v>18</v>
      </c>
      <c r="K54">
        <f t="shared" si="2"/>
        <v>0.11336585594685929</v>
      </c>
      <c r="L54" s="8">
        <v>12</v>
      </c>
      <c r="M54" s="8">
        <f>L54*P54</f>
        <v>0.15479999999999999</v>
      </c>
      <c r="N54" s="8"/>
      <c r="O54" s="8">
        <f>((30+40)/2)*0.1</f>
        <v>3.5</v>
      </c>
      <c r="P54" s="8">
        <f>12.9*0.001</f>
        <v>1.29E-2</v>
      </c>
      <c r="Q54" s="8">
        <v>1.365490506</v>
      </c>
      <c r="R54" s="4">
        <v>3</v>
      </c>
      <c r="S54" t="s">
        <v>41</v>
      </c>
      <c r="T54">
        <v>22.994051379999998</v>
      </c>
      <c r="U54">
        <v>3.3142887600000002</v>
      </c>
      <c r="V54">
        <v>17.890080950000002</v>
      </c>
      <c r="W54">
        <v>30.89351534</v>
      </c>
      <c r="X54">
        <v>1.6493377E-2</v>
      </c>
      <c r="Y54">
        <v>1.5361557E-2</v>
      </c>
      <c r="Z54">
        <v>-2.6651119999999999E-3</v>
      </c>
      <c r="AA54">
        <v>5.4726202000000002E-2</v>
      </c>
      <c r="AB54" t="s">
        <v>133</v>
      </c>
    </row>
    <row r="55" spans="1:28" x14ac:dyDescent="0.2">
      <c r="A55">
        <v>46</v>
      </c>
      <c r="B55" t="s">
        <v>88</v>
      </c>
      <c r="C55" t="s">
        <v>132</v>
      </c>
      <c r="D55" t="s">
        <v>140</v>
      </c>
      <c r="E55" t="s">
        <v>14</v>
      </c>
      <c r="F55" t="s">
        <v>134</v>
      </c>
      <c r="G55" t="s">
        <v>136</v>
      </c>
      <c r="H55">
        <v>20</v>
      </c>
      <c r="I55" t="s">
        <v>17</v>
      </c>
      <c r="J55" t="s">
        <v>16</v>
      </c>
      <c r="K55">
        <f t="shared" si="2"/>
        <v>8.3672092972339074E-2</v>
      </c>
      <c r="L55" s="8">
        <v>1</v>
      </c>
      <c r="M55" s="8">
        <f>L55*P55</f>
        <v>2.7E-2</v>
      </c>
      <c r="N55" s="8"/>
      <c r="O55" s="8">
        <f>((43+57 )/2)*0.1</f>
        <v>5</v>
      </c>
      <c r="P55" s="8">
        <f>27*0.001</f>
        <v>2.7E-2</v>
      </c>
      <c r="Q55" s="8">
        <v>0.32268823499999999</v>
      </c>
      <c r="R55" s="4">
        <v>10</v>
      </c>
      <c r="S55" t="s">
        <v>41</v>
      </c>
      <c r="T55">
        <v>8.3548431539999992</v>
      </c>
      <c r="U55">
        <v>1.3823429149999999</v>
      </c>
      <c r="V55">
        <v>6.038948113</v>
      </c>
      <c r="W55">
        <v>11.424255280000001</v>
      </c>
      <c r="X55">
        <v>4.6127670000000003E-3</v>
      </c>
      <c r="Y55">
        <v>1.7374975000000001E-2</v>
      </c>
      <c r="Z55">
        <v>-4.9164819999999998E-3</v>
      </c>
      <c r="AA55">
        <v>5.9665759999999998E-2</v>
      </c>
      <c r="AB55" t="s">
        <v>133</v>
      </c>
    </row>
    <row r="56" spans="1:28" x14ac:dyDescent="0.2">
      <c r="A56">
        <v>47</v>
      </c>
      <c r="B56" t="s">
        <v>84</v>
      </c>
      <c r="C56" t="s">
        <v>132</v>
      </c>
      <c r="D56" t="s">
        <v>140</v>
      </c>
      <c r="E56" t="s">
        <v>14</v>
      </c>
      <c r="F56" t="s">
        <v>134</v>
      </c>
      <c r="G56" t="s">
        <v>136</v>
      </c>
      <c r="H56">
        <v>70</v>
      </c>
      <c r="I56" t="s">
        <v>15</v>
      </c>
      <c r="J56" t="s">
        <v>18</v>
      </c>
      <c r="K56">
        <f t="shared" si="2"/>
        <v>0.121291694157086</v>
      </c>
      <c r="L56" s="8">
        <v>24</v>
      </c>
      <c r="M56" s="8">
        <f>L56*P56</f>
        <v>0.5855999999999999</v>
      </c>
      <c r="N56" s="8">
        <f>((9+22)/2)*0.001</f>
        <v>1.55E-2</v>
      </c>
      <c r="O56" s="8">
        <f>40*0.1</f>
        <v>4</v>
      </c>
      <c r="P56" s="8">
        <f>24.4*0.001</f>
        <v>2.4399999999999998E-2</v>
      </c>
      <c r="Q56" s="8">
        <v>4.8280305099999996</v>
      </c>
      <c r="R56" s="4">
        <v>6</v>
      </c>
      <c r="S56" t="s">
        <v>41</v>
      </c>
      <c r="T56">
        <v>24.27546143</v>
      </c>
      <c r="U56">
        <v>1.5654361800000001</v>
      </c>
      <c r="V56">
        <v>21.470449120000001</v>
      </c>
      <c r="W56">
        <v>27.574374890000001</v>
      </c>
      <c r="X56">
        <v>3.5141243000000003E-2</v>
      </c>
      <c r="Y56">
        <v>1.6582754000000002E-2</v>
      </c>
      <c r="Z56">
        <v>7.4956040000000003E-3</v>
      </c>
      <c r="AA56">
        <v>7.1160581000000001E-2</v>
      </c>
      <c r="AB56" t="s">
        <v>133</v>
      </c>
    </row>
    <row r="57" spans="1:28" x14ac:dyDescent="0.2">
      <c r="A57">
        <v>48</v>
      </c>
      <c r="B57" s="11" t="s">
        <v>102</v>
      </c>
      <c r="C57" s="11" t="s">
        <v>131</v>
      </c>
      <c r="D57" s="11" t="s">
        <v>143</v>
      </c>
      <c r="E57" s="11" t="s">
        <v>14</v>
      </c>
      <c r="F57" s="10" t="s">
        <v>134</v>
      </c>
      <c r="G57" s="10" t="s">
        <v>136</v>
      </c>
      <c r="H57" s="11">
        <v>44</v>
      </c>
      <c r="I57" s="11" t="s">
        <v>15</v>
      </c>
      <c r="J57" s="11" t="s">
        <v>18</v>
      </c>
      <c r="K57" s="10">
        <f t="shared" si="2"/>
        <v>4.0747860962566843E-2</v>
      </c>
      <c r="L57" s="10">
        <v>10.08</v>
      </c>
      <c r="M57" s="9">
        <v>3.2050000000000001</v>
      </c>
      <c r="N57" s="9"/>
      <c r="O57" s="9"/>
      <c r="P57" s="9">
        <v>1.2095E-2</v>
      </c>
      <c r="Q57" s="9">
        <f>2992*0.001</f>
        <v>2.992</v>
      </c>
      <c r="R57" s="12">
        <v>14</v>
      </c>
      <c r="S57" s="11" t="s">
        <v>39</v>
      </c>
      <c r="T57" s="11">
        <v>14.967776519999999</v>
      </c>
      <c r="U57" s="5"/>
      <c r="V57" s="5"/>
      <c r="W57" s="5"/>
      <c r="X57">
        <v>3.6546939000000001E-2</v>
      </c>
      <c r="Y57" s="5"/>
      <c r="Z57" s="5"/>
      <c r="AA57" s="5"/>
      <c r="AB57" s="5" t="s">
        <v>107</v>
      </c>
    </row>
    <row r="58" spans="1:28" x14ac:dyDescent="0.2">
      <c r="A58">
        <v>49</v>
      </c>
      <c r="B58" t="s">
        <v>65</v>
      </c>
      <c r="C58" t="s">
        <v>132</v>
      </c>
      <c r="D58" t="s">
        <v>140</v>
      </c>
      <c r="E58" t="s">
        <v>14</v>
      </c>
      <c r="F58" t="s">
        <v>134</v>
      </c>
      <c r="G58" t="s">
        <v>136</v>
      </c>
      <c r="H58">
        <v>70</v>
      </c>
      <c r="I58" t="s">
        <v>17</v>
      </c>
      <c r="J58" t="s">
        <v>18</v>
      </c>
      <c r="K58">
        <f t="shared" si="2"/>
        <v>3.7485609049104009E-2</v>
      </c>
      <c r="L58" s="8">
        <v>1</v>
      </c>
      <c r="M58" s="8">
        <f>L58*P58</f>
        <v>1.3460000000000001E-2</v>
      </c>
      <c r="N58" s="8"/>
      <c r="O58" s="8"/>
      <c r="P58" s="8">
        <f>13.46*0.001</f>
        <v>1.3460000000000001E-2</v>
      </c>
      <c r="Q58" s="8">
        <v>0.35907113000000002</v>
      </c>
      <c r="R58" s="4">
        <v>12</v>
      </c>
      <c r="S58" t="s">
        <v>41</v>
      </c>
      <c r="T58">
        <v>15.8708159</v>
      </c>
      <c r="U58">
        <v>1.716608307</v>
      </c>
      <c r="V58">
        <v>13.12459926</v>
      </c>
      <c r="W58">
        <v>19.86570579</v>
      </c>
      <c r="X58">
        <v>2.1472339999999999E-2</v>
      </c>
      <c r="Y58">
        <v>2.0256888000000001E-2</v>
      </c>
      <c r="Z58">
        <v>-3.0815830000000002E-3</v>
      </c>
      <c r="AA58">
        <v>7.3881750999999996E-2</v>
      </c>
      <c r="AB58" t="s">
        <v>133</v>
      </c>
    </row>
    <row r="59" spans="1:28" x14ac:dyDescent="0.2">
      <c r="A59">
        <v>50</v>
      </c>
      <c r="B59" t="s">
        <v>66</v>
      </c>
      <c r="C59" t="s">
        <v>132</v>
      </c>
      <c r="D59" t="s">
        <v>140</v>
      </c>
      <c r="E59" t="s">
        <v>14</v>
      </c>
      <c r="F59" t="s">
        <v>134</v>
      </c>
      <c r="G59" t="s">
        <v>136</v>
      </c>
      <c r="H59">
        <v>70</v>
      </c>
      <c r="I59" t="s">
        <v>17</v>
      </c>
      <c r="J59" t="s">
        <v>16</v>
      </c>
      <c r="K59">
        <f t="shared" si="2"/>
        <v>0.17252000947196472</v>
      </c>
      <c r="L59" s="8">
        <f>1.165714286*3</f>
        <v>3.4971428580000001</v>
      </c>
      <c r="M59" s="8">
        <f>L59*P59</f>
        <v>6.2074285729500009E-2</v>
      </c>
      <c r="N59" s="8"/>
      <c r="O59" s="8"/>
      <c r="P59" s="8">
        <f>17.75*0.001</f>
        <v>1.7750000000000002E-2</v>
      </c>
      <c r="Q59" s="8">
        <v>0.35980919500000003</v>
      </c>
      <c r="R59" s="4">
        <v>10</v>
      </c>
      <c r="S59" t="s">
        <v>41</v>
      </c>
      <c r="T59">
        <v>13.669934830000001</v>
      </c>
      <c r="U59">
        <v>1.6955163019999999</v>
      </c>
      <c r="V59">
        <v>10.77154241</v>
      </c>
      <c r="W59">
        <v>17.412502400000001</v>
      </c>
      <c r="X59">
        <v>1.704427E-2</v>
      </c>
      <c r="Y59">
        <v>1.8874437000000001E-2</v>
      </c>
      <c r="Z59">
        <v>-7.2563209999999996E-3</v>
      </c>
      <c r="AA59">
        <v>6.4971456999999996E-2</v>
      </c>
      <c r="AB59" t="s">
        <v>133</v>
      </c>
    </row>
    <row r="60" spans="1:28" x14ac:dyDescent="0.2">
      <c r="A60">
        <v>51</v>
      </c>
      <c r="B60" t="s">
        <v>49</v>
      </c>
      <c r="C60" t="s">
        <v>132</v>
      </c>
      <c r="D60" t="s">
        <v>140</v>
      </c>
      <c r="E60" t="s">
        <v>14</v>
      </c>
      <c r="F60" t="s">
        <v>134</v>
      </c>
      <c r="G60" t="s">
        <v>136</v>
      </c>
      <c r="H60">
        <v>16.7</v>
      </c>
      <c r="I60" t="s">
        <v>15</v>
      </c>
      <c r="J60" t="s">
        <v>18</v>
      </c>
      <c r="K60">
        <f>(L60*P60)/Q60</f>
        <v>0.20848070739549843</v>
      </c>
      <c r="L60" s="8">
        <f>1.3*3.5</f>
        <v>4.55</v>
      </c>
      <c r="M60" s="8">
        <f>L60*P60</f>
        <v>0.12967500000000001</v>
      </c>
      <c r="N60" s="8">
        <f>((14+15)/2)*0.001</f>
        <v>1.4500000000000001E-2</v>
      </c>
      <c r="O60" s="8"/>
      <c r="P60" s="8">
        <f>28.5*0.001</f>
        <v>2.8500000000000001E-2</v>
      </c>
      <c r="Q60" s="8">
        <f>622*0.001</f>
        <v>0.622</v>
      </c>
      <c r="R60" s="4">
        <v>5</v>
      </c>
      <c r="S60" t="s">
        <v>41</v>
      </c>
      <c r="T60">
        <v>5.7196477080000001</v>
      </c>
      <c r="U60">
        <v>1.2795444760000001</v>
      </c>
      <c r="V60">
        <v>3.5509374380000001</v>
      </c>
      <c r="W60">
        <v>8.5505709620000001</v>
      </c>
      <c r="X60">
        <v>-4.3696171999999998E-2</v>
      </c>
      <c r="Y60">
        <v>0.22507534500000001</v>
      </c>
      <c r="Z60">
        <v>-0.67426693199999999</v>
      </c>
      <c r="AA60">
        <v>0</v>
      </c>
      <c r="AB60" t="s">
        <v>133</v>
      </c>
    </row>
    <row r="61" spans="1:28" x14ac:dyDescent="0.2">
      <c r="A61">
        <v>52</v>
      </c>
      <c r="B61" t="s">
        <v>77</v>
      </c>
      <c r="C61" t="s">
        <v>132</v>
      </c>
      <c r="D61" t="s">
        <v>140</v>
      </c>
      <c r="E61" t="s">
        <v>14</v>
      </c>
      <c r="F61" t="s">
        <v>14</v>
      </c>
      <c r="G61" t="s">
        <v>136</v>
      </c>
      <c r="H61">
        <v>54.8</v>
      </c>
      <c r="I61" t="s">
        <v>15</v>
      </c>
      <c r="J61" t="s">
        <v>16</v>
      </c>
      <c r="K61">
        <f t="shared" si="2"/>
        <v>0.14612884352549607</v>
      </c>
      <c r="L61" s="9">
        <v>9.5</v>
      </c>
      <c r="M61" s="8">
        <f>L61*P61</f>
        <v>3.1824999999999999E-2</v>
      </c>
      <c r="N61" s="8"/>
      <c r="O61" s="8">
        <f>((20+22)/2)*0.1</f>
        <v>2.1</v>
      </c>
      <c r="P61" s="8">
        <f>3.35*0.001</f>
        <v>3.3500000000000001E-3</v>
      </c>
      <c r="Q61" s="8">
        <v>0.21778725700000001</v>
      </c>
      <c r="R61" s="4">
        <v>5</v>
      </c>
      <c r="S61" t="s">
        <v>41</v>
      </c>
      <c r="T61">
        <v>7.8104211230000002</v>
      </c>
      <c r="U61">
        <v>0.92229793199999999</v>
      </c>
      <c r="V61">
        <v>6.1833964799999999</v>
      </c>
      <c r="W61">
        <v>9.8004394169999998</v>
      </c>
      <c r="X61">
        <v>1.7090052000000001E-2</v>
      </c>
      <c r="Y61">
        <v>2.1779944999999998E-2</v>
      </c>
      <c r="Z61">
        <v>-1.2644621999999999E-2</v>
      </c>
      <c r="AA61">
        <v>7.2179726999999999E-2</v>
      </c>
      <c r="AB61" t="s">
        <v>133</v>
      </c>
    </row>
    <row r="62" spans="1:28" x14ac:dyDescent="0.2">
      <c r="A62">
        <v>52</v>
      </c>
      <c r="B62" s="11" t="s">
        <v>119</v>
      </c>
      <c r="C62" s="11" t="s">
        <v>131</v>
      </c>
      <c r="D62" s="11" t="s">
        <v>143</v>
      </c>
      <c r="E62" s="11" t="s">
        <v>14</v>
      </c>
      <c r="F62" s="10" t="s">
        <v>14</v>
      </c>
      <c r="G62" s="10" t="s">
        <v>136</v>
      </c>
      <c r="H62" s="11">
        <v>54.8</v>
      </c>
      <c r="I62" s="11" t="s">
        <v>15</v>
      </c>
      <c r="J62" s="11" t="s">
        <v>16</v>
      </c>
      <c r="K62" s="10">
        <f t="shared" si="2"/>
        <v>0.23078317621464831</v>
      </c>
      <c r="L62" s="9">
        <v>9.5</v>
      </c>
      <c r="M62" s="9">
        <v>3.5000000000000003E-2</v>
      </c>
      <c r="N62" s="9"/>
      <c r="O62" s="9">
        <v>2.1</v>
      </c>
      <c r="P62" s="9">
        <v>3.3500000000000001E-3</v>
      </c>
      <c r="Q62" s="9">
        <f>137.9*0.001</f>
        <v>0.13789999999999999</v>
      </c>
      <c r="R62" s="12">
        <v>4.5</v>
      </c>
      <c r="S62" s="11" t="s">
        <v>39</v>
      </c>
      <c r="T62" s="11">
        <v>7.1564743200000001</v>
      </c>
      <c r="U62" s="5"/>
      <c r="V62" s="5"/>
      <c r="W62" s="5"/>
      <c r="X62">
        <v>5.2158435000000003E-2</v>
      </c>
      <c r="Y62" s="5"/>
      <c r="Z62" s="5"/>
      <c r="AA62" s="5"/>
      <c r="AB62" s="5" t="s">
        <v>107</v>
      </c>
    </row>
    <row r="63" spans="1:28" x14ac:dyDescent="0.2">
      <c r="A63">
        <v>53</v>
      </c>
      <c r="B63" t="s">
        <v>63</v>
      </c>
      <c r="C63" t="s">
        <v>132</v>
      </c>
      <c r="D63" t="s">
        <v>140</v>
      </c>
      <c r="E63" t="s">
        <v>14</v>
      </c>
      <c r="F63" t="s">
        <v>134</v>
      </c>
      <c r="G63" t="s">
        <v>136</v>
      </c>
      <c r="H63">
        <v>30</v>
      </c>
      <c r="I63" t="s">
        <v>17</v>
      </c>
      <c r="J63" t="s">
        <v>18</v>
      </c>
      <c r="K63">
        <f t="shared" si="2"/>
        <v>7.8038653755825915E-2</v>
      </c>
      <c r="L63" s="8">
        <v>8.67</v>
      </c>
      <c r="M63" s="8">
        <f>L63*P63</f>
        <v>0.51655859999999998</v>
      </c>
      <c r="N63" s="8"/>
      <c r="O63" s="8">
        <f>25*0.1</f>
        <v>2.5</v>
      </c>
      <c r="P63" s="8">
        <f>59.58*0.001</f>
        <v>5.9580000000000001E-2</v>
      </c>
      <c r="Q63" s="8">
        <v>6.6192659039999997</v>
      </c>
      <c r="R63" s="4">
        <v>5</v>
      </c>
      <c r="S63" t="s">
        <v>41</v>
      </c>
      <c r="T63">
        <v>20.455078029999999</v>
      </c>
      <c r="U63">
        <v>1.322662547</v>
      </c>
      <c r="V63">
        <v>18.19872603</v>
      </c>
      <c r="W63">
        <v>23.356536080000001</v>
      </c>
      <c r="X63">
        <v>6.8208289999999996E-3</v>
      </c>
      <c r="Y63">
        <v>9.1024539999999994E-3</v>
      </c>
      <c r="Z63">
        <v>-3.73808E-3</v>
      </c>
      <c r="AA63">
        <v>3.1414191000000001E-2</v>
      </c>
      <c r="AB63" t="s">
        <v>133</v>
      </c>
    </row>
    <row r="64" spans="1:28" x14ac:dyDescent="0.2">
      <c r="A64">
        <v>54</v>
      </c>
      <c r="B64" s="11" t="s">
        <v>103</v>
      </c>
      <c r="C64" s="11" t="s">
        <v>131</v>
      </c>
      <c r="D64" s="11" t="s">
        <v>150</v>
      </c>
      <c r="E64" s="11" t="s">
        <v>14</v>
      </c>
      <c r="F64" s="10" t="s">
        <v>134</v>
      </c>
      <c r="G64" s="10" t="s">
        <v>136</v>
      </c>
      <c r="H64" s="11">
        <v>80</v>
      </c>
      <c r="I64" s="11" t="s">
        <v>17</v>
      </c>
      <c r="J64" s="11" t="s">
        <v>16</v>
      </c>
      <c r="K64" s="10">
        <f t="shared" si="2"/>
        <v>0.19062206202046036</v>
      </c>
      <c r="L64" s="9">
        <v>7.2397499999999999</v>
      </c>
      <c r="M64" s="9">
        <v>6.2E-2</v>
      </c>
      <c r="N64" s="9">
        <v>5.9500000000000004E-3</v>
      </c>
      <c r="O64" s="9"/>
      <c r="P64" s="9">
        <v>1.0295E-2</v>
      </c>
      <c r="Q64" s="9">
        <v>0.39100000000000001</v>
      </c>
      <c r="R64" s="12">
        <v>9</v>
      </c>
      <c r="S64" s="11" t="s">
        <v>39</v>
      </c>
      <c r="T64" s="11">
        <v>9.0742993510000005</v>
      </c>
      <c r="U64" s="5"/>
      <c r="V64" s="5"/>
      <c r="W64" s="5"/>
      <c r="X64">
        <v>-1.3409325E-2</v>
      </c>
      <c r="Y64" s="5"/>
      <c r="Z64" s="5"/>
      <c r="AA64" s="5"/>
      <c r="AB64" s="5" t="s">
        <v>107</v>
      </c>
    </row>
    <row r="65" spans="1:28" x14ac:dyDescent="0.2">
      <c r="A65">
        <v>55</v>
      </c>
      <c r="B65" t="s">
        <v>56</v>
      </c>
      <c r="C65" t="s">
        <v>132</v>
      </c>
      <c r="D65" t="s">
        <v>140</v>
      </c>
      <c r="E65" t="s">
        <v>14</v>
      </c>
      <c r="F65" t="s">
        <v>134</v>
      </c>
      <c r="G65" t="s">
        <v>136</v>
      </c>
      <c r="H65">
        <v>127</v>
      </c>
      <c r="I65" t="s">
        <v>17</v>
      </c>
      <c r="J65" t="s">
        <v>16</v>
      </c>
      <c r="K65">
        <f t="shared" si="2"/>
        <v>9.6707790326535648E-2</v>
      </c>
      <c r="L65" s="8">
        <f>5*3.2</f>
        <v>16</v>
      </c>
      <c r="M65" s="8">
        <f>L65*P65</f>
        <v>0.21920000000000001</v>
      </c>
      <c r="N65" s="8">
        <f>8.75*0.001</f>
        <v>8.7500000000000008E-3</v>
      </c>
      <c r="O65" s="8">
        <f>((30+35)/2)*0.1</f>
        <v>3.25</v>
      </c>
      <c r="P65" s="8">
        <f>13.7*0.001</f>
        <v>1.37E-2</v>
      </c>
      <c r="Q65" s="8">
        <v>2.266621947</v>
      </c>
      <c r="R65" s="4">
        <v>10</v>
      </c>
      <c r="S65" t="s">
        <v>41</v>
      </c>
      <c r="T65">
        <v>10.14349414</v>
      </c>
      <c r="U65">
        <v>0.82260133899999999</v>
      </c>
      <c r="V65">
        <v>8.6246586959999991</v>
      </c>
      <c r="W65">
        <v>11.87433981</v>
      </c>
      <c r="X65">
        <v>-2.6149075000000001E-2</v>
      </c>
      <c r="Y65">
        <v>1.0027846E-2</v>
      </c>
      <c r="Z65">
        <v>-4.8033567999999999E-2</v>
      </c>
      <c r="AA65">
        <v>-8.7415740000000002E-3</v>
      </c>
      <c r="AB65" t="s">
        <v>133</v>
      </c>
    </row>
    <row r="66" spans="1:28" x14ac:dyDescent="0.2">
      <c r="A66">
        <v>56</v>
      </c>
      <c r="B66" t="s">
        <v>116</v>
      </c>
      <c r="C66" t="s">
        <v>132</v>
      </c>
      <c r="D66" t="s">
        <v>140</v>
      </c>
      <c r="E66" t="s">
        <v>14</v>
      </c>
      <c r="F66" t="s">
        <v>14</v>
      </c>
      <c r="G66" t="s">
        <v>136</v>
      </c>
      <c r="H66">
        <v>31.7</v>
      </c>
      <c r="I66" t="s">
        <v>17</v>
      </c>
      <c r="J66" t="s">
        <v>16</v>
      </c>
      <c r="K66">
        <f t="shared" si="2"/>
        <v>6.7017994673360601E-2</v>
      </c>
      <c r="L66" s="9">
        <v>7.3643999999999998</v>
      </c>
      <c r="M66" s="8">
        <f>L66*P66</f>
        <v>0.10604736000000001</v>
      </c>
      <c r="N66" s="8">
        <f>7.5*0.001</f>
        <v>7.4999999999999997E-3</v>
      </c>
      <c r="O66" s="8">
        <f>((31+33)/2)*0.1</f>
        <v>3.2</v>
      </c>
      <c r="P66" s="8">
        <f>14.4*0.001</f>
        <v>1.4400000000000001E-2</v>
      </c>
      <c r="Q66" s="8">
        <v>1.5823714289999999</v>
      </c>
      <c r="R66" s="4">
        <v>12</v>
      </c>
      <c r="S66" t="s">
        <v>41</v>
      </c>
      <c r="T66">
        <v>14.85021774</v>
      </c>
      <c r="U66">
        <v>0.81365903799999995</v>
      </c>
      <c r="V66">
        <v>13.360110519999999</v>
      </c>
      <c r="W66">
        <v>16.527937420000001</v>
      </c>
      <c r="X66">
        <v>-3.6049260000000001E-3</v>
      </c>
      <c r="Y66">
        <v>6.2252480000000001E-3</v>
      </c>
      <c r="Z66">
        <v>-1.2956137E-2</v>
      </c>
      <c r="AA66">
        <v>1.3746998999999999E-2</v>
      </c>
      <c r="AB66" t="s">
        <v>133</v>
      </c>
    </row>
    <row r="67" spans="1:28" x14ac:dyDescent="0.2">
      <c r="A67">
        <v>56</v>
      </c>
      <c r="B67" s="11" t="s">
        <v>104</v>
      </c>
      <c r="C67" s="11" t="s">
        <v>131</v>
      </c>
      <c r="D67" s="11" t="s">
        <v>151</v>
      </c>
      <c r="E67" s="11" t="s">
        <v>14</v>
      </c>
      <c r="F67" s="10" t="s">
        <v>14</v>
      </c>
      <c r="G67" s="10" t="s">
        <v>136</v>
      </c>
      <c r="H67" s="11">
        <v>31.7</v>
      </c>
      <c r="I67" s="11" t="s">
        <v>17</v>
      </c>
      <c r="J67" s="11" t="s">
        <v>16</v>
      </c>
      <c r="K67" s="10">
        <f t="shared" si="2"/>
        <v>8.2849499999999993E-2</v>
      </c>
      <c r="L67" s="9">
        <v>7.3643999999999998</v>
      </c>
      <c r="M67" s="9">
        <v>0.106</v>
      </c>
      <c r="N67" s="9">
        <v>7.4999999999999997E-3</v>
      </c>
      <c r="O67" s="9">
        <v>3.2</v>
      </c>
      <c r="P67" s="9">
        <v>1.44E-2</v>
      </c>
      <c r="Q67" s="9">
        <f>1280*0.001</f>
        <v>1.28</v>
      </c>
      <c r="R67" s="12">
        <v>9.5</v>
      </c>
      <c r="S67" s="11" t="s">
        <v>39</v>
      </c>
      <c r="T67" s="11">
        <v>22.502412119999999</v>
      </c>
      <c r="U67" s="5"/>
      <c r="V67" s="5"/>
      <c r="W67" s="5"/>
      <c r="X67">
        <v>-3.7699869999999998E-3</v>
      </c>
      <c r="Y67" s="5"/>
      <c r="Z67" s="5"/>
      <c r="AA67" s="5"/>
      <c r="AB67" s="5" t="s">
        <v>107</v>
      </c>
    </row>
    <row r="68" spans="1:28" x14ac:dyDescent="0.2">
      <c r="A68">
        <v>57</v>
      </c>
      <c r="B68" t="s">
        <v>57</v>
      </c>
      <c r="C68" t="s">
        <v>132</v>
      </c>
      <c r="D68" t="s">
        <v>140</v>
      </c>
      <c r="E68" t="s">
        <v>14</v>
      </c>
      <c r="F68" t="s">
        <v>134</v>
      </c>
      <c r="G68" t="s">
        <v>136</v>
      </c>
      <c r="H68">
        <v>40</v>
      </c>
      <c r="I68" t="s">
        <v>17</v>
      </c>
      <c r="J68" t="s">
        <v>16</v>
      </c>
      <c r="K68">
        <f t="shared" si="2"/>
        <v>0.20239173746697056</v>
      </c>
      <c r="L68" s="8">
        <v>12</v>
      </c>
      <c r="M68" s="8">
        <f>L68*P68</f>
        <v>0.21300000000000002</v>
      </c>
      <c r="N68" s="8"/>
      <c r="O68" s="8">
        <f>((29+50)/2)*0.1</f>
        <v>3.95</v>
      </c>
      <c r="P68" s="8">
        <f>17.75*0.001</f>
        <v>1.7750000000000002E-2</v>
      </c>
      <c r="Q68" s="8">
        <v>1.0524145039999999</v>
      </c>
      <c r="R68" s="4">
        <v>10</v>
      </c>
      <c r="S68" t="s">
        <v>41</v>
      </c>
      <c r="T68">
        <v>21.446198200000001</v>
      </c>
      <c r="U68">
        <v>2.5637687310000001</v>
      </c>
      <c r="V68">
        <v>17.381798580000002</v>
      </c>
      <c r="W68">
        <v>27.431849150000001</v>
      </c>
      <c r="X68">
        <v>-5.048075E-3</v>
      </c>
      <c r="Y68">
        <v>4.5745860000000003E-3</v>
      </c>
      <c r="Z68">
        <v>-1.3785331E-2</v>
      </c>
      <c r="AA68">
        <v>4.5211660000000001E-3</v>
      </c>
      <c r="AB68" t="s">
        <v>133</v>
      </c>
    </row>
    <row r="69" spans="1:28" x14ac:dyDescent="0.2">
      <c r="A69">
        <v>58</v>
      </c>
      <c r="B69" t="s">
        <v>55</v>
      </c>
      <c r="C69" t="s">
        <v>132</v>
      </c>
      <c r="D69" t="s">
        <v>140</v>
      </c>
      <c r="E69" t="s">
        <v>14</v>
      </c>
      <c r="F69" t="s">
        <v>134</v>
      </c>
      <c r="G69" t="s">
        <v>136</v>
      </c>
      <c r="H69">
        <v>21</v>
      </c>
      <c r="I69" t="s">
        <v>17</v>
      </c>
      <c r="J69" t="s">
        <v>16</v>
      </c>
      <c r="K69">
        <f t="shared" si="2"/>
        <v>0.19121419230148826</v>
      </c>
      <c r="L69" s="8">
        <f>4*1.2</f>
        <v>4.8</v>
      </c>
      <c r="M69" s="8">
        <f>L69*P69</f>
        <v>5.3759999999999995E-2</v>
      </c>
      <c r="N69" s="8">
        <f>5.9*0.001</f>
        <v>5.9000000000000007E-3</v>
      </c>
      <c r="O69" s="8">
        <f>((25+32)/2)*0.1</f>
        <v>2.85</v>
      </c>
      <c r="P69" s="8">
        <f>11.2*0.001</f>
        <v>1.12E-2</v>
      </c>
      <c r="Q69" s="8">
        <v>0.28115067900000001</v>
      </c>
      <c r="R69" s="4">
        <v>5</v>
      </c>
      <c r="S69" t="s">
        <v>41</v>
      </c>
      <c r="T69">
        <v>11.7632767</v>
      </c>
      <c r="U69">
        <v>0.64114489399999997</v>
      </c>
      <c r="V69">
        <v>10.529136790000001</v>
      </c>
      <c r="W69">
        <v>13.04865012</v>
      </c>
      <c r="X69">
        <v>0.113961721</v>
      </c>
      <c r="Y69">
        <v>4.9628758000000002E-2</v>
      </c>
      <c r="Z69">
        <v>3.2887916000000003E-2</v>
      </c>
      <c r="AA69">
        <v>0.22679290599999999</v>
      </c>
      <c r="AB69" t="s">
        <v>133</v>
      </c>
    </row>
    <row r="70" spans="1:28" x14ac:dyDescent="0.2">
      <c r="A70">
        <v>59</v>
      </c>
      <c r="B70" t="s">
        <v>54</v>
      </c>
      <c r="C70" t="s">
        <v>132</v>
      </c>
      <c r="D70" t="s">
        <v>140</v>
      </c>
      <c r="E70" t="s">
        <v>14</v>
      </c>
      <c r="F70" t="s">
        <v>134</v>
      </c>
      <c r="G70" t="s">
        <v>136</v>
      </c>
      <c r="H70">
        <v>21.2</v>
      </c>
      <c r="I70" t="s">
        <v>17</v>
      </c>
      <c r="J70" t="s">
        <v>16</v>
      </c>
      <c r="K70">
        <f t="shared" si="2"/>
        <v>0.12947851965379686</v>
      </c>
      <c r="L70" s="8">
        <f>6.5*2.4</f>
        <v>15.6</v>
      </c>
      <c r="M70" s="8">
        <f>L70*P70</f>
        <v>0.27611999999999998</v>
      </c>
      <c r="N70" s="8"/>
      <c r="O70" s="8">
        <f>35*0.1</f>
        <v>3.5</v>
      </c>
      <c r="P70" s="8">
        <f>17.7*0.001</f>
        <v>1.77E-2</v>
      </c>
      <c r="Q70" s="8">
        <v>2.1325545020000001</v>
      </c>
      <c r="R70" s="4">
        <v>11</v>
      </c>
      <c r="S70" t="s">
        <v>41</v>
      </c>
      <c r="T70">
        <v>13.148156869999999</v>
      </c>
      <c r="U70">
        <v>2.1446196240000002</v>
      </c>
      <c r="V70">
        <v>9.6566818699999999</v>
      </c>
      <c r="W70">
        <v>17.91590506</v>
      </c>
      <c r="X70">
        <v>-3.4315799999999998E-4</v>
      </c>
      <c r="Y70">
        <v>2.7955160000000001E-3</v>
      </c>
      <c r="Z70">
        <v>-4.7686220000000001E-3</v>
      </c>
      <c r="AA70">
        <v>6.2839000000000005E-4</v>
      </c>
      <c r="AB70" t="s">
        <v>133</v>
      </c>
    </row>
    <row r="71" spans="1:28" x14ac:dyDescent="0.2">
      <c r="A71">
        <v>60</v>
      </c>
      <c r="B71" t="s">
        <v>74</v>
      </c>
      <c r="C71" t="s">
        <v>132</v>
      </c>
      <c r="D71" t="s">
        <v>140</v>
      </c>
      <c r="E71" t="s">
        <v>14</v>
      </c>
      <c r="F71" t="s">
        <v>134</v>
      </c>
      <c r="G71" t="s">
        <v>136</v>
      </c>
      <c r="H71">
        <v>75</v>
      </c>
      <c r="I71" t="s">
        <v>17</v>
      </c>
      <c r="J71" t="s">
        <v>16</v>
      </c>
      <c r="K71">
        <f t="shared" si="2"/>
        <v>8.2209736219714002E-2</v>
      </c>
      <c r="L71" s="8">
        <f>9.7*2</f>
        <v>19.399999999999999</v>
      </c>
      <c r="M71" s="8">
        <f>L71*P71</f>
        <v>0.22193599999999999</v>
      </c>
      <c r="N71" s="8"/>
      <c r="O71" s="8"/>
      <c r="P71" s="8">
        <f>11.44*0.001</f>
        <v>1.1440000000000001E-2</v>
      </c>
      <c r="Q71" s="8">
        <v>2.6996315790000001</v>
      </c>
      <c r="R71" s="4">
        <v>5</v>
      </c>
      <c r="S71" t="s">
        <v>41</v>
      </c>
      <c r="T71">
        <v>19.5184411</v>
      </c>
      <c r="U71">
        <v>2.5306698509999999</v>
      </c>
      <c r="V71">
        <v>15.783673159999999</v>
      </c>
      <c r="W71">
        <v>25.457967830000001</v>
      </c>
      <c r="X71">
        <v>4.4591110000000003E-2</v>
      </c>
      <c r="Y71">
        <v>3.0469693999999999E-2</v>
      </c>
      <c r="Z71">
        <v>2.3483179999999998E-3</v>
      </c>
      <c r="AA71">
        <v>0.114565927</v>
      </c>
      <c r="AB71" t="s">
        <v>133</v>
      </c>
    </row>
    <row r="72" spans="1:28" x14ac:dyDescent="0.2">
      <c r="A72">
        <v>61</v>
      </c>
      <c r="B72" t="s">
        <v>112</v>
      </c>
      <c r="C72" t="s">
        <v>132</v>
      </c>
      <c r="D72" t="s">
        <v>140</v>
      </c>
      <c r="E72" t="s">
        <v>14</v>
      </c>
      <c r="F72" t="s">
        <v>14</v>
      </c>
      <c r="G72" t="s">
        <v>136</v>
      </c>
      <c r="H72">
        <v>41.3</v>
      </c>
      <c r="I72" t="s">
        <v>15</v>
      </c>
      <c r="J72" t="s">
        <v>18</v>
      </c>
      <c r="K72">
        <f t="shared" si="2"/>
        <v>9.4209751498750563E-2</v>
      </c>
      <c r="L72" s="10">
        <f>10.5*2.5</f>
        <v>26.25</v>
      </c>
      <c r="M72" s="8">
        <f>L72*P72</f>
        <v>0.291375</v>
      </c>
      <c r="N72" s="8"/>
      <c r="O72" s="8">
        <f>((23+35)/2)*0.1</f>
        <v>2.9000000000000004</v>
      </c>
      <c r="P72" s="8">
        <f>11.1*0.001</f>
        <v>1.11E-2</v>
      </c>
      <c r="Q72" s="8">
        <v>3.0928326990000001</v>
      </c>
      <c r="R72" s="4">
        <v>5</v>
      </c>
      <c r="S72" t="s">
        <v>41</v>
      </c>
      <c r="T72">
        <v>20.42561873</v>
      </c>
      <c r="U72">
        <v>0.51663722599999995</v>
      </c>
      <c r="V72">
        <v>19.431402259999999</v>
      </c>
      <c r="W72">
        <v>21.45035828</v>
      </c>
      <c r="X72">
        <v>0.104838257</v>
      </c>
      <c r="Y72">
        <v>2.3636539000000002E-2</v>
      </c>
      <c r="Z72">
        <v>5.8681624000000002E-2</v>
      </c>
      <c r="AA72">
        <v>0.15193299199999999</v>
      </c>
      <c r="AB72" t="s">
        <v>133</v>
      </c>
    </row>
    <row r="73" spans="1:28" x14ac:dyDescent="0.2">
      <c r="A73">
        <v>61</v>
      </c>
      <c r="B73" s="11" t="s">
        <v>105</v>
      </c>
      <c r="C73" s="11" t="s">
        <v>131</v>
      </c>
      <c r="D73" s="11" t="s">
        <v>148</v>
      </c>
      <c r="E73" s="11" t="s">
        <v>14</v>
      </c>
      <c r="F73" s="10" t="s">
        <v>14</v>
      </c>
      <c r="G73" s="10" t="s">
        <v>136</v>
      </c>
      <c r="H73" s="11">
        <v>41.3</v>
      </c>
      <c r="I73" s="11" t="s">
        <v>15</v>
      </c>
      <c r="J73" s="11" t="s">
        <v>18</v>
      </c>
      <c r="K73" s="10">
        <f t="shared" si="2"/>
        <v>0.1537598944591029</v>
      </c>
      <c r="L73" s="10">
        <f>10.5*2.5</f>
        <v>26.25</v>
      </c>
      <c r="M73" s="9">
        <v>0.186</v>
      </c>
      <c r="N73" s="9"/>
      <c r="O73" s="9">
        <v>2.9</v>
      </c>
      <c r="P73" s="9">
        <v>1.11E-2</v>
      </c>
      <c r="Q73" s="9">
        <f>1895*0.001</f>
        <v>1.895</v>
      </c>
      <c r="R73" s="12">
        <v>6</v>
      </c>
      <c r="S73" s="11" t="s">
        <v>39</v>
      </c>
      <c r="T73" s="11">
        <v>5.2586882020000001</v>
      </c>
      <c r="U73" s="5"/>
      <c r="V73" s="5"/>
      <c r="W73" s="5"/>
      <c r="X73">
        <v>0.22532949299999999</v>
      </c>
      <c r="Y73" s="5"/>
      <c r="Z73" s="5"/>
      <c r="AA73" s="5"/>
      <c r="AB73" s="5" t="s">
        <v>107</v>
      </c>
    </row>
    <row r="74" spans="1:28" x14ac:dyDescent="0.2">
      <c r="A74">
        <v>61</v>
      </c>
      <c r="B74" s="11" t="s">
        <v>106</v>
      </c>
      <c r="C74" s="11" t="s">
        <v>131</v>
      </c>
      <c r="D74" s="11" t="s">
        <v>143</v>
      </c>
      <c r="E74" s="11" t="s">
        <v>14</v>
      </c>
      <c r="F74" s="10" t="s">
        <v>14</v>
      </c>
      <c r="G74" s="10" t="s">
        <v>136</v>
      </c>
      <c r="H74" s="11">
        <v>41.3</v>
      </c>
      <c r="I74" s="11" t="s">
        <v>15</v>
      </c>
      <c r="J74" s="11" t="s">
        <v>18</v>
      </c>
      <c r="K74" s="10">
        <f t="shared" si="2"/>
        <v>0.1537598944591029</v>
      </c>
      <c r="L74" s="10">
        <f>10.5*2.5</f>
        <v>26.25</v>
      </c>
      <c r="M74" s="9">
        <v>0.186</v>
      </c>
      <c r="N74" s="9"/>
      <c r="O74" s="9">
        <v>2.9</v>
      </c>
      <c r="P74" s="9">
        <v>1.11E-2</v>
      </c>
      <c r="Q74" s="9">
        <f>1895*0.001</f>
        <v>1.895</v>
      </c>
      <c r="R74" s="12">
        <v>6</v>
      </c>
      <c r="S74" s="11" t="s">
        <v>39</v>
      </c>
      <c r="T74" s="11">
        <v>7.6449795920000003</v>
      </c>
      <c r="U74" s="5"/>
      <c r="V74" s="5"/>
      <c r="W74" s="5"/>
      <c r="X74">
        <v>5.320717E-3</v>
      </c>
      <c r="Y74" s="5"/>
      <c r="Z74" s="5"/>
      <c r="AA74" s="5"/>
      <c r="AB74" s="5" t="s">
        <v>107</v>
      </c>
    </row>
    <row r="76" spans="1:28" x14ac:dyDescent="0.2">
      <c r="E76" s="13"/>
      <c r="F76" s="14"/>
      <c r="G76" s="14"/>
      <c r="Q76" s="8"/>
    </row>
  </sheetData>
  <autoFilter ref="B1:AB74" xr:uid="{00000000-0001-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CDD5-AE75-5D43-BFF7-87D88DC0EFF9}">
  <dimension ref="A1:O168"/>
  <sheetViews>
    <sheetView zoomScale="116" zoomScaleNormal="116" workbookViewId="0">
      <selection activeCell="E5" sqref="E5"/>
    </sheetView>
  </sheetViews>
  <sheetFormatPr baseColWidth="10" defaultRowHeight="16" x14ac:dyDescent="0.2"/>
  <cols>
    <col min="1" max="1" width="23.83203125" bestFit="1" customWidth="1"/>
    <col min="2" max="2" width="27.5" bestFit="1" customWidth="1"/>
    <col min="3" max="3" width="27.5" customWidth="1"/>
    <col min="4" max="4" width="12" bestFit="1" customWidth="1"/>
    <col min="5" max="7" width="12" style="20" customWidth="1"/>
    <col min="8" max="8" width="9.5" style="20" bestFit="1" customWidth="1"/>
    <col min="9" max="9" width="9.6640625" style="20" bestFit="1" customWidth="1"/>
    <col min="10" max="10" width="9.6640625" style="20" customWidth="1"/>
    <col min="11" max="11" width="9" style="20" bestFit="1" customWidth="1"/>
    <col min="12" max="12" width="8.83203125" style="20" bestFit="1" customWidth="1"/>
    <col min="13" max="14" width="8.1640625" style="20" bestFit="1" customWidth="1"/>
    <col min="15" max="15" width="10.83203125" style="20"/>
  </cols>
  <sheetData>
    <row r="1" spans="1:15" x14ac:dyDescent="0.2">
      <c r="A1" s="17" t="s">
        <v>37</v>
      </c>
      <c r="B1" s="17" t="s">
        <v>416</v>
      </c>
      <c r="C1" s="17" t="s">
        <v>220</v>
      </c>
      <c r="D1" s="17" t="s">
        <v>213</v>
      </c>
      <c r="E1" s="17" t="s">
        <v>216</v>
      </c>
      <c r="F1" s="17" t="s">
        <v>217</v>
      </c>
      <c r="G1" s="17" t="s">
        <v>218</v>
      </c>
      <c r="H1" s="17" t="s">
        <v>221</v>
      </c>
      <c r="I1" s="17" t="s">
        <v>186</v>
      </c>
      <c r="J1" s="17" t="s">
        <v>730</v>
      </c>
      <c r="K1" s="17" t="s">
        <v>187</v>
      </c>
      <c r="L1" s="17" t="s">
        <v>214</v>
      </c>
      <c r="M1" s="17" t="s">
        <v>184</v>
      </c>
      <c r="N1" s="17" t="s">
        <v>185</v>
      </c>
      <c r="O1" s="17" t="s">
        <v>417</v>
      </c>
    </row>
    <row r="2" spans="1:15" x14ac:dyDescent="0.2">
      <c r="A2" s="10" t="s">
        <v>212</v>
      </c>
      <c r="B2" s="10" t="s">
        <v>67</v>
      </c>
      <c r="C2" s="10" t="str">
        <f>LEFT(B2, LEN(B2) - IF(ISNUMBER(RIGHT(B2, 1) * 1), 1, 0))</f>
        <v>Aldabrachelys_gigantea</v>
      </c>
      <c r="D2" s="10" t="b">
        <v>1</v>
      </c>
      <c r="F2" s="20">
        <v>152</v>
      </c>
      <c r="G2" s="20">
        <v>176</v>
      </c>
      <c r="I2" s="20">
        <v>117200</v>
      </c>
      <c r="J2">
        <v>33000</v>
      </c>
      <c r="K2" s="21"/>
      <c r="L2" s="20">
        <v>80.8</v>
      </c>
      <c r="M2" s="20">
        <v>13.5</v>
      </c>
      <c r="N2" s="20">
        <v>2</v>
      </c>
    </row>
    <row r="3" spans="1:15" x14ac:dyDescent="0.2">
      <c r="A3" s="10" t="s">
        <v>212</v>
      </c>
      <c r="B3" s="10" t="s">
        <v>80</v>
      </c>
      <c r="C3" s="10" t="str">
        <f t="shared" ref="C3:C66" si="0">LEFT(B3, LEN(B3) - IF(ISNUMBER(RIGHT(B3, 1) * 1), 1, 0))</f>
        <v>Apalone_ferox</v>
      </c>
      <c r="D3" s="10" t="b">
        <v>1</v>
      </c>
      <c r="F3" s="20">
        <v>26.2</v>
      </c>
      <c r="G3" s="20">
        <v>36.75</v>
      </c>
      <c r="I3" s="20">
        <v>23463</v>
      </c>
      <c r="J3">
        <v>20000</v>
      </c>
      <c r="K3" s="21"/>
      <c r="L3" s="20">
        <v>13.04</v>
      </c>
      <c r="M3" s="20">
        <v>22</v>
      </c>
      <c r="N3" s="20">
        <v>6</v>
      </c>
    </row>
    <row r="4" spans="1:15" x14ac:dyDescent="0.2">
      <c r="A4" s="10" t="s">
        <v>212</v>
      </c>
      <c r="B4" s="10" t="s">
        <v>79</v>
      </c>
      <c r="C4" s="10" t="str">
        <f t="shared" si="0"/>
        <v>Apalone_spinifera</v>
      </c>
      <c r="D4" s="10" t="b">
        <v>1</v>
      </c>
      <c r="F4" s="20">
        <v>25.2</v>
      </c>
      <c r="G4" s="20">
        <v>50</v>
      </c>
      <c r="I4" s="20">
        <v>4765</v>
      </c>
      <c r="J4">
        <v>4765</v>
      </c>
      <c r="K4" s="21"/>
      <c r="L4" s="20">
        <v>9.4649999999999999</v>
      </c>
      <c r="M4" s="20">
        <v>18</v>
      </c>
      <c r="N4" s="20">
        <v>1.5</v>
      </c>
    </row>
    <row r="5" spans="1:15" x14ac:dyDescent="0.2">
      <c r="A5" s="10" t="s">
        <v>212</v>
      </c>
      <c r="B5" s="10" t="s">
        <v>48</v>
      </c>
      <c r="C5" s="10" t="str">
        <f t="shared" si="0"/>
        <v>Batagur_borneoensis</v>
      </c>
      <c r="D5" s="10" t="b">
        <v>1</v>
      </c>
      <c r="F5" s="20">
        <v>60</v>
      </c>
      <c r="G5" s="20">
        <v>80</v>
      </c>
      <c r="I5" s="20">
        <v>20950</v>
      </c>
      <c r="J5">
        <v>16900</v>
      </c>
      <c r="K5" s="21"/>
      <c r="L5" s="20">
        <v>70.400000000000006</v>
      </c>
      <c r="M5" s="20">
        <v>12</v>
      </c>
      <c r="N5" s="20">
        <v>2</v>
      </c>
    </row>
    <row r="6" spans="1:15" x14ac:dyDescent="0.2">
      <c r="A6" s="10" t="s">
        <v>212</v>
      </c>
      <c r="B6" s="10" t="s">
        <v>86</v>
      </c>
      <c r="C6" s="10" t="str">
        <f t="shared" si="0"/>
        <v>Chelodina_longicollis</v>
      </c>
      <c r="D6" s="10" t="b">
        <v>1</v>
      </c>
      <c r="F6" s="20">
        <v>37</v>
      </c>
      <c r="G6" s="20">
        <v>37</v>
      </c>
      <c r="I6" s="20">
        <v>1293</v>
      </c>
      <c r="J6">
        <v>1293</v>
      </c>
      <c r="K6" s="21"/>
      <c r="L6" s="20">
        <v>7.3</v>
      </c>
      <c r="M6" s="20">
        <v>13.9</v>
      </c>
      <c r="N6" s="20">
        <v>2</v>
      </c>
    </row>
    <row r="7" spans="1:15" x14ac:dyDescent="0.2">
      <c r="A7" s="10" t="s">
        <v>212</v>
      </c>
      <c r="B7" s="10" t="s">
        <v>85</v>
      </c>
      <c r="C7" s="10" t="str">
        <f t="shared" si="0"/>
        <v>Chelodina_mccordi</v>
      </c>
      <c r="D7" s="10" t="b">
        <v>1</v>
      </c>
      <c r="J7"/>
      <c r="K7" s="21"/>
      <c r="M7" s="20">
        <v>6.5</v>
      </c>
    </row>
    <row r="8" spans="1:15" x14ac:dyDescent="0.2">
      <c r="A8" s="10" t="s">
        <v>212</v>
      </c>
      <c r="B8" s="10" t="s">
        <v>62</v>
      </c>
      <c r="C8" s="10" t="str">
        <f t="shared" si="0"/>
        <v>Chelonoidis_chilensis</v>
      </c>
      <c r="D8" s="10" t="b">
        <v>1</v>
      </c>
      <c r="F8" s="20">
        <v>19.8</v>
      </c>
      <c r="G8" s="20">
        <v>19.8</v>
      </c>
      <c r="I8" s="20">
        <v>3181</v>
      </c>
      <c r="J8">
        <v>3181</v>
      </c>
      <c r="K8" s="21"/>
      <c r="L8" s="20">
        <v>34.299999999999997</v>
      </c>
      <c r="M8" s="20">
        <v>3</v>
      </c>
      <c r="N8" s="20">
        <v>2</v>
      </c>
    </row>
    <row r="9" spans="1:15" x14ac:dyDescent="0.2">
      <c r="A9" s="10" t="s">
        <v>212</v>
      </c>
      <c r="B9" s="10" t="s">
        <v>61</v>
      </c>
      <c r="C9" s="10" t="str">
        <f t="shared" si="0"/>
        <v>Chelonoidis_niger</v>
      </c>
      <c r="D9" s="10" t="b">
        <v>1</v>
      </c>
      <c r="F9" s="20">
        <v>70</v>
      </c>
      <c r="G9" s="20">
        <v>177</v>
      </c>
      <c r="I9" s="20">
        <v>175000</v>
      </c>
      <c r="J9"/>
      <c r="K9" s="21"/>
      <c r="L9" s="20">
        <v>119.75</v>
      </c>
      <c r="M9" s="20">
        <v>10</v>
      </c>
      <c r="N9" s="20">
        <v>3.3333821480000001</v>
      </c>
    </row>
    <row r="10" spans="1:15" x14ac:dyDescent="0.2">
      <c r="A10" s="10" t="s">
        <v>212</v>
      </c>
      <c r="B10" s="10" t="s">
        <v>87</v>
      </c>
      <c r="C10" s="10" t="str">
        <f t="shared" si="0"/>
        <v>Chelus_fimbriatus</v>
      </c>
      <c r="D10" s="10" t="b">
        <v>1</v>
      </c>
      <c r="F10" s="20">
        <v>26</v>
      </c>
      <c r="G10" s="20">
        <v>35.799999999999997</v>
      </c>
      <c r="I10" s="20">
        <v>4407</v>
      </c>
      <c r="J10">
        <v>5000</v>
      </c>
      <c r="K10" s="21"/>
      <c r="L10" s="20">
        <v>28.811</v>
      </c>
      <c r="M10" s="20">
        <v>12</v>
      </c>
    </row>
    <row r="11" spans="1:15" x14ac:dyDescent="0.2">
      <c r="A11" s="10" t="s">
        <v>212</v>
      </c>
      <c r="B11" s="10" t="s">
        <v>115</v>
      </c>
      <c r="C11" s="10" t="str">
        <f t="shared" si="0"/>
        <v>Chelydra_serpentina</v>
      </c>
      <c r="D11" s="10" t="b">
        <v>1</v>
      </c>
      <c r="F11" s="20">
        <v>39.933333330000004</v>
      </c>
      <c r="G11" s="20">
        <v>47</v>
      </c>
      <c r="I11" s="20">
        <v>5170</v>
      </c>
      <c r="J11">
        <v>3875</v>
      </c>
      <c r="K11" s="21"/>
      <c r="L11" s="20">
        <v>12.175000000000001</v>
      </c>
      <c r="M11" s="20">
        <v>26.45</v>
      </c>
      <c r="N11" s="20">
        <v>1</v>
      </c>
    </row>
    <row r="12" spans="1:15" x14ac:dyDescent="0.2">
      <c r="A12" s="10" t="s">
        <v>212</v>
      </c>
      <c r="B12" s="10" t="s">
        <v>64</v>
      </c>
      <c r="C12" s="10" t="str">
        <f t="shared" si="0"/>
        <v>Chersina_angulata</v>
      </c>
      <c r="D12" s="10" t="b">
        <v>1</v>
      </c>
      <c r="F12" s="20">
        <v>11.8</v>
      </c>
      <c r="G12" s="20">
        <v>11.8</v>
      </c>
      <c r="I12" s="20">
        <v>715</v>
      </c>
      <c r="J12">
        <v>715</v>
      </c>
      <c r="K12" s="21"/>
      <c r="L12" s="20">
        <v>27.75</v>
      </c>
      <c r="M12" s="20">
        <v>1</v>
      </c>
      <c r="N12" s="20">
        <v>3.0838383839999999</v>
      </c>
    </row>
    <row r="13" spans="1:15" x14ac:dyDescent="0.2">
      <c r="A13" s="10" t="s">
        <v>212</v>
      </c>
      <c r="B13" s="10" t="s">
        <v>114</v>
      </c>
      <c r="C13" s="10" t="str">
        <f t="shared" si="0"/>
        <v>Chrysemys_picta</v>
      </c>
      <c r="D13" s="10" t="b">
        <v>1</v>
      </c>
      <c r="F13" s="20">
        <v>23.3</v>
      </c>
      <c r="G13" s="20">
        <v>61</v>
      </c>
      <c r="I13" s="20">
        <v>371.8</v>
      </c>
      <c r="J13">
        <v>378</v>
      </c>
      <c r="K13" s="21"/>
      <c r="L13" s="20">
        <v>5.2949999999999999</v>
      </c>
      <c r="M13" s="20">
        <v>6</v>
      </c>
      <c r="N13" s="20">
        <v>2</v>
      </c>
    </row>
    <row r="14" spans="1:15" x14ac:dyDescent="0.2">
      <c r="A14" s="10" t="s">
        <v>212</v>
      </c>
      <c r="B14" s="10" t="s">
        <v>73</v>
      </c>
      <c r="C14" s="10" t="str">
        <f t="shared" si="0"/>
        <v>Clemmys_guttata</v>
      </c>
      <c r="D14" s="10" t="b">
        <v>1</v>
      </c>
      <c r="F14" s="20">
        <v>26</v>
      </c>
      <c r="G14" s="20">
        <v>30</v>
      </c>
      <c r="I14" s="20">
        <v>165.4</v>
      </c>
      <c r="J14">
        <v>165.4</v>
      </c>
      <c r="K14" s="21"/>
      <c r="L14" s="20">
        <v>6.6</v>
      </c>
      <c r="M14" s="20">
        <v>4.29</v>
      </c>
      <c r="N14" s="20">
        <v>1.2</v>
      </c>
    </row>
    <row r="15" spans="1:15" x14ac:dyDescent="0.2">
      <c r="A15" s="10" t="s">
        <v>212</v>
      </c>
      <c r="B15" s="10" t="s">
        <v>45</v>
      </c>
      <c r="C15" s="10" t="str">
        <f>LEFT(B15, LEN(B15) - IF(ISNUMBER(RIGHT(B15, 1) * 1), 1, 0))</f>
        <v>Cuora_amboinensis</v>
      </c>
      <c r="D15" s="10" t="b">
        <v>1</v>
      </c>
      <c r="F15" s="20">
        <v>38.200000000000003</v>
      </c>
      <c r="G15" s="20">
        <v>38.200000000000003</v>
      </c>
      <c r="I15" s="20">
        <v>1000</v>
      </c>
      <c r="J15">
        <v>1000</v>
      </c>
      <c r="K15" s="21"/>
      <c r="L15" s="20">
        <v>19.5</v>
      </c>
      <c r="M15" s="20">
        <v>1</v>
      </c>
    </row>
    <row r="16" spans="1:15" x14ac:dyDescent="0.2">
      <c r="A16" s="10" t="s">
        <v>212</v>
      </c>
      <c r="B16" s="10" t="s">
        <v>43</v>
      </c>
      <c r="C16" s="10" t="str">
        <f t="shared" si="0"/>
        <v>Cuora_galbinifrons</v>
      </c>
      <c r="D16" s="10" t="b">
        <v>1</v>
      </c>
      <c r="J16"/>
      <c r="K16" s="21"/>
      <c r="M16" s="20">
        <v>2</v>
      </c>
    </row>
    <row r="17" spans="1:15" x14ac:dyDescent="0.2">
      <c r="A17" s="10" t="s">
        <v>212</v>
      </c>
      <c r="B17" s="10" t="s">
        <v>44</v>
      </c>
      <c r="C17" s="10" t="str">
        <f t="shared" si="0"/>
        <v>Cuora_trifasciata</v>
      </c>
      <c r="D17" s="10" t="b">
        <v>1</v>
      </c>
      <c r="F17" s="20">
        <v>10.8</v>
      </c>
      <c r="G17" s="20">
        <v>31.8</v>
      </c>
      <c r="J17"/>
      <c r="K17" s="21"/>
      <c r="M17" s="20">
        <v>2</v>
      </c>
    </row>
    <row r="18" spans="1:15" x14ac:dyDescent="0.2">
      <c r="A18" s="10" t="s">
        <v>212</v>
      </c>
      <c r="B18" s="10" t="s">
        <v>89</v>
      </c>
      <c r="C18" s="10" t="str">
        <f t="shared" si="0"/>
        <v>Emydoidea_blandingii</v>
      </c>
      <c r="D18" s="10" t="b">
        <v>1</v>
      </c>
      <c r="F18" s="20">
        <v>44.837499999999999</v>
      </c>
      <c r="G18" s="20">
        <v>77</v>
      </c>
      <c r="I18" s="20">
        <v>1162</v>
      </c>
      <c r="J18">
        <v>1162</v>
      </c>
      <c r="K18" s="21"/>
      <c r="L18" s="20">
        <v>12.2</v>
      </c>
      <c r="M18" s="20">
        <v>9.6</v>
      </c>
      <c r="N18" s="20">
        <v>1.5</v>
      </c>
    </row>
    <row r="19" spans="1:15" x14ac:dyDescent="0.2">
      <c r="A19" s="10" t="s">
        <v>212</v>
      </c>
      <c r="B19" s="10" t="s">
        <v>91</v>
      </c>
      <c r="C19" s="10" t="str">
        <f t="shared" si="0"/>
        <v>Emys_orbicularis</v>
      </c>
      <c r="D19" s="10" t="b">
        <v>1</v>
      </c>
      <c r="F19" s="20">
        <v>27.9</v>
      </c>
      <c r="G19" s="20">
        <v>120</v>
      </c>
      <c r="J19"/>
      <c r="K19" s="21"/>
      <c r="M19" s="20">
        <v>9</v>
      </c>
    </row>
    <row r="20" spans="1:15" x14ac:dyDescent="0.2">
      <c r="A20" s="10" t="s">
        <v>212</v>
      </c>
      <c r="B20" s="10" t="s">
        <v>60</v>
      </c>
      <c r="C20" s="10" t="str">
        <f t="shared" si="0"/>
        <v>Geochelone_elegans</v>
      </c>
      <c r="D20" s="10" t="b">
        <v>1</v>
      </c>
      <c r="F20" s="20">
        <v>24.3</v>
      </c>
      <c r="G20" s="20">
        <v>24.3</v>
      </c>
      <c r="I20" s="20">
        <v>4225</v>
      </c>
      <c r="J20">
        <v>2500</v>
      </c>
      <c r="K20" s="21"/>
      <c r="L20" s="20">
        <v>28</v>
      </c>
      <c r="M20" s="20">
        <v>5.2903571429999996</v>
      </c>
      <c r="N20" s="20">
        <v>2.2096853680000001</v>
      </c>
    </row>
    <row r="21" spans="1:15" x14ac:dyDescent="0.2">
      <c r="A21" s="10" t="s">
        <v>212</v>
      </c>
      <c r="B21" s="10" t="s">
        <v>47</v>
      </c>
      <c r="C21" s="10" t="str">
        <f t="shared" si="0"/>
        <v>Geoclemys_hamiltonii</v>
      </c>
      <c r="D21" s="10" t="b">
        <v>1</v>
      </c>
      <c r="F21" s="20">
        <v>16.75</v>
      </c>
      <c r="G21" s="20">
        <v>19.2</v>
      </c>
      <c r="J21"/>
      <c r="K21" s="21"/>
      <c r="M21" s="20">
        <v>15.5</v>
      </c>
    </row>
    <row r="22" spans="1:15" x14ac:dyDescent="0.2">
      <c r="A22" s="10" t="s">
        <v>212</v>
      </c>
      <c r="B22" s="10" t="s">
        <v>50</v>
      </c>
      <c r="C22" s="10" t="str">
        <f t="shared" si="0"/>
        <v>Geoemyda_spengleri</v>
      </c>
      <c r="D22" s="10" t="b">
        <v>1</v>
      </c>
      <c r="I22" s="20">
        <v>196</v>
      </c>
      <c r="J22">
        <v>196</v>
      </c>
      <c r="K22" s="21"/>
      <c r="L22" s="20">
        <v>6.15</v>
      </c>
      <c r="M22" s="20">
        <v>1</v>
      </c>
    </row>
    <row r="23" spans="1:15" x14ac:dyDescent="0.2">
      <c r="A23" s="10" t="s">
        <v>212</v>
      </c>
      <c r="B23" s="10" t="s">
        <v>71</v>
      </c>
      <c r="C23" s="10" t="str">
        <f t="shared" si="0"/>
        <v>Glyptemys_insculpta</v>
      </c>
      <c r="D23" s="10" t="b">
        <v>1</v>
      </c>
      <c r="F23" s="20">
        <v>58</v>
      </c>
      <c r="G23" s="20">
        <v>60</v>
      </c>
      <c r="H23" s="19"/>
      <c r="I23" s="20">
        <v>968.2</v>
      </c>
      <c r="J23">
        <v>968.2</v>
      </c>
      <c r="K23" s="19"/>
      <c r="L23" s="20">
        <v>13.49</v>
      </c>
      <c r="M23" s="20">
        <v>8</v>
      </c>
      <c r="N23" s="20">
        <v>1.5</v>
      </c>
      <c r="O23" s="19"/>
    </row>
    <row r="24" spans="1:15" x14ac:dyDescent="0.2">
      <c r="A24" s="10" t="s">
        <v>212</v>
      </c>
      <c r="B24" s="10" t="s">
        <v>72</v>
      </c>
      <c r="C24" s="10" t="str">
        <f t="shared" si="0"/>
        <v>Glyptemys_muhlenbergii</v>
      </c>
      <c r="D24" s="10" t="b">
        <v>1</v>
      </c>
      <c r="F24" s="20">
        <v>40</v>
      </c>
      <c r="G24" s="20">
        <v>40</v>
      </c>
      <c r="H24" s="19"/>
      <c r="I24" s="20">
        <v>132.1</v>
      </c>
      <c r="J24">
        <v>132.1</v>
      </c>
      <c r="K24" s="19"/>
      <c r="L24" s="20">
        <v>4.6399999999999997</v>
      </c>
      <c r="M24" s="20">
        <v>3</v>
      </c>
      <c r="N24" s="20">
        <v>1</v>
      </c>
      <c r="O24" s="19"/>
    </row>
    <row r="25" spans="1:15" x14ac:dyDescent="0.2">
      <c r="A25" s="10" t="s">
        <v>212</v>
      </c>
      <c r="B25" s="10" t="s">
        <v>70</v>
      </c>
      <c r="C25" s="10" t="str">
        <f t="shared" si="0"/>
        <v>Gopherus_agassizii</v>
      </c>
      <c r="D25" s="10" t="b">
        <v>1</v>
      </c>
      <c r="F25" s="20">
        <v>40</v>
      </c>
      <c r="G25" s="20">
        <v>62.8</v>
      </c>
      <c r="H25" s="19"/>
      <c r="I25" s="20">
        <v>2784</v>
      </c>
      <c r="J25">
        <v>2443</v>
      </c>
      <c r="K25" s="19"/>
      <c r="L25" s="20">
        <v>35.950000000000003</v>
      </c>
      <c r="M25" s="20">
        <v>5.8920972650000003</v>
      </c>
      <c r="N25" s="20">
        <v>2</v>
      </c>
      <c r="O25" s="19"/>
    </row>
    <row r="26" spans="1:15" x14ac:dyDescent="0.2">
      <c r="A26" s="10" t="s">
        <v>212</v>
      </c>
      <c r="B26" s="10" t="s">
        <v>69</v>
      </c>
      <c r="C26" s="10" t="str">
        <f t="shared" si="0"/>
        <v>Gopherus_berlandieri</v>
      </c>
      <c r="D26" s="10" t="b">
        <v>1</v>
      </c>
      <c r="F26" s="20">
        <v>27.85</v>
      </c>
      <c r="G26" s="20">
        <v>60</v>
      </c>
      <c r="H26" s="19"/>
      <c r="I26" s="20">
        <v>1792</v>
      </c>
      <c r="J26">
        <v>1769.5</v>
      </c>
      <c r="K26" s="19"/>
      <c r="L26" s="20">
        <v>33.9</v>
      </c>
      <c r="M26" s="20">
        <v>2.8</v>
      </c>
      <c r="N26" s="20">
        <v>1</v>
      </c>
      <c r="O26" s="19"/>
    </row>
    <row r="27" spans="1:15" x14ac:dyDescent="0.2">
      <c r="A27" s="10" t="s">
        <v>212</v>
      </c>
      <c r="B27" s="10" t="s">
        <v>68</v>
      </c>
      <c r="C27" s="10" t="str">
        <f t="shared" si="0"/>
        <v>Gopherus_polyphemus</v>
      </c>
      <c r="D27" s="10" t="b">
        <v>1</v>
      </c>
      <c r="F27" s="20">
        <v>32.5</v>
      </c>
      <c r="G27" s="20">
        <v>60</v>
      </c>
      <c r="H27" s="19"/>
      <c r="I27" s="20">
        <v>4142</v>
      </c>
      <c r="J27">
        <v>2784</v>
      </c>
      <c r="K27" s="19"/>
      <c r="L27" s="20">
        <v>40.950000000000003</v>
      </c>
      <c r="M27" s="20">
        <v>6.6</v>
      </c>
      <c r="N27" s="20">
        <v>1</v>
      </c>
      <c r="O27" s="19"/>
    </row>
    <row r="28" spans="1:15" x14ac:dyDescent="0.2">
      <c r="A28" s="10" t="s">
        <v>212</v>
      </c>
      <c r="B28" s="10" t="s">
        <v>113</v>
      </c>
      <c r="C28" s="10" t="str">
        <f t="shared" si="0"/>
        <v>Graptemys_flavimaculata</v>
      </c>
      <c r="D28" s="10" t="b">
        <v>1</v>
      </c>
      <c r="F28" s="20">
        <v>32.5</v>
      </c>
      <c r="G28" s="20">
        <v>36.941666669999996</v>
      </c>
      <c r="H28" s="19"/>
      <c r="I28" s="20">
        <v>918.15</v>
      </c>
      <c r="J28">
        <v>1130</v>
      </c>
      <c r="K28" s="19"/>
      <c r="L28" s="20">
        <v>10.18</v>
      </c>
      <c r="M28" s="20">
        <v>6</v>
      </c>
      <c r="N28" s="20">
        <v>2</v>
      </c>
      <c r="O28" s="19"/>
    </row>
    <row r="29" spans="1:15" x14ac:dyDescent="0.2">
      <c r="A29" s="10" t="s">
        <v>212</v>
      </c>
      <c r="B29" s="10" t="s">
        <v>98</v>
      </c>
      <c r="C29" s="10" t="str">
        <f t="shared" si="0"/>
        <v>Graptemys_geographica</v>
      </c>
      <c r="D29" s="10" t="b">
        <v>1</v>
      </c>
      <c r="F29" s="20">
        <v>12.733333330000001</v>
      </c>
      <c r="G29" s="20">
        <v>19.966666669999999</v>
      </c>
      <c r="H29" s="19"/>
      <c r="I29" s="20">
        <v>1138</v>
      </c>
      <c r="J29">
        <v>1138</v>
      </c>
      <c r="K29" s="19"/>
      <c r="L29" s="20">
        <v>11.23</v>
      </c>
      <c r="M29" s="20">
        <v>12</v>
      </c>
      <c r="N29" s="20">
        <v>2</v>
      </c>
      <c r="O29" s="19"/>
    </row>
    <row r="30" spans="1:15" x14ac:dyDescent="0.2">
      <c r="A30" s="10" t="s">
        <v>212</v>
      </c>
      <c r="B30" s="10" t="s">
        <v>75</v>
      </c>
      <c r="C30" s="10" t="str">
        <f t="shared" si="0"/>
        <v>Graptemys_pseudogeographica</v>
      </c>
      <c r="D30" s="10" t="b">
        <v>1</v>
      </c>
      <c r="F30" s="20">
        <v>33.720833329999998</v>
      </c>
      <c r="G30" s="20">
        <v>35.4</v>
      </c>
      <c r="H30" s="19"/>
      <c r="I30" s="20">
        <v>1477</v>
      </c>
      <c r="J30">
        <v>1477</v>
      </c>
      <c r="K30" s="19"/>
      <c r="L30" s="20">
        <v>9.76</v>
      </c>
      <c r="M30" s="20">
        <v>10.5</v>
      </c>
      <c r="N30" s="20">
        <v>3</v>
      </c>
      <c r="O30" s="19"/>
    </row>
    <row r="31" spans="1:15" x14ac:dyDescent="0.2">
      <c r="A31" s="10" t="s">
        <v>212</v>
      </c>
      <c r="B31" s="10" t="s">
        <v>46</v>
      </c>
      <c r="C31" s="10" t="str">
        <f t="shared" si="0"/>
        <v>Heosemys_grandis</v>
      </c>
      <c r="D31" s="10" t="b">
        <v>1</v>
      </c>
      <c r="F31" s="20">
        <v>25</v>
      </c>
      <c r="G31" s="20">
        <v>29.6</v>
      </c>
      <c r="H31" s="19"/>
      <c r="J31"/>
      <c r="K31" s="19"/>
      <c r="M31" s="20">
        <v>5</v>
      </c>
      <c r="O31" s="19"/>
    </row>
    <row r="32" spans="1:15" x14ac:dyDescent="0.2">
      <c r="A32" s="10" t="s">
        <v>212</v>
      </c>
      <c r="B32" s="10" t="s">
        <v>99</v>
      </c>
      <c r="C32" s="10" t="str">
        <f t="shared" si="0"/>
        <v>Hydromedusa_maximiliani</v>
      </c>
      <c r="D32" s="10" t="b">
        <v>1</v>
      </c>
      <c r="F32" s="20">
        <v>11.8</v>
      </c>
      <c r="G32" s="20">
        <v>11.8</v>
      </c>
      <c r="H32" s="19"/>
      <c r="J32"/>
      <c r="K32" s="19"/>
      <c r="O32" s="19"/>
    </row>
    <row r="33" spans="1:15" x14ac:dyDescent="0.2">
      <c r="A33" s="10" t="s">
        <v>212</v>
      </c>
      <c r="B33" s="10" t="s">
        <v>52</v>
      </c>
      <c r="C33" s="10" t="str">
        <f t="shared" si="0"/>
        <v>Indotestudo_elongata</v>
      </c>
      <c r="D33" s="10" t="b">
        <v>1</v>
      </c>
      <c r="F33" s="20">
        <v>12.95</v>
      </c>
      <c r="G33" s="20">
        <v>14.1</v>
      </c>
      <c r="H33" s="19"/>
      <c r="I33" s="20">
        <v>1150</v>
      </c>
      <c r="J33">
        <v>255</v>
      </c>
      <c r="K33" s="19"/>
      <c r="L33" s="20">
        <v>47</v>
      </c>
      <c r="M33" s="20">
        <v>4</v>
      </c>
      <c r="N33" s="20">
        <v>2.4997497499999999</v>
      </c>
      <c r="O33" s="19"/>
    </row>
    <row r="34" spans="1:15" x14ac:dyDescent="0.2">
      <c r="A34" s="10" t="s">
        <v>212</v>
      </c>
      <c r="B34" s="10" t="s">
        <v>51</v>
      </c>
      <c r="C34" s="10" t="str">
        <f t="shared" si="0"/>
        <v>Indotestudo_forstenii</v>
      </c>
      <c r="D34" s="10" t="b">
        <v>1</v>
      </c>
      <c r="F34" s="20">
        <v>23.5</v>
      </c>
      <c r="G34" s="20">
        <v>32.9</v>
      </c>
      <c r="H34" s="19"/>
      <c r="I34" s="20">
        <v>1680</v>
      </c>
      <c r="J34">
        <v>967.5</v>
      </c>
      <c r="K34" s="19"/>
      <c r="L34" s="20">
        <v>44.9</v>
      </c>
      <c r="M34" s="20">
        <v>4</v>
      </c>
      <c r="N34" s="20">
        <v>2.4997497499999999</v>
      </c>
      <c r="O34" s="19"/>
    </row>
    <row r="35" spans="1:15" x14ac:dyDescent="0.2">
      <c r="A35" s="10" t="s">
        <v>212</v>
      </c>
      <c r="B35" s="10" t="s">
        <v>59</v>
      </c>
      <c r="C35" s="10" t="str">
        <f t="shared" si="0"/>
        <v>Kinixys_belliana</v>
      </c>
      <c r="D35" s="10" t="b">
        <v>1</v>
      </c>
      <c r="F35" s="20">
        <v>22</v>
      </c>
      <c r="G35" s="20">
        <v>26.5</v>
      </c>
      <c r="H35" s="19"/>
      <c r="I35" s="20">
        <v>1202</v>
      </c>
      <c r="J35">
        <v>1202</v>
      </c>
      <c r="K35" s="19"/>
      <c r="L35" s="20">
        <v>36.08</v>
      </c>
      <c r="M35" s="20">
        <v>2.2999999999999998</v>
      </c>
      <c r="O35" s="19"/>
    </row>
    <row r="36" spans="1:15" x14ac:dyDescent="0.2">
      <c r="A36" s="10" t="s">
        <v>212</v>
      </c>
      <c r="B36" s="10" t="s">
        <v>58</v>
      </c>
      <c r="C36" s="10" t="str">
        <f t="shared" si="0"/>
        <v>Kinixys_homeana</v>
      </c>
      <c r="D36" s="10" t="b">
        <v>1</v>
      </c>
      <c r="H36" s="19"/>
      <c r="J36"/>
      <c r="K36" s="19"/>
      <c r="M36" s="20">
        <v>3</v>
      </c>
      <c r="N36" s="20">
        <v>1.5</v>
      </c>
      <c r="O36" s="19"/>
    </row>
    <row r="37" spans="1:15" x14ac:dyDescent="0.2">
      <c r="A37" s="10" t="s">
        <v>212</v>
      </c>
      <c r="B37" s="10" t="s">
        <v>100</v>
      </c>
      <c r="C37" s="10" t="str">
        <f t="shared" si="0"/>
        <v>Kinosternon_flavescens</v>
      </c>
      <c r="D37" s="10" t="b">
        <v>1</v>
      </c>
      <c r="F37" s="20">
        <v>12.65</v>
      </c>
      <c r="G37" s="20">
        <v>39.933333330000004</v>
      </c>
      <c r="H37" s="19"/>
      <c r="I37" s="20">
        <v>331.15</v>
      </c>
      <c r="J37">
        <v>271.3</v>
      </c>
      <c r="K37" s="19"/>
      <c r="L37" s="20">
        <v>4.84</v>
      </c>
      <c r="M37" s="20">
        <v>4.78</v>
      </c>
      <c r="N37" s="20">
        <v>1</v>
      </c>
      <c r="O37" s="19"/>
    </row>
    <row r="38" spans="1:15" x14ac:dyDescent="0.2">
      <c r="A38" s="10" t="s">
        <v>212</v>
      </c>
      <c r="B38" s="10" t="s">
        <v>76</v>
      </c>
      <c r="C38" s="10" t="str">
        <f t="shared" si="0"/>
        <v>Macrochelys_temminckii</v>
      </c>
      <c r="D38" s="10" t="b">
        <v>1</v>
      </c>
      <c r="F38" s="20">
        <v>58.8</v>
      </c>
      <c r="G38" s="20">
        <v>70.3</v>
      </c>
      <c r="H38" s="19"/>
      <c r="I38" s="20">
        <v>78900</v>
      </c>
      <c r="J38">
        <v>23500</v>
      </c>
      <c r="K38" s="19"/>
      <c r="L38" s="20">
        <v>32.58</v>
      </c>
      <c r="M38" s="20">
        <v>24.75</v>
      </c>
      <c r="N38" s="20">
        <v>1</v>
      </c>
      <c r="O38" s="19"/>
    </row>
    <row r="39" spans="1:15" x14ac:dyDescent="0.2">
      <c r="A39" s="10" t="s">
        <v>212</v>
      </c>
      <c r="B39" s="10" t="s">
        <v>53</v>
      </c>
      <c r="C39" s="10" t="str">
        <f t="shared" si="0"/>
        <v>Malacochersus_tornieri</v>
      </c>
      <c r="D39" s="10" t="b">
        <v>1</v>
      </c>
      <c r="F39" s="20">
        <v>25.9</v>
      </c>
      <c r="G39" s="20">
        <v>25.9</v>
      </c>
      <c r="H39" s="19"/>
      <c r="I39" s="20">
        <v>391.25</v>
      </c>
      <c r="J39">
        <v>400</v>
      </c>
      <c r="K39" s="19"/>
      <c r="L39" s="20">
        <v>18.88</v>
      </c>
      <c r="M39" s="20">
        <v>1</v>
      </c>
      <c r="N39" s="20">
        <v>1</v>
      </c>
      <c r="O39" s="19"/>
    </row>
    <row r="40" spans="1:15" x14ac:dyDescent="0.2">
      <c r="A40" s="10" t="s">
        <v>212</v>
      </c>
      <c r="B40" s="10" t="s">
        <v>42</v>
      </c>
      <c r="C40" s="10" t="str">
        <f t="shared" si="0"/>
        <v>Mauremys_reevesii</v>
      </c>
      <c r="D40" s="10" t="b">
        <v>1</v>
      </c>
      <c r="F40" s="20">
        <v>23.85</v>
      </c>
      <c r="G40" s="20">
        <v>24.3</v>
      </c>
      <c r="H40" s="19"/>
      <c r="I40" s="20">
        <v>858</v>
      </c>
      <c r="J40">
        <v>858</v>
      </c>
      <c r="K40" s="19"/>
      <c r="L40" s="20">
        <v>13</v>
      </c>
      <c r="M40" s="20">
        <v>4</v>
      </c>
      <c r="O40" s="19"/>
    </row>
    <row r="41" spans="1:15" x14ac:dyDescent="0.2">
      <c r="A41" s="10" t="s">
        <v>212</v>
      </c>
      <c r="B41" s="10" t="s">
        <v>101</v>
      </c>
      <c r="C41" s="10" t="str">
        <f t="shared" si="0"/>
        <v>Mauremys_rivulata</v>
      </c>
      <c r="D41" s="10" t="b">
        <v>1</v>
      </c>
      <c r="F41" s="20">
        <v>15.45</v>
      </c>
      <c r="G41" s="20">
        <v>17.600000000000001</v>
      </c>
      <c r="H41" s="19"/>
      <c r="J41"/>
      <c r="K41" s="19"/>
      <c r="M41" s="20">
        <v>12</v>
      </c>
      <c r="O41" s="19"/>
    </row>
    <row r="42" spans="1:15" x14ac:dyDescent="0.2">
      <c r="A42" s="10" t="s">
        <v>212</v>
      </c>
      <c r="B42" s="10" t="s">
        <v>81</v>
      </c>
      <c r="C42" s="10" t="str">
        <f t="shared" si="0"/>
        <v>Pelodiscus_sinensis</v>
      </c>
      <c r="D42" s="10" t="b">
        <v>1</v>
      </c>
      <c r="F42" s="20">
        <v>7.3</v>
      </c>
      <c r="G42" s="20">
        <v>7.3</v>
      </c>
      <c r="H42" s="19"/>
      <c r="I42" s="20">
        <v>2327.5</v>
      </c>
      <c r="J42">
        <v>2327.5</v>
      </c>
      <c r="K42" s="19"/>
      <c r="L42" s="20">
        <v>5.4</v>
      </c>
      <c r="M42" s="20">
        <v>14.5</v>
      </c>
      <c r="O42" s="19"/>
    </row>
    <row r="43" spans="1:15" x14ac:dyDescent="0.2">
      <c r="A43" s="10" t="s">
        <v>212</v>
      </c>
      <c r="B43" s="10" t="s">
        <v>82</v>
      </c>
      <c r="C43" s="10" t="str">
        <f t="shared" si="0"/>
        <v>Pelomedusa_subrufa</v>
      </c>
      <c r="D43" s="10" t="b">
        <v>1</v>
      </c>
      <c r="F43" s="20">
        <v>16.399999999999999</v>
      </c>
      <c r="G43" s="20">
        <v>20.100000000000001</v>
      </c>
      <c r="H43" s="19"/>
      <c r="I43" s="20">
        <v>2273</v>
      </c>
      <c r="J43">
        <v>2273</v>
      </c>
      <c r="K43" s="19"/>
      <c r="L43" s="20">
        <v>12.38</v>
      </c>
      <c r="M43" s="20">
        <v>15</v>
      </c>
      <c r="O43" s="19"/>
    </row>
    <row r="44" spans="1:15" x14ac:dyDescent="0.2">
      <c r="A44" s="10" t="s">
        <v>212</v>
      </c>
      <c r="B44" s="10" t="s">
        <v>83</v>
      </c>
      <c r="C44" s="10" t="str">
        <f t="shared" si="0"/>
        <v>Pelusios_castaneus</v>
      </c>
      <c r="D44" s="10" t="b">
        <v>1</v>
      </c>
      <c r="F44" s="20">
        <v>29.3</v>
      </c>
      <c r="G44" s="20">
        <v>47</v>
      </c>
      <c r="H44" s="19"/>
      <c r="J44"/>
      <c r="K44" s="19"/>
      <c r="L44" s="20">
        <v>12.9</v>
      </c>
      <c r="M44" s="20">
        <v>12</v>
      </c>
      <c r="O44" s="19"/>
    </row>
    <row r="45" spans="1:15" x14ac:dyDescent="0.2">
      <c r="A45" s="10" t="s">
        <v>212</v>
      </c>
      <c r="B45" s="10" t="s">
        <v>88</v>
      </c>
      <c r="C45" s="10" t="str">
        <f t="shared" si="0"/>
        <v>Platemys_platycephala</v>
      </c>
      <c r="D45" s="10" t="b">
        <v>1</v>
      </c>
      <c r="F45" s="20">
        <v>19.850000000000001</v>
      </c>
      <c r="G45" s="20">
        <v>20</v>
      </c>
      <c r="H45" s="19"/>
      <c r="I45" s="20">
        <v>325</v>
      </c>
      <c r="J45">
        <v>325</v>
      </c>
      <c r="K45" s="19"/>
      <c r="L45" s="20">
        <v>27</v>
      </c>
      <c r="M45" s="20">
        <v>1</v>
      </c>
      <c r="O45" s="19"/>
    </row>
    <row r="46" spans="1:15" x14ac:dyDescent="0.2">
      <c r="A46" s="10" t="s">
        <v>212</v>
      </c>
      <c r="B46" s="10" t="s">
        <v>84</v>
      </c>
      <c r="C46" s="10" t="str">
        <f t="shared" si="0"/>
        <v>Podocnemis_unifilis</v>
      </c>
      <c r="D46" s="10" t="b">
        <v>1</v>
      </c>
      <c r="F46" s="20">
        <v>39.4</v>
      </c>
      <c r="G46" s="20">
        <v>70</v>
      </c>
      <c r="H46" s="19"/>
      <c r="I46" s="20">
        <v>4500</v>
      </c>
      <c r="J46">
        <v>6380</v>
      </c>
      <c r="K46" s="19"/>
      <c r="L46" s="20">
        <v>24.4</v>
      </c>
      <c r="M46" s="20">
        <v>24</v>
      </c>
      <c r="O46" s="19"/>
    </row>
    <row r="47" spans="1:15" x14ac:dyDescent="0.2">
      <c r="A47" s="10" t="s">
        <v>212</v>
      </c>
      <c r="B47" s="10" t="s">
        <v>102</v>
      </c>
      <c r="C47" s="10" t="str">
        <f t="shared" si="0"/>
        <v>Pseudemys_texana</v>
      </c>
      <c r="D47" s="10" t="b">
        <v>1</v>
      </c>
      <c r="F47" s="20">
        <v>40.316666669999996</v>
      </c>
      <c r="G47" s="20">
        <v>44</v>
      </c>
      <c r="H47" s="19"/>
      <c r="I47" s="20">
        <v>2992</v>
      </c>
      <c r="J47">
        <v>2992</v>
      </c>
      <c r="K47" s="19"/>
      <c r="L47" s="20">
        <v>12.095000000000001</v>
      </c>
      <c r="M47" s="20">
        <v>13.25</v>
      </c>
      <c r="N47" s="20">
        <v>2</v>
      </c>
      <c r="O47" s="19"/>
    </row>
    <row r="48" spans="1:15" x14ac:dyDescent="0.2">
      <c r="A48" s="10" t="s">
        <v>212</v>
      </c>
      <c r="B48" s="10" t="s">
        <v>65</v>
      </c>
      <c r="C48" s="10" t="str">
        <f t="shared" si="0"/>
        <v>Pyxis_arachnoides</v>
      </c>
      <c r="D48" s="10" t="b">
        <v>1</v>
      </c>
      <c r="H48" s="19"/>
      <c r="I48" s="20">
        <v>301.2</v>
      </c>
      <c r="J48"/>
      <c r="K48" s="19"/>
      <c r="L48" s="20">
        <v>13.46</v>
      </c>
      <c r="M48" s="20">
        <v>1</v>
      </c>
      <c r="N48" s="20">
        <v>1</v>
      </c>
      <c r="O48" s="19"/>
    </row>
    <row r="49" spans="1:15" x14ac:dyDescent="0.2">
      <c r="A49" s="10" t="s">
        <v>212</v>
      </c>
      <c r="B49" s="10" t="s">
        <v>66</v>
      </c>
      <c r="C49" s="10" t="str">
        <f t="shared" si="0"/>
        <v>Pyxis_planicauda</v>
      </c>
      <c r="D49" s="10" t="b">
        <v>1</v>
      </c>
      <c r="H49" s="19"/>
      <c r="I49" s="20">
        <v>573</v>
      </c>
      <c r="J49"/>
      <c r="K49" s="19"/>
      <c r="L49" s="20">
        <v>17.75</v>
      </c>
      <c r="M49" s="20">
        <v>1.165714286</v>
      </c>
      <c r="N49" s="20">
        <v>3</v>
      </c>
      <c r="O49" s="19"/>
    </row>
    <row r="50" spans="1:15" x14ac:dyDescent="0.2">
      <c r="A50" s="10" t="s">
        <v>212</v>
      </c>
      <c r="B50" s="10" t="s">
        <v>49</v>
      </c>
      <c r="C50" s="10" t="str">
        <f t="shared" si="0"/>
        <v>Siebenrockiella_crassicollis</v>
      </c>
      <c r="D50" s="10" t="b">
        <v>1</v>
      </c>
      <c r="F50" s="20">
        <v>16.7</v>
      </c>
      <c r="G50" s="20">
        <v>16.7</v>
      </c>
      <c r="H50" s="19"/>
      <c r="I50" s="20">
        <v>940</v>
      </c>
      <c r="J50">
        <v>940</v>
      </c>
      <c r="K50" s="19"/>
      <c r="L50" s="20">
        <v>19.2</v>
      </c>
      <c r="M50" s="20">
        <v>1.3</v>
      </c>
      <c r="O50" s="19"/>
    </row>
    <row r="51" spans="1:15" x14ac:dyDescent="0.2">
      <c r="A51" s="10" t="s">
        <v>212</v>
      </c>
      <c r="B51" s="10" t="s">
        <v>77</v>
      </c>
      <c r="C51" s="10" t="str">
        <f t="shared" si="0"/>
        <v>Sternotherus_odoratus</v>
      </c>
      <c r="D51" s="10" t="b">
        <v>1</v>
      </c>
      <c r="F51" s="20">
        <v>54.8</v>
      </c>
      <c r="G51" s="20">
        <v>54.908333329999998</v>
      </c>
      <c r="H51" s="19"/>
      <c r="I51" s="20">
        <v>137.9</v>
      </c>
      <c r="J51">
        <v>137.9</v>
      </c>
      <c r="K51" s="19"/>
      <c r="L51" s="20">
        <v>3.35</v>
      </c>
      <c r="M51" s="20">
        <v>3.0249999999999999</v>
      </c>
      <c r="N51" s="20">
        <v>3.5</v>
      </c>
      <c r="O51" s="19"/>
    </row>
    <row r="52" spans="1:15" x14ac:dyDescent="0.2">
      <c r="A52" s="10" t="s">
        <v>212</v>
      </c>
      <c r="B52" s="10" t="s">
        <v>63</v>
      </c>
      <c r="C52" s="10" t="str">
        <f t="shared" si="0"/>
        <v>Stigmochelys_pardalis</v>
      </c>
      <c r="D52" s="10" t="b">
        <v>1</v>
      </c>
      <c r="F52" s="20">
        <v>30</v>
      </c>
      <c r="G52" s="20">
        <v>100</v>
      </c>
      <c r="H52" s="19"/>
      <c r="I52" s="20">
        <v>20000</v>
      </c>
      <c r="J52">
        <v>20000</v>
      </c>
      <c r="K52" s="19"/>
      <c r="L52" s="20">
        <v>59.58</v>
      </c>
      <c r="M52" s="20">
        <v>8.67</v>
      </c>
      <c r="O52" s="19"/>
    </row>
    <row r="53" spans="1:15" x14ac:dyDescent="0.2">
      <c r="A53" s="10" t="s">
        <v>212</v>
      </c>
      <c r="B53" s="10" t="s">
        <v>103</v>
      </c>
      <c r="C53" s="10" t="str">
        <f t="shared" si="0"/>
        <v>Terrapene_ornata</v>
      </c>
      <c r="D53" s="10" t="b">
        <v>1</v>
      </c>
      <c r="F53" s="20">
        <v>31</v>
      </c>
      <c r="G53" s="20">
        <v>80</v>
      </c>
      <c r="H53" s="19"/>
      <c r="I53" s="20">
        <v>394.5</v>
      </c>
      <c r="J53">
        <v>391</v>
      </c>
      <c r="K53" s="19"/>
      <c r="L53" s="20">
        <v>10.295</v>
      </c>
      <c r="M53" s="20">
        <v>4</v>
      </c>
      <c r="N53" s="20">
        <v>1.5</v>
      </c>
      <c r="O53" s="19"/>
    </row>
    <row r="54" spans="1:15" x14ac:dyDescent="0.2">
      <c r="A54" s="10" t="s">
        <v>212</v>
      </c>
      <c r="B54" s="10" t="s">
        <v>56</v>
      </c>
      <c r="C54" s="10" t="str">
        <f t="shared" si="0"/>
        <v>Testudo_graeca</v>
      </c>
      <c r="D54" s="10" t="b">
        <v>1</v>
      </c>
      <c r="F54" s="20">
        <v>127</v>
      </c>
      <c r="G54" s="20">
        <v>127</v>
      </c>
      <c r="H54" s="19"/>
      <c r="I54" s="20">
        <v>1430</v>
      </c>
      <c r="J54">
        <v>1430</v>
      </c>
      <c r="K54" s="19"/>
      <c r="L54" s="20">
        <v>14.2</v>
      </c>
      <c r="M54" s="20">
        <v>5</v>
      </c>
      <c r="N54" s="20">
        <v>3.2009925560000001</v>
      </c>
      <c r="O54" s="19"/>
    </row>
    <row r="55" spans="1:15" x14ac:dyDescent="0.2">
      <c r="A55" s="10" t="s">
        <v>212</v>
      </c>
      <c r="B55" s="10" t="s">
        <v>116</v>
      </c>
      <c r="C55" s="10" t="str">
        <f t="shared" si="0"/>
        <v>Testudo_hermanni</v>
      </c>
      <c r="D55" s="10" t="b">
        <v>1</v>
      </c>
      <c r="F55" s="20">
        <v>40</v>
      </c>
      <c r="G55" s="20">
        <v>127</v>
      </c>
      <c r="H55" s="19"/>
      <c r="I55" s="20">
        <v>1249</v>
      </c>
      <c r="J55">
        <v>1280</v>
      </c>
      <c r="K55" s="19"/>
      <c r="L55" s="20">
        <v>14.4</v>
      </c>
      <c r="M55" s="20">
        <v>4.5</v>
      </c>
      <c r="N55" s="20">
        <v>1.666118421</v>
      </c>
      <c r="O55" s="19"/>
    </row>
    <row r="56" spans="1:15" x14ac:dyDescent="0.2">
      <c r="A56" s="10" t="s">
        <v>212</v>
      </c>
      <c r="B56" s="10" t="s">
        <v>57</v>
      </c>
      <c r="C56" s="10" t="str">
        <f t="shared" si="0"/>
        <v>Testudo_horsfieldii</v>
      </c>
      <c r="D56" s="10" t="b">
        <v>1</v>
      </c>
      <c r="H56" s="19"/>
      <c r="I56" s="20">
        <v>1018</v>
      </c>
      <c r="J56"/>
      <c r="K56" s="19"/>
      <c r="L56" s="20">
        <v>17.75</v>
      </c>
      <c r="M56" s="20">
        <v>4</v>
      </c>
      <c r="N56" s="20">
        <v>3</v>
      </c>
      <c r="O56" s="19"/>
    </row>
    <row r="57" spans="1:15" x14ac:dyDescent="0.2">
      <c r="A57" s="10" t="s">
        <v>212</v>
      </c>
      <c r="B57" s="10" t="s">
        <v>55</v>
      </c>
      <c r="C57" s="10" t="str">
        <f t="shared" si="0"/>
        <v>Testudo_kleinmanni</v>
      </c>
      <c r="D57" s="10" t="b">
        <v>1</v>
      </c>
      <c r="F57" s="20">
        <v>28</v>
      </c>
      <c r="G57" s="20">
        <v>40</v>
      </c>
      <c r="H57" s="19"/>
      <c r="I57" s="20">
        <v>440</v>
      </c>
      <c r="J57"/>
      <c r="K57" s="19"/>
      <c r="L57" s="20">
        <v>11.2</v>
      </c>
      <c r="M57" s="20">
        <v>1.6666666670000001</v>
      </c>
      <c r="N57" s="20">
        <v>3</v>
      </c>
      <c r="O57" s="19"/>
    </row>
    <row r="58" spans="1:15" x14ac:dyDescent="0.2">
      <c r="A58" s="10" t="s">
        <v>212</v>
      </c>
      <c r="B58" s="10" t="s">
        <v>54</v>
      </c>
      <c r="C58" s="10" t="str">
        <f t="shared" si="0"/>
        <v>Testudo_marginata</v>
      </c>
      <c r="D58" s="10" t="b">
        <v>1</v>
      </c>
      <c r="F58" s="20">
        <v>21.2</v>
      </c>
      <c r="G58" s="20">
        <v>21.2</v>
      </c>
      <c r="H58" s="19"/>
      <c r="I58" s="20">
        <v>1918</v>
      </c>
      <c r="J58">
        <v>2080</v>
      </c>
      <c r="K58" s="19"/>
      <c r="L58" s="20">
        <v>17.7</v>
      </c>
      <c r="M58" s="20">
        <v>6.5</v>
      </c>
      <c r="N58" s="20">
        <v>2.3990963860000001</v>
      </c>
      <c r="O58" s="19"/>
    </row>
    <row r="59" spans="1:15" x14ac:dyDescent="0.2">
      <c r="A59" s="10" t="s">
        <v>212</v>
      </c>
      <c r="B59" s="10" t="s">
        <v>74</v>
      </c>
      <c r="C59" s="10" t="str">
        <f t="shared" si="0"/>
        <v>Trachemys_callirostris</v>
      </c>
      <c r="D59" s="10" t="b">
        <v>1</v>
      </c>
      <c r="F59" s="20">
        <v>27.625</v>
      </c>
      <c r="G59" s="20">
        <v>75</v>
      </c>
      <c r="H59" s="19"/>
      <c r="I59" s="20">
        <v>1895</v>
      </c>
      <c r="J59">
        <v>1854</v>
      </c>
      <c r="K59" s="19"/>
      <c r="L59" s="20">
        <v>11.44</v>
      </c>
      <c r="M59" s="20">
        <v>9.6999999999999993</v>
      </c>
      <c r="N59" s="20">
        <v>2</v>
      </c>
      <c r="O59" s="19"/>
    </row>
    <row r="60" spans="1:15" x14ac:dyDescent="0.2">
      <c r="A60" s="10" t="s">
        <v>212</v>
      </c>
      <c r="B60" s="10" t="s">
        <v>112</v>
      </c>
      <c r="C60" s="10" t="str">
        <f t="shared" si="0"/>
        <v>Trachemys_scripta</v>
      </c>
      <c r="D60" s="10" t="b">
        <v>1</v>
      </c>
      <c r="F60" s="20">
        <v>29.95</v>
      </c>
      <c r="G60" s="20">
        <v>75</v>
      </c>
      <c r="H60" s="19"/>
      <c r="I60" s="20">
        <v>1854</v>
      </c>
      <c r="J60">
        <v>1813</v>
      </c>
      <c r="K60" s="19"/>
      <c r="L60" s="20">
        <v>11.1</v>
      </c>
      <c r="M60" s="20">
        <v>8.4</v>
      </c>
      <c r="N60" s="20">
        <v>2</v>
      </c>
      <c r="O60" s="19"/>
    </row>
    <row r="61" spans="1:15" x14ac:dyDescent="0.2">
      <c r="A61" s="10" t="s">
        <v>219</v>
      </c>
      <c r="B61" s="10" t="s">
        <v>45</v>
      </c>
      <c r="C61" s="10" t="str">
        <f t="shared" si="0"/>
        <v>Cuora_amboinensis</v>
      </c>
      <c r="D61" s="10" t="b">
        <v>1</v>
      </c>
      <c r="E61" s="19"/>
      <c r="F61" s="19"/>
      <c r="G61" s="19"/>
      <c r="H61" s="19" t="s">
        <v>223</v>
      </c>
      <c r="I61" s="19">
        <v>1000</v>
      </c>
      <c r="J61" s="19"/>
      <c r="K61" s="19"/>
      <c r="L61" s="19">
        <v>19.5</v>
      </c>
      <c r="M61" s="19">
        <v>1</v>
      </c>
      <c r="O61" s="19">
        <v>19.5</v>
      </c>
    </row>
    <row r="62" spans="1:15" x14ac:dyDescent="0.2">
      <c r="A62" s="10" t="s">
        <v>219</v>
      </c>
      <c r="B62" s="10" t="s">
        <v>49</v>
      </c>
      <c r="C62" s="10" t="str">
        <f t="shared" si="0"/>
        <v>Siebenrockiella_crassicollis</v>
      </c>
      <c r="D62" s="10" t="b">
        <v>1</v>
      </c>
      <c r="E62" s="19"/>
      <c r="F62" s="19"/>
      <c r="G62" s="19"/>
      <c r="H62" s="19" t="s">
        <v>224</v>
      </c>
      <c r="I62" s="19">
        <v>940</v>
      </c>
      <c r="J62" s="19"/>
      <c r="K62" s="19"/>
      <c r="L62" s="19">
        <v>28.5</v>
      </c>
      <c r="M62" s="19">
        <v>1.3</v>
      </c>
      <c r="O62" s="19">
        <v>37</v>
      </c>
    </row>
    <row r="63" spans="1:15" x14ac:dyDescent="0.2">
      <c r="A63" s="10" t="s">
        <v>219</v>
      </c>
      <c r="B63" s="10" t="s">
        <v>86</v>
      </c>
      <c r="C63" s="10" t="str">
        <f t="shared" si="0"/>
        <v>Chelodina_longicollis</v>
      </c>
      <c r="D63" s="10" t="b">
        <v>1</v>
      </c>
      <c r="E63" s="19"/>
      <c r="F63" s="19"/>
      <c r="G63" s="19"/>
      <c r="H63" s="19" t="s">
        <v>224</v>
      </c>
      <c r="I63" s="19">
        <v>1293</v>
      </c>
      <c r="J63" s="19"/>
      <c r="K63" s="19"/>
      <c r="L63" s="19">
        <v>7.38</v>
      </c>
      <c r="M63" s="19">
        <v>13.9</v>
      </c>
      <c r="O63" s="19">
        <v>102.6</v>
      </c>
    </row>
    <row r="64" spans="1:15" x14ac:dyDescent="0.2">
      <c r="A64" s="10" t="s">
        <v>219</v>
      </c>
      <c r="B64" s="10" t="s">
        <v>87</v>
      </c>
      <c r="C64" s="10" t="str">
        <f t="shared" si="0"/>
        <v>Chelus_fimbriatus</v>
      </c>
      <c r="D64" s="10" t="b">
        <v>1</v>
      </c>
      <c r="E64" s="19"/>
      <c r="F64" s="19"/>
      <c r="G64" s="19"/>
      <c r="H64" s="19" t="s">
        <v>224</v>
      </c>
      <c r="I64" s="19">
        <v>5000</v>
      </c>
      <c r="J64" s="19"/>
      <c r="K64" s="19"/>
      <c r="L64" s="19">
        <v>28.81</v>
      </c>
      <c r="M64" s="19">
        <v>12</v>
      </c>
      <c r="O64" s="19">
        <v>345.7</v>
      </c>
    </row>
    <row r="65" spans="1:15" x14ac:dyDescent="0.2">
      <c r="A65" s="10" t="s">
        <v>219</v>
      </c>
      <c r="B65" s="10" t="s">
        <v>88</v>
      </c>
      <c r="C65" s="10" t="str">
        <f t="shared" si="0"/>
        <v>Platemys_platycephala</v>
      </c>
      <c r="D65" s="10" t="b">
        <v>1</v>
      </c>
      <c r="E65" s="19"/>
      <c r="F65" s="19"/>
      <c r="G65" s="19"/>
      <c r="H65" s="19" t="s">
        <v>225</v>
      </c>
      <c r="I65" s="19">
        <v>325</v>
      </c>
      <c r="J65" s="19"/>
      <c r="K65" s="19"/>
      <c r="L65" s="19">
        <v>27</v>
      </c>
      <c r="M65" s="19">
        <v>1</v>
      </c>
      <c r="O65" s="19">
        <v>27</v>
      </c>
    </row>
    <row r="66" spans="1:15" x14ac:dyDescent="0.2">
      <c r="A66" s="10" t="s">
        <v>219</v>
      </c>
      <c r="B66" s="10" t="s">
        <v>97</v>
      </c>
      <c r="C66" s="10" t="str">
        <f t="shared" si="0"/>
        <v>Chelydra_serpentina</v>
      </c>
      <c r="D66" s="10" t="b">
        <v>1</v>
      </c>
      <c r="E66" s="19"/>
      <c r="F66" s="19"/>
      <c r="G66" s="19"/>
      <c r="H66" s="19" t="s">
        <v>225</v>
      </c>
      <c r="I66" s="19">
        <v>5170</v>
      </c>
      <c r="J66" s="19"/>
      <c r="K66" s="19"/>
      <c r="L66" s="19">
        <v>11.6</v>
      </c>
      <c r="M66" s="19">
        <v>34</v>
      </c>
      <c r="O66" s="19">
        <v>394.4</v>
      </c>
    </row>
    <row r="67" spans="1:15" x14ac:dyDescent="0.2">
      <c r="A67" s="10" t="s">
        <v>219</v>
      </c>
      <c r="B67" s="10" t="s">
        <v>293</v>
      </c>
      <c r="C67" s="10" t="str">
        <f t="shared" ref="C67:C130" si="1">LEFT(B67, LEN(B67) - IF(ISNUMBER(RIGHT(B67, 1) * 1), 1, 0))</f>
        <v>Chelydra_serpentina</v>
      </c>
      <c r="D67" s="10" t="b">
        <v>1</v>
      </c>
      <c r="E67" s="19"/>
      <c r="F67" s="19"/>
      <c r="G67" s="19"/>
      <c r="H67" s="19" t="s">
        <v>225</v>
      </c>
      <c r="I67" s="19">
        <v>3875</v>
      </c>
      <c r="J67" s="19"/>
      <c r="K67" s="19"/>
      <c r="L67" s="19">
        <v>17</v>
      </c>
      <c r="M67" s="19">
        <v>27.9</v>
      </c>
      <c r="O67" s="19">
        <v>474.3</v>
      </c>
    </row>
    <row r="68" spans="1:15" x14ac:dyDescent="0.2">
      <c r="A68" s="10" t="s">
        <v>219</v>
      </c>
      <c r="B68" s="10" t="s">
        <v>294</v>
      </c>
      <c r="C68" s="10" t="str">
        <f t="shared" si="1"/>
        <v>Chelydra_serpentina</v>
      </c>
      <c r="D68" s="10" t="b">
        <v>1</v>
      </c>
      <c r="E68" s="19"/>
      <c r="F68" s="19"/>
      <c r="G68" s="19"/>
      <c r="H68" s="19" t="s">
        <v>225</v>
      </c>
      <c r="I68" s="19">
        <v>2856</v>
      </c>
      <c r="J68" s="19"/>
      <c r="K68" s="19"/>
      <c r="L68" s="19">
        <v>9.6300000000000008</v>
      </c>
      <c r="M68" s="19">
        <v>23.6</v>
      </c>
      <c r="O68" s="19">
        <v>227.2</v>
      </c>
    </row>
    <row r="69" spans="1:15" x14ac:dyDescent="0.2">
      <c r="A69" s="10" t="s">
        <v>219</v>
      </c>
      <c r="B69" s="10" t="s">
        <v>95</v>
      </c>
      <c r="C69" s="10" t="str">
        <f t="shared" si="1"/>
        <v>Chrysemys_picta</v>
      </c>
      <c r="D69" s="10" t="b">
        <v>1</v>
      </c>
      <c r="E69" s="19"/>
      <c r="F69" s="19"/>
      <c r="G69" s="19"/>
      <c r="H69" s="19" t="s">
        <v>224</v>
      </c>
      <c r="I69" s="19">
        <v>395</v>
      </c>
      <c r="J69" s="19"/>
      <c r="K69" s="19"/>
      <c r="L69" s="19">
        <v>4.1399999999999997</v>
      </c>
      <c r="M69" s="19">
        <v>7.55</v>
      </c>
      <c r="O69" s="19">
        <v>31.3</v>
      </c>
    </row>
    <row r="70" spans="1:15" x14ac:dyDescent="0.2">
      <c r="A70" s="10" t="s">
        <v>219</v>
      </c>
      <c r="B70" s="10" t="s">
        <v>96</v>
      </c>
      <c r="C70" s="10" t="str">
        <f t="shared" si="1"/>
        <v>Chrysemys_picta</v>
      </c>
      <c r="D70" s="10" t="b">
        <v>1</v>
      </c>
      <c r="E70" s="19"/>
      <c r="F70" s="19"/>
      <c r="G70" s="19"/>
      <c r="H70" s="19" t="s">
        <v>224</v>
      </c>
      <c r="I70" s="19">
        <v>865</v>
      </c>
      <c r="J70" s="19"/>
      <c r="K70" s="19"/>
      <c r="L70" s="19">
        <v>5.9</v>
      </c>
      <c r="M70" s="19">
        <v>13.9</v>
      </c>
      <c r="O70" s="19">
        <v>82</v>
      </c>
    </row>
    <row r="71" spans="1:15" x14ac:dyDescent="0.2">
      <c r="A71" s="10" t="s">
        <v>219</v>
      </c>
      <c r="B71" s="10" t="s">
        <v>300</v>
      </c>
      <c r="C71" s="10" t="str">
        <f t="shared" si="1"/>
        <v>Chrysemys_picta</v>
      </c>
      <c r="D71" s="10" t="b">
        <v>1</v>
      </c>
      <c r="E71" s="19"/>
      <c r="F71" s="19"/>
      <c r="G71" s="19"/>
      <c r="H71" s="19" t="s">
        <v>224</v>
      </c>
      <c r="I71" s="19">
        <v>289</v>
      </c>
      <c r="J71" s="19"/>
      <c r="K71" s="19"/>
      <c r="L71" s="19">
        <v>4.6900000000000004</v>
      </c>
      <c r="M71" s="19">
        <v>4.2</v>
      </c>
      <c r="O71" s="19">
        <v>19.5</v>
      </c>
    </row>
    <row r="72" spans="1:15" x14ac:dyDescent="0.2">
      <c r="A72" s="10" t="s">
        <v>219</v>
      </c>
      <c r="B72" s="10" t="s">
        <v>301</v>
      </c>
      <c r="C72" s="10" t="str">
        <f t="shared" si="1"/>
        <v>Chrysemys_picta</v>
      </c>
      <c r="D72" s="10" t="b">
        <v>1</v>
      </c>
      <c r="E72" s="19"/>
      <c r="F72" s="19"/>
      <c r="G72" s="19"/>
      <c r="H72" s="19" t="s">
        <v>224</v>
      </c>
      <c r="I72" s="19">
        <v>361</v>
      </c>
      <c r="J72" s="19"/>
      <c r="K72" s="19"/>
      <c r="L72" s="19">
        <v>6.17</v>
      </c>
      <c r="M72" s="19">
        <v>5</v>
      </c>
      <c r="O72" s="19">
        <v>30.9</v>
      </c>
    </row>
    <row r="73" spans="1:15" x14ac:dyDescent="0.2">
      <c r="A73" s="10" t="s">
        <v>219</v>
      </c>
      <c r="B73" s="10" t="s">
        <v>73</v>
      </c>
      <c r="C73" s="10" t="str">
        <f t="shared" si="1"/>
        <v>Clemmys_guttata</v>
      </c>
      <c r="D73" s="10" t="b">
        <v>1</v>
      </c>
      <c r="E73" s="19"/>
      <c r="F73" s="19"/>
      <c r="G73" s="19"/>
      <c r="H73" s="19" t="s">
        <v>225</v>
      </c>
      <c r="I73" s="19">
        <v>165.4</v>
      </c>
      <c r="J73" s="19"/>
      <c r="K73" s="19"/>
      <c r="L73" s="19">
        <v>5.8</v>
      </c>
      <c r="M73" s="19">
        <v>3.58</v>
      </c>
      <c r="O73" s="19">
        <v>20.8</v>
      </c>
    </row>
    <row r="74" spans="1:15" x14ac:dyDescent="0.2">
      <c r="A74" s="10" t="s">
        <v>219</v>
      </c>
      <c r="B74" s="10" t="s">
        <v>314</v>
      </c>
      <c r="C74" s="10" t="str">
        <f t="shared" si="1"/>
        <v>Emydoidea_blandingii</v>
      </c>
      <c r="D74" s="10" t="b">
        <v>1</v>
      </c>
      <c r="E74" s="19"/>
      <c r="F74" s="19"/>
      <c r="G74" s="19"/>
      <c r="H74" s="19" t="s">
        <v>225</v>
      </c>
      <c r="I74" s="19">
        <v>1336</v>
      </c>
      <c r="J74" s="19"/>
      <c r="K74" s="19"/>
      <c r="L74" s="19">
        <v>11.66</v>
      </c>
      <c r="M74" s="19">
        <v>14.9</v>
      </c>
      <c r="O74" s="19">
        <v>168.5</v>
      </c>
    </row>
    <row r="75" spans="1:15" x14ac:dyDescent="0.2">
      <c r="A75" s="10" t="s">
        <v>219</v>
      </c>
      <c r="B75" s="10" t="s">
        <v>91</v>
      </c>
      <c r="C75" s="10" t="str">
        <f t="shared" si="1"/>
        <v>Emys_orbicularis</v>
      </c>
      <c r="D75" s="10" t="b">
        <v>1</v>
      </c>
      <c r="E75" s="19"/>
      <c r="F75" s="19"/>
      <c r="G75" s="19"/>
      <c r="H75" s="19" t="s">
        <v>224</v>
      </c>
      <c r="I75" s="19">
        <v>483.4</v>
      </c>
      <c r="J75" s="19"/>
      <c r="K75" s="19"/>
      <c r="L75" s="19">
        <v>5.77</v>
      </c>
      <c r="M75" s="19">
        <v>5.8</v>
      </c>
      <c r="O75" s="19">
        <v>33.47</v>
      </c>
    </row>
    <row r="76" spans="1:15" x14ac:dyDescent="0.2">
      <c r="A76" s="10" t="s">
        <v>219</v>
      </c>
      <c r="B76" s="10" t="s">
        <v>98</v>
      </c>
      <c r="C76" s="10" t="str">
        <f t="shared" si="1"/>
        <v>Graptemys_geographica</v>
      </c>
      <c r="D76" s="10" t="b">
        <v>1</v>
      </c>
      <c r="E76" s="19"/>
      <c r="F76" s="19"/>
      <c r="G76" s="19"/>
      <c r="H76" s="19" t="s">
        <v>224</v>
      </c>
      <c r="I76" s="19">
        <v>1138</v>
      </c>
      <c r="J76" s="19"/>
      <c r="K76" s="19"/>
      <c r="L76" s="19">
        <v>11.23</v>
      </c>
      <c r="M76" s="19">
        <v>10.1</v>
      </c>
      <c r="O76" s="19">
        <v>113.42</v>
      </c>
    </row>
    <row r="77" spans="1:15" x14ac:dyDescent="0.2">
      <c r="A77" s="10" t="s">
        <v>219</v>
      </c>
      <c r="B77" s="10" t="s">
        <v>75</v>
      </c>
      <c r="C77" s="10" t="str">
        <f t="shared" si="1"/>
        <v>Graptemys_pseudogeographica</v>
      </c>
      <c r="D77" s="10" t="b">
        <v>1</v>
      </c>
      <c r="E77" s="19"/>
      <c r="F77" s="19"/>
      <c r="G77" s="19"/>
      <c r="H77" s="19" t="s">
        <v>225</v>
      </c>
      <c r="I77" s="19">
        <v>1477</v>
      </c>
      <c r="J77" s="19"/>
      <c r="K77" s="19"/>
      <c r="L77" s="19">
        <v>9.7799999999999994</v>
      </c>
      <c r="M77" s="19">
        <v>14.1</v>
      </c>
      <c r="O77" s="19">
        <v>137.9</v>
      </c>
    </row>
    <row r="78" spans="1:15" x14ac:dyDescent="0.2">
      <c r="A78" s="10" t="s">
        <v>219</v>
      </c>
      <c r="B78" s="10" t="s">
        <v>103</v>
      </c>
      <c r="C78" s="10" t="str">
        <f t="shared" si="1"/>
        <v>Terrapene_ornata</v>
      </c>
      <c r="D78" s="10" t="b">
        <v>1</v>
      </c>
      <c r="E78" s="19"/>
      <c r="F78" s="19"/>
      <c r="G78" s="19"/>
      <c r="H78" s="19" t="s">
        <v>224</v>
      </c>
      <c r="I78" s="19">
        <v>391</v>
      </c>
      <c r="J78" s="19"/>
      <c r="K78" s="19"/>
      <c r="L78" s="19">
        <v>10.09</v>
      </c>
      <c r="M78" s="19">
        <v>4.7</v>
      </c>
      <c r="O78" s="19">
        <v>47.4</v>
      </c>
    </row>
    <row r="79" spans="1:15" x14ac:dyDescent="0.2">
      <c r="A79" s="10" t="s">
        <v>219</v>
      </c>
      <c r="B79" s="10" t="s">
        <v>105</v>
      </c>
      <c r="C79" s="10" t="str">
        <f t="shared" si="1"/>
        <v>Trachemys_scripta</v>
      </c>
      <c r="D79" s="10" t="b">
        <v>1</v>
      </c>
      <c r="E79" s="19"/>
      <c r="F79" s="19"/>
      <c r="G79" s="19"/>
      <c r="H79" s="19" t="s">
        <v>224</v>
      </c>
      <c r="I79" s="19">
        <v>1895</v>
      </c>
      <c r="J79" s="19"/>
      <c r="K79" s="19"/>
      <c r="L79" s="19">
        <v>10.52</v>
      </c>
      <c r="M79" s="19">
        <v>7.1</v>
      </c>
      <c r="O79" s="19">
        <v>74.7</v>
      </c>
    </row>
    <row r="80" spans="1:15" x14ac:dyDescent="0.2">
      <c r="A80" s="10" t="s">
        <v>219</v>
      </c>
      <c r="B80" s="10" t="s">
        <v>106</v>
      </c>
      <c r="C80" s="10" t="str">
        <f t="shared" si="1"/>
        <v>Trachemys_scripta</v>
      </c>
      <c r="D80" s="10" t="b">
        <v>1</v>
      </c>
      <c r="E80" s="19"/>
      <c r="F80" s="19"/>
      <c r="G80" s="19"/>
      <c r="H80" s="19" t="s">
        <v>224</v>
      </c>
      <c r="I80" s="19">
        <v>1950</v>
      </c>
      <c r="J80" s="19"/>
      <c r="K80" s="19"/>
      <c r="L80" s="19">
        <v>10.99</v>
      </c>
      <c r="M80" s="19">
        <v>9.6999999999999993</v>
      </c>
      <c r="O80" s="19">
        <v>108.8</v>
      </c>
    </row>
    <row r="81" spans="1:15" x14ac:dyDescent="0.2">
      <c r="A81" s="10" t="s">
        <v>219</v>
      </c>
      <c r="B81" s="10" t="s">
        <v>335</v>
      </c>
      <c r="C81" s="10" t="str">
        <f t="shared" si="1"/>
        <v>Trachemys_scripta</v>
      </c>
      <c r="D81" s="10" t="b">
        <v>1</v>
      </c>
      <c r="E81" s="19"/>
      <c r="F81" s="19"/>
      <c r="G81" s="19"/>
      <c r="H81" s="19" t="s">
        <v>224</v>
      </c>
      <c r="I81" s="19">
        <v>4000</v>
      </c>
      <c r="J81" s="19"/>
      <c r="K81" s="19"/>
      <c r="L81" s="19">
        <v>20.66</v>
      </c>
      <c r="M81" s="19">
        <v>17.399999999999999</v>
      </c>
      <c r="O81" s="19">
        <v>359.5</v>
      </c>
    </row>
    <row r="82" spans="1:15" x14ac:dyDescent="0.2">
      <c r="A82" s="10" t="s">
        <v>219</v>
      </c>
      <c r="B82" s="10" t="s">
        <v>336</v>
      </c>
      <c r="C82" s="10" t="str">
        <f t="shared" si="1"/>
        <v>Trachemys_scripta</v>
      </c>
      <c r="D82" s="10" t="b">
        <v>1</v>
      </c>
      <c r="E82" s="19"/>
      <c r="F82" s="19"/>
      <c r="G82" s="19"/>
      <c r="H82" s="19" t="s">
        <v>224</v>
      </c>
      <c r="I82" s="19">
        <v>1790</v>
      </c>
      <c r="J82" s="19"/>
      <c r="K82" s="19"/>
      <c r="L82" s="19">
        <v>10.3</v>
      </c>
      <c r="M82" s="19">
        <v>14</v>
      </c>
      <c r="O82" s="19">
        <v>145.55000000000001</v>
      </c>
    </row>
    <row r="83" spans="1:15" x14ac:dyDescent="0.2">
      <c r="A83" s="10" t="s">
        <v>219</v>
      </c>
      <c r="B83" s="10" t="s">
        <v>338</v>
      </c>
      <c r="C83" s="10" t="str">
        <f t="shared" si="1"/>
        <v>Trachemys_scripta</v>
      </c>
      <c r="D83" s="10" t="b">
        <v>1</v>
      </c>
      <c r="E83" s="19"/>
      <c r="F83" s="19"/>
      <c r="G83" s="19"/>
      <c r="H83" s="19" t="s">
        <v>224</v>
      </c>
      <c r="I83" s="19">
        <v>1800</v>
      </c>
      <c r="J83" s="19"/>
      <c r="K83" s="19"/>
      <c r="L83" s="19">
        <v>11.65</v>
      </c>
      <c r="M83" s="19">
        <v>13.2</v>
      </c>
      <c r="O83" s="19">
        <v>147.80000000000001</v>
      </c>
    </row>
    <row r="84" spans="1:15" x14ac:dyDescent="0.2">
      <c r="A84" s="10" t="s">
        <v>219</v>
      </c>
      <c r="B84" s="10" t="s">
        <v>82</v>
      </c>
      <c r="C84" s="10" t="str">
        <f t="shared" si="1"/>
        <v>Pelomedusa_subrufa</v>
      </c>
      <c r="D84" s="10" t="b">
        <v>1</v>
      </c>
      <c r="E84" s="19"/>
      <c r="F84" s="19"/>
      <c r="G84" s="19"/>
      <c r="H84" s="19" t="s">
        <v>224</v>
      </c>
      <c r="I84" s="19">
        <v>2273</v>
      </c>
      <c r="J84" s="19"/>
      <c r="K84" s="19"/>
      <c r="L84" s="19">
        <v>12.38</v>
      </c>
      <c r="M84" s="19">
        <v>36.5</v>
      </c>
      <c r="O84" s="19">
        <v>451.9</v>
      </c>
    </row>
    <row r="85" spans="1:15" x14ac:dyDescent="0.2">
      <c r="A85" s="10" t="s">
        <v>219</v>
      </c>
      <c r="B85" s="10" t="s">
        <v>84</v>
      </c>
      <c r="C85" s="10" t="str">
        <f t="shared" si="1"/>
        <v>Podocnemis_unifilis</v>
      </c>
      <c r="D85" s="10" t="b">
        <v>1</v>
      </c>
      <c r="E85" s="19"/>
      <c r="F85" s="19"/>
      <c r="G85" s="19"/>
      <c r="H85" s="19" t="s">
        <v>223</v>
      </c>
      <c r="I85" s="19">
        <v>6380</v>
      </c>
      <c r="J85" s="19"/>
      <c r="K85" s="19"/>
      <c r="L85" s="19">
        <v>24.4</v>
      </c>
      <c r="M85" s="19">
        <v>27.3</v>
      </c>
      <c r="O85" s="19">
        <v>666.1</v>
      </c>
    </row>
    <row r="86" spans="1:15" x14ac:dyDescent="0.2">
      <c r="A86" s="10" t="s">
        <v>219</v>
      </c>
      <c r="B86" s="10" t="s">
        <v>70</v>
      </c>
      <c r="C86" s="10" t="str">
        <f t="shared" si="1"/>
        <v>Gopherus_agassizii</v>
      </c>
      <c r="D86" s="10" t="b">
        <v>1</v>
      </c>
      <c r="E86" s="19"/>
      <c r="F86" s="19"/>
      <c r="G86" s="19"/>
      <c r="H86" s="19" t="s">
        <v>223</v>
      </c>
      <c r="I86" s="19">
        <v>2290</v>
      </c>
      <c r="J86" s="19"/>
      <c r="K86" s="19"/>
      <c r="L86" s="19">
        <v>38.9</v>
      </c>
      <c r="M86" s="19">
        <v>4.5</v>
      </c>
      <c r="O86" s="19">
        <v>175.2</v>
      </c>
    </row>
    <row r="87" spans="1:15" x14ac:dyDescent="0.2">
      <c r="A87" s="10" t="s">
        <v>219</v>
      </c>
      <c r="B87" s="10" t="s">
        <v>69</v>
      </c>
      <c r="C87" s="10" t="str">
        <f t="shared" si="1"/>
        <v>Gopherus_berlandieri</v>
      </c>
      <c r="D87" s="10" t="b">
        <v>1</v>
      </c>
      <c r="E87" s="19"/>
      <c r="F87" s="19"/>
      <c r="G87" s="19"/>
      <c r="H87" s="19" t="s">
        <v>223</v>
      </c>
      <c r="I87" s="19">
        <v>755</v>
      </c>
      <c r="J87" s="19"/>
      <c r="K87" s="19"/>
      <c r="L87" s="19">
        <v>26.9</v>
      </c>
      <c r="M87" s="19">
        <v>2.6</v>
      </c>
      <c r="O87" s="19">
        <v>69.94</v>
      </c>
    </row>
    <row r="88" spans="1:15" x14ac:dyDescent="0.2">
      <c r="A88" s="10" t="s">
        <v>219</v>
      </c>
      <c r="B88" s="10" t="s">
        <v>68</v>
      </c>
      <c r="C88" s="10" t="str">
        <f t="shared" si="1"/>
        <v>Gopherus_polyphemus</v>
      </c>
      <c r="D88" s="10" t="b">
        <v>1</v>
      </c>
      <c r="E88" s="19"/>
      <c r="F88" s="19"/>
      <c r="G88" s="19"/>
      <c r="H88" s="19" t="s">
        <v>223</v>
      </c>
      <c r="I88" s="19">
        <v>2784</v>
      </c>
      <c r="J88" s="19"/>
      <c r="K88" s="19"/>
      <c r="L88" s="19">
        <v>40.9</v>
      </c>
      <c r="M88" s="19">
        <v>5.2</v>
      </c>
      <c r="O88" s="19">
        <v>212.7</v>
      </c>
    </row>
    <row r="89" spans="1:15" x14ac:dyDescent="0.2">
      <c r="A89" s="10" t="s">
        <v>219</v>
      </c>
      <c r="B89" s="10" t="s">
        <v>52</v>
      </c>
      <c r="C89" s="10" t="str">
        <f t="shared" si="1"/>
        <v>Indotestudo_elongata</v>
      </c>
      <c r="D89" s="10" t="b">
        <v>1</v>
      </c>
      <c r="E89" s="19"/>
      <c r="F89" s="19"/>
      <c r="G89" s="19"/>
      <c r="H89" s="19" t="s">
        <v>223</v>
      </c>
      <c r="I89" s="19">
        <v>2551</v>
      </c>
      <c r="J89" s="19"/>
      <c r="K89" s="19"/>
      <c r="L89" s="19">
        <v>42.8</v>
      </c>
      <c r="M89" s="19">
        <v>4</v>
      </c>
      <c r="O89" s="19">
        <v>171.2</v>
      </c>
    </row>
    <row r="90" spans="1:15" x14ac:dyDescent="0.2">
      <c r="A90" s="10" t="s">
        <v>219</v>
      </c>
      <c r="B90" s="10" t="s">
        <v>392</v>
      </c>
      <c r="C90" s="10" t="str">
        <f t="shared" si="1"/>
        <v>Indotestudo_forstenii</v>
      </c>
      <c r="D90" s="10" t="b">
        <v>1</v>
      </c>
      <c r="E90" s="19"/>
      <c r="F90" s="19"/>
      <c r="G90" s="19"/>
      <c r="H90" s="19" t="s">
        <v>223</v>
      </c>
      <c r="I90" s="19">
        <v>1680</v>
      </c>
      <c r="J90" s="19"/>
      <c r="K90" s="19"/>
      <c r="L90" s="19">
        <v>15.7</v>
      </c>
      <c r="M90" s="19">
        <v>3</v>
      </c>
      <c r="O90" s="19">
        <v>47.1</v>
      </c>
    </row>
    <row r="91" spans="1:15" x14ac:dyDescent="0.2">
      <c r="A91" s="10" t="s">
        <v>219</v>
      </c>
      <c r="B91" s="10" t="s">
        <v>393</v>
      </c>
      <c r="C91" s="10" t="str">
        <f t="shared" si="1"/>
        <v>Indotestudo_forstenii</v>
      </c>
      <c r="D91" s="10" t="b">
        <v>1</v>
      </c>
      <c r="E91" s="19"/>
      <c r="F91" s="19"/>
      <c r="G91" s="19"/>
      <c r="H91" s="19" t="s">
        <v>223</v>
      </c>
      <c r="I91" s="19">
        <v>2900</v>
      </c>
      <c r="J91" s="19"/>
      <c r="K91" s="19"/>
      <c r="L91" s="19">
        <v>65</v>
      </c>
      <c r="M91" s="19">
        <v>1.55</v>
      </c>
      <c r="O91" s="19">
        <v>100.69</v>
      </c>
    </row>
    <row r="92" spans="1:15" x14ac:dyDescent="0.2">
      <c r="A92" s="10" t="s">
        <v>219</v>
      </c>
      <c r="B92" s="10" t="s">
        <v>59</v>
      </c>
      <c r="C92" s="10" t="str">
        <f t="shared" si="1"/>
        <v>Kinixys_belliana</v>
      </c>
      <c r="D92" s="10" t="b">
        <v>1</v>
      </c>
      <c r="E92" s="19"/>
      <c r="F92" s="19"/>
      <c r="G92" s="19"/>
      <c r="H92" s="19" t="s">
        <v>225</v>
      </c>
      <c r="I92" s="19">
        <v>1202</v>
      </c>
      <c r="J92" s="19"/>
      <c r="K92" s="19"/>
      <c r="L92" s="19">
        <v>36.08</v>
      </c>
      <c r="M92" s="19">
        <v>2.2999999999999998</v>
      </c>
      <c r="O92" s="19">
        <v>82.98</v>
      </c>
    </row>
    <row r="93" spans="1:15" x14ac:dyDescent="0.2">
      <c r="A93" s="10" t="s">
        <v>219</v>
      </c>
      <c r="B93" s="10" t="s">
        <v>56</v>
      </c>
      <c r="C93" s="10" t="str">
        <f t="shared" si="1"/>
        <v>Testudo_graeca</v>
      </c>
      <c r="D93" s="10" t="b">
        <v>1</v>
      </c>
      <c r="E93" s="19"/>
      <c r="F93" s="19"/>
      <c r="G93" s="19"/>
      <c r="H93" s="19" t="s">
        <v>223</v>
      </c>
      <c r="I93" s="19">
        <v>1430</v>
      </c>
      <c r="J93" s="19"/>
      <c r="K93" s="19"/>
      <c r="L93" s="19">
        <v>17.5</v>
      </c>
      <c r="M93" s="19">
        <v>4.5</v>
      </c>
      <c r="O93" s="19">
        <v>82</v>
      </c>
    </row>
    <row r="94" spans="1:15" x14ac:dyDescent="0.2">
      <c r="A94" s="10" t="s">
        <v>219</v>
      </c>
      <c r="B94" s="10" t="s">
        <v>54</v>
      </c>
      <c r="C94" s="10" t="str">
        <f t="shared" si="1"/>
        <v>Testudo_marginata</v>
      </c>
      <c r="D94" s="10" t="b">
        <v>1</v>
      </c>
      <c r="E94" s="19"/>
      <c r="F94" s="19"/>
      <c r="G94" s="19"/>
      <c r="H94" s="19" t="s">
        <v>223</v>
      </c>
      <c r="I94" s="19">
        <v>2080</v>
      </c>
      <c r="J94" s="19"/>
      <c r="K94" s="19"/>
      <c r="L94" s="19">
        <v>17.3</v>
      </c>
      <c r="M94" s="19">
        <v>5.6</v>
      </c>
      <c r="O94" s="19">
        <v>97</v>
      </c>
    </row>
    <row r="95" spans="1:15" x14ac:dyDescent="0.2">
      <c r="A95" s="10" t="s">
        <v>219</v>
      </c>
      <c r="B95" s="10" t="s">
        <v>397</v>
      </c>
      <c r="C95" s="10" t="str">
        <f t="shared" si="1"/>
        <v>Apalone_ferox</v>
      </c>
      <c r="D95" s="10" t="b">
        <v>1</v>
      </c>
      <c r="E95" s="19"/>
      <c r="F95" s="19"/>
      <c r="G95" s="19"/>
      <c r="H95" s="19" t="s">
        <v>224</v>
      </c>
      <c r="I95" s="19">
        <v>3326</v>
      </c>
      <c r="J95" s="19"/>
      <c r="K95" s="19"/>
      <c r="L95" s="19">
        <v>12.08</v>
      </c>
      <c r="M95" s="19">
        <v>16.14</v>
      </c>
      <c r="O95" s="19">
        <v>194.9</v>
      </c>
    </row>
    <row r="96" spans="1:15" x14ac:dyDescent="0.2">
      <c r="A96" s="10" t="s">
        <v>219</v>
      </c>
      <c r="B96" s="10" t="s">
        <v>398</v>
      </c>
      <c r="C96" s="10" t="str">
        <f t="shared" si="1"/>
        <v>Apalone_ferox</v>
      </c>
      <c r="D96" s="10" t="b">
        <v>1</v>
      </c>
      <c r="E96" s="19"/>
      <c r="F96" s="19"/>
      <c r="G96" s="19"/>
      <c r="H96" s="19" t="s">
        <v>224</v>
      </c>
      <c r="I96" s="19">
        <v>6630</v>
      </c>
      <c r="J96" s="19"/>
      <c r="K96" s="19"/>
      <c r="L96" s="19">
        <v>12.3</v>
      </c>
      <c r="M96" s="19">
        <v>20.6</v>
      </c>
      <c r="O96" s="19">
        <v>290.3</v>
      </c>
    </row>
    <row r="97" spans="1:15" x14ac:dyDescent="0.2">
      <c r="A97" s="10" t="s">
        <v>219</v>
      </c>
      <c r="B97" s="10" t="s">
        <v>401</v>
      </c>
      <c r="C97" s="10" t="str">
        <f t="shared" si="1"/>
        <v>Apalone_spinifera</v>
      </c>
      <c r="D97" s="10" t="b">
        <v>1</v>
      </c>
      <c r="E97" s="19"/>
      <c r="F97" s="19"/>
      <c r="G97" s="19"/>
      <c r="H97" s="19" t="s">
        <v>224</v>
      </c>
      <c r="I97" s="19">
        <v>4765</v>
      </c>
      <c r="J97" s="19"/>
      <c r="K97" s="19"/>
      <c r="L97" s="19">
        <v>9.32</v>
      </c>
      <c r="M97" s="19">
        <v>31.5</v>
      </c>
      <c r="O97" s="19">
        <v>293.60000000000002</v>
      </c>
    </row>
    <row r="98" spans="1:15" x14ac:dyDescent="0.2">
      <c r="A98" s="10" t="s">
        <v>219</v>
      </c>
      <c r="B98" s="10" t="s">
        <v>402</v>
      </c>
      <c r="C98" s="10" t="str">
        <f t="shared" si="1"/>
        <v>Apalone_spinifera</v>
      </c>
      <c r="D98" s="10" t="b">
        <v>1</v>
      </c>
      <c r="E98" s="19"/>
      <c r="F98" s="19"/>
      <c r="G98" s="19"/>
      <c r="H98" s="19" t="s">
        <v>224</v>
      </c>
      <c r="I98" s="19">
        <v>2555.6999999999998</v>
      </c>
      <c r="J98" s="19"/>
      <c r="K98" s="19"/>
      <c r="L98" s="19">
        <v>9.3800000000000008</v>
      </c>
      <c r="M98" s="19">
        <v>16.2</v>
      </c>
      <c r="O98" s="19">
        <v>151.96</v>
      </c>
    </row>
    <row r="99" spans="1:15" x14ac:dyDescent="0.2">
      <c r="A99" s="10" t="s">
        <v>219</v>
      </c>
      <c r="B99" s="10" t="s">
        <v>81</v>
      </c>
      <c r="C99" s="10" t="str">
        <f t="shared" si="1"/>
        <v>Pelodiscus_sinensis</v>
      </c>
      <c r="D99" s="10" t="b">
        <v>1</v>
      </c>
      <c r="E99" s="19"/>
      <c r="F99" s="19"/>
      <c r="G99" s="19"/>
      <c r="H99" s="19" t="s">
        <v>224</v>
      </c>
      <c r="I99" s="19">
        <v>2327.5</v>
      </c>
      <c r="J99" s="19"/>
      <c r="K99" s="19"/>
      <c r="L99" s="19">
        <v>5.4</v>
      </c>
      <c r="M99" s="19">
        <v>14.5</v>
      </c>
      <c r="O99" s="19">
        <v>78.33</v>
      </c>
    </row>
    <row r="100" spans="1:15" x14ac:dyDescent="0.2">
      <c r="A100" s="10" t="s">
        <v>188</v>
      </c>
      <c r="B100" s="15" t="s">
        <v>67</v>
      </c>
      <c r="C100" s="10" t="str">
        <f t="shared" si="1"/>
        <v>Aldabrachelys_gigantea</v>
      </c>
      <c r="D100" s="10" t="b">
        <v>1</v>
      </c>
      <c r="E100" s="21">
        <v>17</v>
      </c>
      <c r="F100" s="21">
        <v>152</v>
      </c>
      <c r="G100" s="19"/>
      <c r="H100" s="19"/>
      <c r="I100" s="21">
        <v>46700</v>
      </c>
      <c r="J100" s="21"/>
      <c r="K100" s="21">
        <v>45</v>
      </c>
      <c r="M100" s="21">
        <v>14</v>
      </c>
      <c r="N100" s="21">
        <v>2.1</v>
      </c>
    </row>
    <row r="101" spans="1:15" x14ac:dyDescent="0.2">
      <c r="A101" s="10" t="s">
        <v>188</v>
      </c>
      <c r="B101" s="10" t="s">
        <v>80</v>
      </c>
      <c r="C101" s="10" t="str">
        <f t="shared" si="1"/>
        <v>Apalone_ferox</v>
      </c>
      <c r="D101" s="10" t="b">
        <v>1</v>
      </c>
      <c r="E101" s="21">
        <v>9</v>
      </c>
      <c r="F101" s="21">
        <v>37</v>
      </c>
      <c r="G101" s="19"/>
      <c r="I101" s="21"/>
      <c r="J101" s="21"/>
      <c r="K101" s="21">
        <v>4.5199999999999996</v>
      </c>
      <c r="M101" s="21">
        <v>22.5</v>
      </c>
      <c r="N101" s="21">
        <v>4</v>
      </c>
    </row>
    <row r="102" spans="1:15" x14ac:dyDescent="0.2">
      <c r="A102" s="10" t="s">
        <v>188</v>
      </c>
      <c r="B102" s="10" t="s">
        <v>79</v>
      </c>
      <c r="C102" s="10" t="str">
        <f t="shared" si="1"/>
        <v>Apalone_spinifera</v>
      </c>
      <c r="D102" s="10" t="b">
        <v>1</v>
      </c>
      <c r="E102" s="21">
        <v>6.25</v>
      </c>
      <c r="F102" s="21">
        <v>49.999999959999997</v>
      </c>
      <c r="G102" s="19"/>
      <c r="I102" s="21"/>
      <c r="J102" s="21"/>
      <c r="K102" s="21"/>
      <c r="M102" s="21">
        <v>19.5</v>
      </c>
      <c r="N102" s="21">
        <v>2</v>
      </c>
    </row>
    <row r="103" spans="1:15" x14ac:dyDescent="0.2">
      <c r="A103" s="10" t="s">
        <v>188</v>
      </c>
      <c r="B103" s="10" t="s">
        <v>48</v>
      </c>
      <c r="C103" s="10" t="str">
        <f t="shared" si="1"/>
        <v>Batagur_borneoensis</v>
      </c>
      <c r="D103" s="10" t="b">
        <v>1</v>
      </c>
      <c r="E103" s="21"/>
      <c r="F103" s="21"/>
      <c r="G103" s="19"/>
      <c r="I103" s="21">
        <v>16900</v>
      </c>
      <c r="J103" s="21"/>
      <c r="K103" s="21">
        <v>35.200000000000003</v>
      </c>
      <c r="M103" s="21">
        <v>11.4</v>
      </c>
      <c r="N103" s="21">
        <v>1</v>
      </c>
    </row>
    <row r="104" spans="1:15" x14ac:dyDescent="0.2">
      <c r="A104" s="10" t="s">
        <v>188</v>
      </c>
      <c r="B104" s="10" t="s">
        <v>86</v>
      </c>
      <c r="C104" s="10" t="str">
        <f t="shared" si="1"/>
        <v>Chelodina_longicollis</v>
      </c>
      <c r="D104" s="10" t="b">
        <v>1</v>
      </c>
      <c r="E104" s="21">
        <v>9</v>
      </c>
      <c r="F104" s="21">
        <v>37</v>
      </c>
      <c r="G104" s="19"/>
      <c r="I104" s="21">
        <v>1293</v>
      </c>
      <c r="J104" s="21"/>
      <c r="K104" s="21">
        <v>3.7</v>
      </c>
      <c r="M104" s="21">
        <v>13.9</v>
      </c>
      <c r="N104" s="21">
        <v>1.5</v>
      </c>
    </row>
    <row r="105" spans="1:15" x14ac:dyDescent="0.2">
      <c r="A105" s="10" t="s">
        <v>188</v>
      </c>
      <c r="B105" s="10" t="s">
        <v>85</v>
      </c>
      <c r="C105" s="10" t="str">
        <f t="shared" si="1"/>
        <v>Chelodina_mccordi</v>
      </c>
      <c r="D105" s="10" t="b">
        <v>1</v>
      </c>
      <c r="E105" s="21"/>
      <c r="F105" s="21"/>
      <c r="G105" s="19"/>
      <c r="I105" s="21"/>
      <c r="J105" s="21"/>
      <c r="K105" s="21"/>
      <c r="M105" s="21"/>
      <c r="N105" s="21"/>
    </row>
    <row r="106" spans="1:15" x14ac:dyDescent="0.2">
      <c r="A106" s="10" t="s">
        <v>188</v>
      </c>
      <c r="B106" s="10" t="s">
        <v>62</v>
      </c>
      <c r="C106" s="10" t="str">
        <f t="shared" si="1"/>
        <v>Chelonoidis_chilensis</v>
      </c>
      <c r="D106" s="10" t="b">
        <v>1</v>
      </c>
      <c r="E106" s="21"/>
      <c r="F106" s="21">
        <v>19.8</v>
      </c>
      <c r="G106" s="19"/>
      <c r="I106" s="21"/>
      <c r="J106" s="21"/>
      <c r="K106" s="21"/>
      <c r="M106" s="21"/>
      <c r="N106" s="21"/>
    </row>
    <row r="107" spans="1:15" x14ac:dyDescent="0.2">
      <c r="A107" s="10" t="s">
        <v>188</v>
      </c>
      <c r="B107" s="10" t="s">
        <v>61</v>
      </c>
      <c r="C107" s="10" t="str">
        <f t="shared" si="1"/>
        <v>Chelonoidis_niger</v>
      </c>
      <c r="D107" s="10" t="b">
        <v>1</v>
      </c>
      <c r="E107" s="21"/>
      <c r="F107" s="21"/>
      <c r="G107" s="19"/>
      <c r="I107" s="21"/>
      <c r="J107" s="21"/>
      <c r="K107" s="21"/>
      <c r="M107" s="21"/>
      <c r="N107" s="21"/>
    </row>
    <row r="108" spans="1:15" x14ac:dyDescent="0.2">
      <c r="A108" s="10" t="s">
        <v>188</v>
      </c>
      <c r="B108" s="10" t="s">
        <v>87</v>
      </c>
      <c r="C108" s="10" t="str">
        <f t="shared" si="1"/>
        <v>Chelus_fimbriatus</v>
      </c>
      <c r="D108" s="10" t="b">
        <v>1</v>
      </c>
      <c r="E108" s="21"/>
      <c r="F108" s="21">
        <v>35.799999999999997</v>
      </c>
      <c r="G108" s="19"/>
      <c r="I108" s="21"/>
      <c r="J108" s="21"/>
      <c r="K108" s="21"/>
      <c r="M108" s="21">
        <v>20</v>
      </c>
      <c r="N108" s="21">
        <v>1</v>
      </c>
    </row>
    <row r="109" spans="1:15" x14ac:dyDescent="0.2">
      <c r="A109" s="10" t="s">
        <v>188</v>
      </c>
      <c r="B109" s="10" t="s">
        <v>115</v>
      </c>
      <c r="C109" s="10" t="str">
        <f t="shared" si="1"/>
        <v>Chelydra_serpentina</v>
      </c>
      <c r="D109" s="10" t="b">
        <v>1</v>
      </c>
      <c r="E109" s="21">
        <v>10.875</v>
      </c>
      <c r="F109" s="21">
        <v>47.000000010000001</v>
      </c>
      <c r="G109" s="19"/>
      <c r="I109" s="21">
        <v>5170</v>
      </c>
      <c r="J109" s="21"/>
      <c r="K109" s="21">
        <v>7.7</v>
      </c>
      <c r="M109" s="21">
        <v>31.333333329999999</v>
      </c>
      <c r="N109" s="21">
        <v>0.85</v>
      </c>
    </row>
    <row r="110" spans="1:15" x14ac:dyDescent="0.2">
      <c r="A110" s="10" t="s">
        <v>188</v>
      </c>
      <c r="B110" s="10" t="s">
        <v>64</v>
      </c>
      <c r="C110" s="10" t="str">
        <f t="shared" si="1"/>
        <v>Chersina_angulata</v>
      </c>
      <c r="D110" s="10" t="b">
        <v>1</v>
      </c>
      <c r="E110" s="21">
        <v>7</v>
      </c>
      <c r="F110" s="21">
        <v>11.8</v>
      </c>
      <c r="G110" s="19"/>
      <c r="I110" s="21">
        <v>600</v>
      </c>
      <c r="J110" s="21"/>
      <c r="K110" s="21">
        <v>13.75</v>
      </c>
      <c r="M110" s="21">
        <v>1</v>
      </c>
      <c r="N110" s="21">
        <v>5</v>
      </c>
    </row>
    <row r="111" spans="1:15" x14ac:dyDescent="0.2">
      <c r="A111" s="10" t="s">
        <v>188</v>
      </c>
      <c r="B111" s="10" t="s">
        <v>114</v>
      </c>
      <c r="C111" s="10" t="str">
        <f t="shared" si="1"/>
        <v>Chrysemys_picta</v>
      </c>
      <c r="D111" s="10" t="b">
        <v>1</v>
      </c>
      <c r="E111" s="21">
        <v>6.6960616440000003</v>
      </c>
      <c r="F111" s="21">
        <v>61</v>
      </c>
      <c r="G111" s="19"/>
      <c r="I111" s="21">
        <v>361</v>
      </c>
      <c r="J111" s="21"/>
      <c r="K111" s="21">
        <v>2.5</v>
      </c>
      <c r="M111" s="21">
        <v>10</v>
      </c>
      <c r="N111" s="21">
        <v>2.193333333</v>
      </c>
    </row>
    <row r="112" spans="1:15" x14ac:dyDescent="0.2">
      <c r="A112" s="10" t="s">
        <v>188</v>
      </c>
      <c r="B112" s="10" t="s">
        <v>73</v>
      </c>
      <c r="C112" s="10" t="str">
        <f t="shared" si="1"/>
        <v>Clemmys_guttata</v>
      </c>
      <c r="D112" s="10" t="b">
        <v>1</v>
      </c>
      <c r="E112" s="21">
        <v>7</v>
      </c>
      <c r="F112" s="21">
        <v>30</v>
      </c>
      <c r="G112" s="19"/>
      <c r="I112" s="21">
        <v>165</v>
      </c>
      <c r="J112" s="21"/>
      <c r="K112" s="21"/>
      <c r="M112" s="21">
        <v>5.8666666669999996</v>
      </c>
      <c r="N112" s="21">
        <v>1</v>
      </c>
    </row>
    <row r="113" spans="1:14" x14ac:dyDescent="0.2">
      <c r="A113" s="10" t="s">
        <v>188</v>
      </c>
      <c r="B113" s="10" t="s">
        <v>45</v>
      </c>
      <c r="C113" s="10" t="str">
        <f t="shared" si="1"/>
        <v>Cuora_amboinensis</v>
      </c>
      <c r="D113" s="10" t="b">
        <v>1</v>
      </c>
      <c r="E113" s="21"/>
      <c r="F113" s="21">
        <v>38.200000000000003</v>
      </c>
      <c r="G113" s="19"/>
      <c r="I113" s="21"/>
      <c r="J113" s="21"/>
      <c r="K113" s="21"/>
      <c r="M113" s="21"/>
      <c r="N113" s="21"/>
    </row>
    <row r="114" spans="1:14" x14ac:dyDescent="0.2">
      <c r="A114" s="10" t="s">
        <v>188</v>
      </c>
      <c r="B114" s="10" t="s">
        <v>43</v>
      </c>
      <c r="C114" s="10" t="str">
        <f t="shared" si="1"/>
        <v>Cuora_galbinifrons</v>
      </c>
      <c r="D114" s="10" t="b">
        <v>1</v>
      </c>
      <c r="E114" s="21"/>
      <c r="F114" s="21"/>
      <c r="G114" s="19"/>
      <c r="I114" s="21"/>
      <c r="J114" s="21"/>
      <c r="K114" s="21"/>
      <c r="M114" s="21"/>
      <c r="N114" s="21"/>
    </row>
    <row r="115" spans="1:14" x14ac:dyDescent="0.2">
      <c r="A115" s="10" t="s">
        <v>188</v>
      </c>
      <c r="B115" s="10" t="s">
        <v>44</v>
      </c>
      <c r="C115" s="10" t="str">
        <f t="shared" si="1"/>
        <v>Cuora_trifasciata</v>
      </c>
      <c r="D115" s="10" t="b">
        <v>1</v>
      </c>
      <c r="E115" s="21"/>
      <c r="F115" s="21">
        <v>31.8</v>
      </c>
      <c r="G115" s="19"/>
      <c r="I115" s="21"/>
      <c r="J115" s="21"/>
      <c r="K115" s="21"/>
      <c r="M115" s="21">
        <v>4</v>
      </c>
      <c r="N115" s="21">
        <v>1</v>
      </c>
    </row>
    <row r="116" spans="1:14" x14ac:dyDescent="0.2">
      <c r="A116" s="10" t="s">
        <v>188</v>
      </c>
      <c r="B116" s="11" t="s">
        <v>89</v>
      </c>
      <c r="C116" s="10" t="str">
        <f t="shared" si="1"/>
        <v>Emydoidea_blandingii</v>
      </c>
      <c r="D116" s="10" t="b">
        <v>1</v>
      </c>
      <c r="E116" s="21">
        <v>14.26940639</v>
      </c>
      <c r="F116" s="21">
        <v>77</v>
      </c>
      <c r="G116" s="19"/>
      <c r="I116" s="21">
        <v>1150</v>
      </c>
      <c r="J116" s="21"/>
      <c r="K116" s="21">
        <v>6.1</v>
      </c>
      <c r="M116" s="21">
        <v>11.733333330000001</v>
      </c>
      <c r="N116" s="21">
        <v>1</v>
      </c>
    </row>
    <row r="117" spans="1:14" x14ac:dyDescent="0.2">
      <c r="A117" s="10" t="s">
        <v>188</v>
      </c>
      <c r="B117" s="11" t="s">
        <v>91</v>
      </c>
      <c r="C117" s="10" t="str">
        <f t="shared" si="1"/>
        <v>Emys_orbicularis</v>
      </c>
      <c r="D117" s="10" t="b">
        <v>1</v>
      </c>
      <c r="E117" s="21">
        <v>13.5</v>
      </c>
      <c r="F117" s="21">
        <v>120</v>
      </c>
      <c r="G117" s="19"/>
      <c r="I117" s="21">
        <v>1096.478196</v>
      </c>
      <c r="J117" s="21"/>
      <c r="K117" s="21"/>
      <c r="M117" s="21">
        <v>9.33</v>
      </c>
      <c r="N117" s="21">
        <v>2</v>
      </c>
    </row>
    <row r="118" spans="1:14" x14ac:dyDescent="0.2">
      <c r="A118" s="10" t="s">
        <v>188</v>
      </c>
      <c r="B118" s="10" t="s">
        <v>60</v>
      </c>
      <c r="C118" s="10" t="str">
        <f t="shared" si="1"/>
        <v>Geochelone_elegans</v>
      </c>
      <c r="D118" s="10" t="b">
        <v>1</v>
      </c>
      <c r="E118" s="21"/>
      <c r="F118" s="21">
        <v>24.3</v>
      </c>
      <c r="G118" s="19"/>
      <c r="I118" s="21"/>
      <c r="J118" s="21"/>
      <c r="K118" s="21"/>
      <c r="M118" s="21">
        <v>5.87</v>
      </c>
      <c r="N118" s="21">
        <v>1.85</v>
      </c>
    </row>
    <row r="119" spans="1:14" x14ac:dyDescent="0.2">
      <c r="A119" s="10" t="s">
        <v>188</v>
      </c>
      <c r="B119" s="10" t="s">
        <v>47</v>
      </c>
      <c r="C119" s="10" t="str">
        <f t="shared" si="1"/>
        <v>Geoclemys_hamiltonii</v>
      </c>
      <c r="D119" s="10" t="b">
        <v>1</v>
      </c>
      <c r="E119" s="21"/>
      <c r="F119" s="21">
        <v>19.2</v>
      </c>
      <c r="G119" s="19"/>
      <c r="I119" s="21"/>
      <c r="J119" s="21"/>
      <c r="K119" s="21"/>
      <c r="M119" s="21"/>
      <c r="N119" s="21"/>
    </row>
    <row r="120" spans="1:14" x14ac:dyDescent="0.2">
      <c r="A120" s="10" t="s">
        <v>188</v>
      </c>
      <c r="B120" s="10" t="s">
        <v>50</v>
      </c>
      <c r="C120" s="10" t="str">
        <f t="shared" si="1"/>
        <v>Geoemyda_spengleri</v>
      </c>
      <c r="D120" s="10" t="b">
        <v>1</v>
      </c>
      <c r="E120" s="21"/>
      <c r="F120" s="21"/>
      <c r="G120" s="19"/>
      <c r="I120" s="21"/>
      <c r="J120" s="21"/>
      <c r="K120" s="21"/>
      <c r="M120" s="21"/>
      <c r="N120" s="21"/>
    </row>
    <row r="121" spans="1:14" x14ac:dyDescent="0.2">
      <c r="A121" s="10" t="s">
        <v>188</v>
      </c>
      <c r="B121" s="10" t="s">
        <v>71</v>
      </c>
      <c r="C121" s="10" t="str">
        <f t="shared" si="1"/>
        <v>Glyptemys_insculpta</v>
      </c>
      <c r="D121" s="10" t="b">
        <v>1</v>
      </c>
      <c r="E121" s="21">
        <v>16</v>
      </c>
      <c r="F121" s="21">
        <v>60</v>
      </c>
      <c r="G121" s="19"/>
      <c r="I121" s="21"/>
      <c r="J121" s="21"/>
      <c r="K121" s="21"/>
      <c r="M121" s="21">
        <v>10.5</v>
      </c>
      <c r="N121" s="21">
        <v>1.5</v>
      </c>
    </row>
    <row r="122" spans="1:14" x14ac:dyDescent="0.2">
      <c r="A122" s="10" t="s">
        <v>188</v>
      </c>
      <c r="B122" s="10" t="s">
        <v>72</v>
      </c>
      <c r="C122" s="10" t="str">
        <f t="shared" si="1"/>
        <v>Glyptemys_muhlenbergii</v>
      </c>
      <c r="D122" s="10" t="b">
        <v>1</v>
      </c>
      <c r="E122" s="21">
        <v>7.9452054790000002</v>
      </c>
      <c r="F122" s="21">
        <v>40</v>
      </c>
      <c r="G122" s="19"/>
      <c r="I122" s="21"/>
      <c r="J122" s="21"/>
      <c r="K122" s="21"/>
      <c r="M122" s="21">
        <v>3</v>
      </c>
      <c r="N122" s="21">
        <v>1.25</v>
      </c>
    </row>
    <row r="123" spans="1:14" x14ac:dyDescent="0.2">
      <c r="A123" s="10" t="s">
        <v>188</v>
      </c>
      <c r="B123" s="10" t="s">
        <v>70</v>
      </c>
      <c r="C123" s="10" t="str">
        <f t="shared" si="1"/>
        <v>Gopherus_agassizii</v>
      </c>
      <c r="D123" s="10" t="b">
        <v>1</v>
      </c>
      <c r="E123" s="21">
        <v>16.784246580000001</v>
      </c>
      <c r="F123" s="21">
        <v>62.8</v>
      </c>
      <c r="G123" s="19"/>
      <c r="I123" s="21">
        <v>2290</v>
      </c>
      <c r="J123" s="21"/>
      <c r="K123" s="21">
        <v>18.75</v>
      </c>
      <c r="M123" s="21">
        <v>6.25</v>
      </c>
      <c r="N123" s="21">
        <v>1.55</v>
      </c>
    </row>
    <row r="124" spans="1:14" x14ac:dyDescent="0.2">
      <c r="A124" s="10" t="s">
        <v>188</v>
      </c>
      <c r="B124" s="10" t="s">
        <v>69</v>
      </c>
      <c r="C124" s="10" t="str">
        <f t="shared" si="1"/>
        <v>Gopherus_berlandieri</v>
      </c>
      <c r="D124" s="10" t="b">
        <v>1</v>
      </c>
      <c r="E124" s="21">
        <v>4</v>
      </c>
      <c r="F124" s="21">
        <v>30.7</v>
      </c>
      <c r="G124" s="19"/>
      <c r="I124" s="21"/>
      <c r="J124" s="21"/>
      <c r="K124" s="21">
        <v>21.1</v>
      </c>
      <c r="M124" s="21">
        <v>1.5</v>
      </c>
      <c r="N124" s="21">
        <v>1.67</v>
      </c>
    </row>
    <row r="125" spans="1:14" x14ac:dyDescent="0.2">
      <c r="A125" s="10" t="s">
        <v>188</v>
      </c>
      <c r="B125" s="10" t="s">
        <v>68</v>
      </c>
      <c r="C125" s="10" t="str">
        <f t="shared" si="1"/>
        <v>Gopherus_polyphemus</v>
      </c>
      <c r="D125" s="10" t="b">
        <v>1</v>
      </c>
      <c r="E125" s="21">
        <v>11</v>
      </c>
      <c r="F125" s="21">
        <v>71</v>
      </c>
      <c r="G125" s="19"/>
      <c r="I125" s="21">
        <v>2778</v>
      </c>
      <c r="J125" s="21"/>
      <c r="K125" s="21">
        <v>8.75</v>
      </c>
      <c r="M125" s="21">
        <v>6</v>
      </c>
      <c r="N125" s="21">
        <v>1.9</v>
      </c>
    </row>
    <row r="126" spans="1:14" x14ac:dyDescent="0.2">
      <c r="A126" s="10" t="s">
        <v>188</v>
      </c>
      <c r="B126" s="10" t="s">
        <v>113</v>
      </c>
      <c r="C126" s="10" t="str">
        <f t="shared" si="1"/>
        <v>Graptemys_flavimaculata</v>
      </c>
      <c r="D126" s="10" t="b">
        <v>1</v>
      </c>
      <c r="E126" s="21">
        <v>13</v>
      </c>
      <c r="F126" s="21">
        <v>14.499999989999999</v>
      </c>
      <c r="G126" s="19"/>
      <c r="I126" s="21"/>
      <c r="J126" s="21"/>
      <c r="K126" s="21"/>
      <c r="M126" s="21">
        <v>6</v>
      </c>
      <c r="N126" s="21">
        <v>3</v>
      </c>
    </row>
    <row r="127" spans="1:14" x14ac:dyDescent="0.2">
      <c r="A127" s="10" t="s">
        <v>188</v>
      </c>
      <c r="B127" s="11" t="s">
        <v>98</v>
      </c>
      <c r="C127" s="10" t="str">
        <f t="shared" si="1"/>
        <v>Graptemys_geographica</v>
      </c>
      <c r="D127" s="10" t="b">
        <v>1</v>
      </c>
      <c r="E127" s="21">
        <v>14</v>
      </c>
      <c r="F127" s="21">
        <v>20</v>
      </c>
      <c r="G127" s="19"/>
      <c r="I127" s="21">
        <v>1585</v>
      </c>
      <c r="J127" s="21"/>
      <c r="K127" s="21">
        <v>5.41</v>
      </c>
      <c r="M127" s="21">
        <v>14.5</v>
      </c>
      <c r="N127" s="21">
        <v>2.056666667</v>
      </c>
    </row>
    <row r="128" spans="1:14" x14ac:dyDescent="0.2">
      <c r="A128" s="10" t="s">
        <v>188</v>
      </c>
      <c r="B128" s="10" t="s">
        <v>75</v>
      </c>
      <c r="C128" s="10" t="str">
        <f t="shared" si="1"/>
        <v>Graptemys_pseudogeographica</v>
      </c>
      <c r="D128" s="10" t="b">
        <v>1</v>
      </c>
      <c r="E128" s="21">
        <v>9</v>
      </c>
      <c r="F128" s="21">
        <v>33.000000010000001</v>
      </c>
      <c r="G128" s="19"/>
      <c r="I128" s="21">
        <v>1477</v>
      </c>
      <c r="J128" s="21"/>
      <c r="K128" s="21">
        <v>4.8899999999999997</v>
      </c>
      <c r="M128" s="21">
        <v>14.7</v>
      </c>
      <c r="N128" s="21">
        <v>2.39</v>
      </c>
    </row>
    <row r="129" spans="1:14" x14ac:dyDescent="0.2">
      <c r="A129" s="10" t="s">
        <v>188</v>
      </c>
      <c r="B129" s="10" t="s">
        <v>46</v>
      </c>
      <c r="C129" s="10" t="str">
        <f t="shared" si="1"/>
        <v>Heosemys_grandis</v>
      </c>
      <c r="D129" s="10" t="b">
        <v>1</v>
      </c>
      <c r="E129" s="21"/>
      <c r="F129" s="21">
        <v>29.6</v>
      </c>
      <c r="G129" s="19"/>
      <c r="I129" s="21"/>
      <c r="J129" s="21"/>
      <c r="K129" s="21"/>
      <c r="M129" s="21"/>
      <c r="N129" s="21"/>
    </row>
    <row r="130" spans="1:14" x14ac:dyDescent="0.2">
      <c r="A130" s="10" t="s">
        <v>188</v>
      </c>
      <c r="B130" s="11" t="s">
        <v>99</v>
      </c>
      <c r="C130" s="10" t="str">
        <f t="shared" si="1"/>
        <v>Hydromedusa_maximiliani</v>
      </c>
      <c r="D130" s="10" t="b">
        <v>1</v>
      </c>
      <c r="E130" s="21"/>
      <c r="F130" s="21">
        <v>11.8</v>
      </c>
      <c r="G130" s="19"/>
      <c r="I130" s="21"/>
      <c r="J130" s="21"/>
      <c r="K130" s="21"/>
      <c r="M130" s="21"/>
      <c r="N130" s="21"/>
    </row>
    <row r="131" spans="1:14" x14ac:dyDescent="0.2">
      <c r="A131" s="10" t="s">
        <v>188</v>
      </c>
      <c r="B131" s="10" t="s">
        <v>52</v>
      </c>
      <c r="C131" s="10" t="str">
        <f t="shared" ref="C131:C168" si="2">LEFT(B131, LEN(B131) - IF(ISNUMBER(RIGHT(B131, 1) * 1), 1, 0))</f>
        <v>Indotestudo_elongata</v>
      </c>
      <c r="D131" s="10" t="b">
        <v>1</v>
      </c>
      <c r="E131" s="21"/>
      <c r="F131" s="21">
        <v>11.8</v>
      </c>
      <c r="G131" s="19"/>
      <c r="I131" s="21"/>
      <c r="J131" s="21"/>
      <c r="K131" s="21"/>
      <c r="M131" s="21"/>
      <c r="N131" s="21"/>
    </row>
    <row r="132" spans="1:14" x14ac:dyDescent="0.2">
      <c r="A132" s="10" t="s">
        <v>188</v>
      </c>
      <c r="B132" s="10" t="s">
        <v>51</v>
      </c>
      <c r="C132" s="10" t="str">
        <f t="shared" si="2"/>
        <v>Indotestudo_forstenii</v>
      </c>
      <c r="D132" s="10" t="b">
        <v>1</v>
      </c>
      <c r="E132" s="21"/>
      <c r="F132" s="21">
        <v>32.9</v>
      </c>
      <c r="G132" s="19"/>
      <c r="I132" s="21"/>
      <c r="J132" s="21"/>
      <c r="K132" s="21"/>
      <c r="M132" s="21"/>
      <c r="N132" s="21"/>
    </row>
    <row r="133" spans="1:14" x14ac:dyDescent="0.2">
      <c r="A133" s="10" t="s">
        <v>188</v>
      </c>
      <c r="B133" s="10" t="s">
        <v>59</v>
      </c>
      <c r="C133" s="10" t="str">
        <f t="shared" si="2"/>
        <v>Kinixys_belliana</v>
      </c>
      <c r="D133" s="10" t="b">
        <v>1</v>
      </c>
      <c r="E133" s="21"/>
      <c r="F133" s="21">
        <v>26.5</v>
      </c>
      <c r="G133" s="19"/>
      <c r="I133" s="21"/>
      <c r="J133" s="21"/>
      <c r="K133" s="21"/>
      <c r="M133" s="21">
        <v>2.2999999999999998</v>
      </c>
      <c r="N133" s="21">
        <v>4</v>
      </c>
    </row>
    <row r="134" spans="1:14" x14ac:dyDescent="0.2">
      <c r="A134" s="10" t="s">
        <v>188</v>
      </c>
      <c r="B134" s="10" t="s">
        <v>58</v>
      </c>
      <c r="C134" s="10" t="str">
        <f t="shared" si="2"/>
        <v>Kinixys_homeana</v>
      </c>
      <c r="D134" s="10" t="b">
        <v>1</v>
      </c>
      <c r="E134" s="21"/>
      <c r="F134" s="21"/>
      <c r="G134" s="19"/>
      <c r="I134" s="21"/>
      <c r="J134" s="21"/>
      <c r="K134" s="21"/>
      <c r="M134" s="21"/>
      <c r="N134" s="21"/>
    </row>
    <row r="135" spans="1:14" x14ac:dyDescent="0.2">
      <c r="A135" s="10" t="s">
        <v>188</v>
      </c>
      <c r="B135" s="11" t="s">
        <v>100</v>
      </c>
      <c r="C135" s="10" t="str">
        <f t="shared" si="2"/>
        <v>Kinosternon_flavescens</v>
      </c>
      <c r="D135" s="10" t="b">
        <v>1</v>
      </c>
      <c r="E135" s="21">
        <v>8.25</v>
      </c>
      <c r="F135" s="21">
        <v>15</v>
      </c>
      <c r="G135" s="19"/>
      <c r="I135" s="21">
        <v>327</v>
      </c>
      <c r="J135" s="21"/>
      <c r="K135" s="21">
        <v>2.5099999999999998</v>
      </c>
      <c r="M135" s="21">
        <v>4.68</v>
      </c>
      <c r="N135" s="21">
        <v>1</v>
      </c>
    </row>
    <row r="136" spans="1:14" x14ac:dyDescent="0.2">
      <c r="A136" s="10" t="s">
        <v>188</v>
      </c>
      <c r="B136" s="10" t="s">
        <v>78</v>
      </c>
      <c r="C136" s="10" t="str">
        <f t="shared" si="2"/>
        <v>Kinosternon_leucostomum</v>
      </c>
      <c r="D136" s="10" t="b">
        <v>1</v>
      </c>
      <c r="E136" s="21"/>
      <c r="F136" s="21">
        <v>19.2</v>
      </c>
      <c r="G136" s="19"/>
      <c r="I136" s="21"/>
      <c r="J136" s="21"/>
      <c r="K136" s="21"/>
      <c r="M136" s="21"/>
      <c r="N136" s="21"/>
    </row>
    <row r="137" spans="1:14" x14ac:dyDescent="0.2">
      <c r="A137" s="10" t="s">
        <v>188</v>
      </c>
      <c r="B137" s="10" t="s">
        <v>76</v>
      </c>
      <c r="C137" s="10" t="str">
        <f t="shared" si="2"/>
        <v>Macrochelys_temminckii</v>
      </c>
      <c r="D137" s="10" t="b">
        <v>1</v>
      </c>
      <c r="E137" s="21">
        <v>11.66666667</v>
      </c>
      <c r="F137" s="21">
        <v>70.3</v>
      </c>
      <c r="G137" s="19"/>
      <c r="I137" s="21">
        <v>58500</v>
      </c>
      <c r="J137" s="21"/>
      <c r="K137" s="21">
        <v>16.899999999999999</v>
      </c>
      <c r="M137" s="21">
        <v>31.666666670000001</v>
      </c>
      <c r="N137" s="21">
        <v>0.875</v>
      </c>
    </row>
    <row r="138" spans="1:14" x14ac:dyDescent="0.2">
      <c r="A138" s="10" t="s">
        <v>188</v>
      </c>
      <c r="B138" s="10" t="s">
        <v>53</v>
      </c>
      <c r="C138" s="10" t="str">
        <f t="shared" si="2"/>
        <v>Malacochersus_tornieri</v>
      </c>
      <c r="D138" s="10" t="b">
        <v>1</v>
      </c>
      <c r="E138" s="21"/>
      <c r="F138" s="21">
        <v>25.9</v>
      </c>
      <c r="G138" s="19"/>
      <c r="I138" s="21"/>
      <c r="J138" s="21"/>
      <c r="K138" s="21"/>
      <c r="M138" s="21"/>
      <c r="N138" s="21"/>
    </row>
    <row r="139" spans="1:14" x14ac:dyDescent="0.2">
      <c r="A139" s="10" t="s">
        <v>188</v>
      </c>
      <c r="B139" s="10" t="s">
        <v>42</v>
      </c>
      <c r="C139" s="10" t="str">
        <f t="shared" si="2"/>
        <v>Mauremys_reevesii</v>
      </c>
      <c r="D139" s="10" t="b">
        <v>1</v>
      </c>
      <c r="E139" s="21">
        <v>6</v>
      </c>
      <c r="F139" s="21">
        <v>24.3</v>
      </c>
      <c r="G139" s="19"/>
      <c r="I139" s="21">
        <v>850</v>
      </c>
      <c r="J139" s="21"/>
      <c r="K139" s="21">
        <v>5.6</v>
      </c>
      <c r="M139" s="21">
        <v>7.85</v>
      </c>
      <c r="N139" s="21">
        <v>2.3333333330000001</v>
      </c>
    </row>
    <row r="140" spans="1:14" x14ac:dyDescent="0.2">
      <c r="A140" s="10" t="s">
        <v>188</v>
      </c>
      <c r="B140" s="11" t="s">
        <v>101</v>
      </c>
      <c r="C140" s="10" t="str">
        <f t="shared" si="2"/>
        <v>Mauremys_rivulata</v>
      </c>
      <c r="D140" s="10" t="b">
        <v>1</v>
      </c>
      <c r="E140" s="21">
        <v>11</v>
      </c>
      <c r="F140" s="21">
        <v>13.33333333</v>
      </c>
      <c r="G140" s="19"/>
      <c r="I140" s="21"/>
      <c r="J140" s="21"/>
      <c r="K140" s="21"/>
      <c r="M140" s="21">
        <v>5</v>
      </c>
      <c r="N140" s="21">
        <v>1</v>
      </c>
    </row>
    <row r="141" spans="1:14" x14ac:dyDescent="0.2">
      <c r="A141" s="10" t="s">
        <v>188</v>
      </c>
      <c r="B141" s="10" t="s">
        <v>81</v>
      </c>
      <c r="C141" s="10" t="str">
        <f t="shared" si="2"/>
        <v>Pelodiscus_sinensis</v>
      </c>
      <c r="D141" s="10" t="b">
        <v>1</v>
      </c>
      <c r="E141" s="21"/>
      <c r="F141" s="21">
        <v>20</v>
      </c>
      <c r="G141" s="19"/>
      <c r="I141" s="21"/>
      <c r="J141" s="21"/>
      <c r="K141" s="21"/>
      <c r="M141" s="21">
        <v>14.5</v>
      </c>
      <c r="N141" s="21">
        <v>3.5</v>
      </c>
    </row>
    <row r="142" spans="1:14" x14ac:dyDescent="0.2">
      <c r="A142" s="10" t="s">
        <v>188</v>
      </c>
      <c r="B142" s="10" t="s">
        <v>82</v>
      </c>
      <c r="C142" s="10" t="str">
        <f t="shared" si="2"/>
        <v>Pelomedusa_subrufa</v>
      </c>
      <c r="D142" s="10" t="b">
        <v>1</v>
      </c>
      <c r="E142" s="21"/>
      <c r="F142" s="21">
        <v>20.100000000000001</v>
      </c>
      <c r="G142" s="19"/>
      <c r="I142" s="21"/>
      <c r="J142" s="21"/>
      <c r="K142" s="21"/>
      <c r="M142" s="21">
        <v>16</v>
      </c>
      <c r="N142" s="21">
        <v>1</v>
      </c>
    </row>
    <row r="143" spans="1:14" x14ac:dyDescent="0.2">
      <c r="A143" s="10" t="s">
        <v>188</v>
      </c>
      <c r="B143" s="10" t="s">
        <v>83</v>
      </c>
      <c r="C143" s="10" t="str">
        <f t="shared" si="2"/>
        <v>Pelusios_castaneus</v>
      </c>
      <c r="D143" s="10" t="b">
        <v>1</v>
      </c>
      <c r="E143" s="21"/>
      <c r="F143" s="21">
        <v>41</v>
      </c>
      <c r="G143" s="19"/>
      <c r="I143" s="21"/>
      <c r="J143" s="21"/>
      <c r="K143" s="21"/>
      <c r="M143" s="21">
        <v>12</v>
      </c>
      <c r="N143" s="21"/>
    </row>
    <row r="144" spans="1:14" x14ac:dyDescent="0.2">
      <c r="A144" s="10" t="s">
        <v>188</v>
      </c>
      <c r="B144" s="10" t="s">
        <v>88</v>
      </c>
      <c r="C144" s="10" t="str">
        <f t="shared" si="2"/>
        <v>Platemys_platycephala</v>
      </c>
      <c r="D144" s="10" t="b">
        <v>1</v>
      </c>
      <c r="E144" s="21"/>
      <c r="F144" s="21">
        <v>20</v>
      </c>
      <c r="G144" s="19"/>
      <c r="I144" s="21"/>
      <c r="J144" s="21"/>
      <c r="K144" s="21"/>
      <c r="M144" s="21"/>
      <c r="N144" s="21"/>
    </row>
    <row r="145" spans="1:14" x14ac:dyDescent="0.2">
      <c r="A145" s="10" t="s">
        <v>188</v>
      </c>
      <c r="B145" s="10" t="s">
        <v>84</v>
      </c>
      <c r="C145" s="10" t="str">
        <f t="shared" si="2"/>
        <v>Podocnemis_unifilis</v>
      </c>
      <c r="D145" s="10" t="b">
        <v>1</v>
      </c>
      <c r="E145" s="21"/>
      <c r="F145" s="21">
        <v>39.416670000000003</v>
      </c>
      <c r="G145" s="19"/>
      <c r="I145" s="21">
        <v>4500</v>
      </c>
      <c r="J145" s="21"/>
      <c r="K145" s="21"/>
      <c r="M145" s="21">
        <v>21.5</v>
      </c>
      <c r="N145" s="21">
        <v>2.25</v>
      </c>
    </row>
    <row r="146" spans="1:14" x14ac:dyDescent="0.2">
      <c r="A146" s="10" t="s">
        <v>188</v>
      </c>
      <c r="B146" s="11" t="s">
        <v>102</v>
      </c>
      <c r="C146" s="10" t="str">
        <f t="shared" si="2"/>
        <v>Pseudemys_texana</v>
      </c>
      <c r="D146" s="10" t="b">
        <v>1</v>
      </c>
      <c r="E146" s="21"/>
      <c r="F146" s="21"/>
      <c r="G146" s="19"/>
      <c r="I146" s="21"/>
      <c r="J146" s="21"/>
      <c r="K146" s="21"/>
      <c r="M146" s="21"/>
      <c r="N146" s="21"/>
    </row>
    <row r="147" spans="1:14" x14ac:dyDescent="0.2">
      <c r="A147" s="10" t="s">
        <v>188</v>
      </c>
      <c r="B147" s="10" t="s">
        <v>65</v>
      </c>
      <c r="C147" s="10" t="str">
        <f t="shared" si="2"/>
        <v>Pyxis_arachnoides</v>
      </c>
      <c r="D147" s="10" t="b">
        <v>1</v>
      </c>
      <c r="E147" s="21"/>
      <c r="F147" s="21"/>
      <c r="G147" s="19"/>
      <c r="I147" s="21"/>
      <c r="J147" s="21"/>
      <c r="K147" s="21"/>
      <c r="M147" s="21"/>
      <c r="N147" s="21"/>
    </row>
    <row r="148" spans="1:14" x14ac:dyDescent="0.2">
      <c r="A148" s="10" t="s">
        <v>188</v>
      </c>
      <c r="B148" s="10" t="s">
        <v>66</v>
      </c>
      <c r="C148" s="10" t="str">
        <f t="shared" si="2"/>
        <v>Pyxis_planicauda</v>
      </c>
      <c r="D148" s="10" t="b">
        <v>1</v>
      </c>
      <c r="E148" s="21"/>
      <c r="F148" s="21"/>
      <c r="G148" s="19"/>
      <c r="I148" s="21"/>
      <c r="J148" s="21"/>
      <c r="K148" s="21"/>
      <c r="M148" s="21"/>
      <c r="N148" s="21"/>
    </row>
    <row r="149" spans="1:14" x14ac:dyDescent="0.2">
      <c r="A149" s="10" t="s">
        <v>188</v>
      </c>
      <c r="B149" s="10" t="s">
        <v>49</v>
      </c>
      <c r="C149" s="10" t="str">
        <f t="shared" si="2"/>
        <v>Siebenrockiella_crassicollis</v>
      </c>
      <c r="D149" s="10" t="b">
        <v>1</v>
      </c>
      <c r="E149" s="21"/>
      <c r="F149" s="21">
        <v>16.7</v>
      </c>
      <c r="G149" s="19"/>
      <c r="I149" s="21"/>
      <c r="J149" s="21"/>
      <c r="K149" s="21"/>
      <c r="M149" s="21">
        <v>1.3</v>
      </c>
      <c r="N149" s="21">
        <v>3.5</v>
      </c>
    </row>
    <row r="150" spans="1:14" x14ac:dyDescent="0.2">
      <c r="A150" s="10" t="s">
        <v>188</v>
      </c>
      <c r="B150" s="10" t="s">
        <v>77</v>
      </c>
      <c r="C150" s="10" t="str">
        <f t="shared" si="2"/>
        <v>Sternotherus_odoratus</v>
      </c>
      <c r="D150" s="10" t="b">
        <v>1</v>
      </c>
      <c r="E150" s="21">
        <v>3.832876712</v>
      </c>
      <c r="F150" s="21">
        <v>54.8</v>
      </c>
      <c r="G150" s="19"/>
      <c r="I150" s="21">
        <v>181</v>
      </c>
      <c r="J150" s="21"/>
      <c r="K150" s="21">
        <v>1.33</v>
      </c>
      <c r="M150" s="21">
        <v>4.75</v>
      </c>
      <c r="N150" s="21">
        <v>2</v>
      </c>
    </row>
    <row r="151" spans="1:14" x14ac:dyDescent="0.2">
      <c r="A151" s="10" t="s">
        <v>188</v>
      </c>
      <c r="B151" s="10" t="s">
        <v>63</v>
      </c>
      <c r="C151" s="10" t="str">
        <f t="shared" si="2"/>
        <v>Stigmochelys_pardalis</v>
      </c>
      <c r="D151" s="10" t="b">
        <v>1</v>
      </c>
      <c r="E151" s="21"/>
      <c r="F151" s="21">
        <v>100</v>
      </c>
      <c r="G151" s="19"/>
      <c r="I151" s="21"/>
      <c r="J151" s="21"/>
      <c r="K151" s="21"/>
      <c r="M151" s="21">
        <v>11.5</v>
      </c>
      <c r="N151" s="21">
        <v>1</v>
      </c>
    </row>
    <row r="152" spans="1:14" x14ac:dyDescent="0.2">
      <c r="A152" s="10" t="s">
        <v>188</v>
      </c>
      <c r="B152" s="11" t="s">
        <v>103</v>
      </c>
      <c r="C152" s="10" t="str">
        <f t="shared" si="2"/>
        <v>Terrapene_ornata</v>
      </c>
      <c r="D152" s="10" t="b">
        <v>1</v>
      </c>
      <c r="E152" s="21">
        <v>9.625</v>
      </c>
      <c r="F152" s="21">
        <v>28.4</v>
      </c>
      <c r="G152" s="19"/>
      <c r="I152" s="21">
        <v>391</v>
      </c>
      <c r="J152" s="21"/>
      <c r="K152" s="21">
        <v>5.95</v>
      </c>
      <c r="M152" s="21">
        <v>4.9249999999999998</v>
      </c>
      <c r="N152" s="21">
        <v>1.47</v>
      </c>
    </row>
    <row r="153" spans="1:14" x14ac:dyDescent="0.2">
      <c r="A153" s="10" t="s">
        <v>188</v>
      </c>
      <c r="B153" s="10" t="s">
        <v>56</v>
      </c>
      <c r="C153" s="10" t="str">
        <f t="shared" si="2"/>
        <v>Testudo_graeca</v>
      </c>
      <c r="D153" s="10" t="b">
        <v>1</v>
      </c>
      <c r="E153" s="21">
        <v>10.99771689</v>
      </c>
      <c r="F153" s="21">
        <v>127</v>
      </c>
      <c r="G153" s="19"/>
      <c r="I153" s="21">
        <v>1430</v>
      </c>
      <c r="J153" s="21"/>
      <c r="K153" s="21">
        <v>8.75</v>
      </c>
      <c r="M153" s="21">
        <v>4.5</v>
      </c>
      <c r="N153" s="21">
        <v>2.65</v>
      </c>
    </row>
    <row r="154" spans="1:14" x14ac:dyDescent="0.2">
      <c r="A154" s="10" t="s">
        <v>188</v>
      </c>
      <c r="B154" s="10" t="s">
        <v>116</v>
      </c>
      <c r="C154" s="10" t="str">
        <f t="shared" si="2"/>
        <v>Testudo_hermanni</v>
      </c>
      <c r="D154" s="10" t="b">
        <v>1</v>
      </c>
      <c r="E154" s="21">
        <v>12.164383559999999</v>
      </c>
      <c r="F154" s="21">
        <v>44.668359219999999</v>
      </c>
      <c r="G154" s="19"/>
      <c r="I154" s="21">
        <v>1203</v>
      </c>
      <c r="J154" s="21"/>
      <c r="K154" s="21">
        <v>7.5</v>
      </c>
      <c r="M154" s="21">
        <v>4.5599999999999996</v>
      </c>
      <c r="N154" s="21">
        <v>1.615</v>
      </c>
    </row>
    <row r="155" spans="1:14" x14ac:dyDescent="0.2">
      <c r="A155" s="10" t="s">
        <v>188</v>
      </c>
      <c r="B155" s="10" t="s">
        <v>57</v>
      </c>
      <c r="C155" s="10" t="str">
        <f t="shared" si="2"/>
        <v>Testudo_horsfieldii</v>
      </c>
      <c r="D155" s="10" t="b">
        <v>1</v>
      </c>
      <c r="E155" s="21"/>
      <c r="F155" s="21">
        <v>50</v>
      </c>
      <c r="G155" s="19"/>
      <c r="I155" s="21"/>
      <c r="J155" s="21"/>
      <c r="K155" s="21"/>
      <c r="M155" s="21">
        <v>4</v>
      </c>
      <c r="N155" s="21">
        <v>2.5</v>
      </c>
    </row>
    <row r="156" spans="1:14" x14ac:dyDescent="0.2">
      <c r="A156" s="10" t="s">
        <v>188</v>
      </c>
      <c r="B156" s="10" t="s">
        <v>55</v>
      </c>
      <c r="C156" s="10" t="str">
        <f t="shared" si="2"/>
        <v>Testudo_kleinmanni</v>
      </c>
      <c r="D156" s="10" t="b">
        <v>1</v>
      </c>
      <c r="E156" s="21"/>
      <c r="F156" s="21">
        <v>21</v>
      </c>
      <c r="G156" s="19"/>
      <c r="I156" s="21"/>
      <c r="J156" s="21"/>
      <c r="K156" s="21"/>
      <c r="M156" s="21">
        <v>4</v>
      </c>
      <c r="N156" s="21">
        <v>1.2</v>
      </c>
    </row>
    <row r="157" spans="1:14" x14ac:dyDescent="0.2">
      <c r="A157" s="10" t="s">
        <v>188</v>
      </c>
      <c r="B157" s="10" t="s">
        <v>54</v>
      </c>
      <c r="C157" s="10" t="str">
        <f t="shared" si="2"/>
        <v>Testudo_marginata</v>
      </c>
      <c r="D157" s="10" t="b">
        <v>1</v>
      </c>
      <c r="E157" s="21">
        <v>10</v>
      </c>
      <c r="F157" s="21">
        <v>21.2</v>
      </c>
      <c r="G157" s="19"/>
      <c r="I157" s="21">
        <v>2290.8676529999998</v>
      </c>
      <c r="J157" s="21"/>
      <c r="K157" s="21"/>
      <c r="M157" s="21">
        <v>5.5</v>
      </c>
      <c r="N157" s="21">
        <v>2</v>
      </c>
    </row>
    <row r="158" spans="1:14" x14ac:dyDescent="0.2">
      <c r="A158" s="10" t="s">
        <v>188</v>
      </c>
      <c r="B158" s="10" t="s">
        <v>74</v>
      </c>
      <c r="C158" s="10" t="str">
        <f t="shared" si="2"/>
        <v>Trachemys_callirostris</v>
      </c>
      <c r="D158" s="10" t="b">
        <v>1</v>
      </c>
      <c r="E158" s="21"/>
      <c r="F158" s="21"/>
      <c r="G158" s="19"/>
      <c r="I158" s="21"/>
      <c r="J158" s="21"/>
      <c r="K158" s="21"/>
      <c r="M158" s="21"/>
      <c r="N158" s="21"/>
    </row>
    <row r="159" spans="1:14" x14ac:dyDescent="0.2">
      <c r="A159" s="10" t="s">
        <v>188</v>
      </c>
      <c r="B159" s="10" t="s">
        <v>112</v>
      </c>
      <c r="C159" s="10" t="str">
        <f t="shared" si="2"/>
        <v>Trachemys_scripta</v>
      </c>
      <c r="D159" s="10" t="b">
        <v>1</v>
      </c>
      <c r="E159" s="21">
        <v>5.8333333329999997</v>
      </c>
      <c r="F159" s="21">
        <v>41.999999959999997</v>
      </c>
      <c r="G159" s="19"/>
      <c r="I159" s="21">
        <v>1895</v>
      </c>
      <c r="J159" s="21"/>
      <c r="K159" s="21">
        <v>5.28</v>
      </c>
      <c r="M159" s="21">
        <v>11.4</v>
      </c>
      <c r="N159" s="21">
        <v>3.7475000000000001</v>
      </c>
    </row>
    <row r="160" spans="1:14" x14ac:dyDescent="0.2">
      <c r="A160" s="10" t="s">
        <v>419</v>
      </c>
      <c r="B160" s="25" t="s">
        <v>67</v>
      </c>
      <c r="C160" s="10" t="str">
        <f t="shared" si="2"/>
        <v>Aldabrachelys_gigantea</v>
      </c>
      <c r="D160" s="10" t="b">
        <v>1</v>
      </c>
      <c r="I160" s="25">
        <v>93400</v>
      </c>
      <c r="J160" s="25"/>
      <c r="L160" s="25">
        <v>80</v>
      </c>
    </row>
    <row r="161" spans="1:12" x14ac:dyDescent="0.2">
      <c r="A161" s="10" t="s">
        <v>419</v>
      </c>
      <c r="B161" s="25" t="s">
        <v>66</v>
      </c>
      <c r="C161" s="10" t="str">
        <f t="shared" si="2"/>
        <v>Pyxis_planicauda</v>
      </c>
      <c r="D161" s="10" t="b">
        <v>1</v>
      </c>
      <c r="I161" s="25">
        <v>573</v>
      </c>
      <c r="J161" s="25"/>
      <c r="L161" s="25">
        <v>17.5</v>
      </c>
    </row>
    <row r="162" spans="1:12" x14ac:dyDescent="0.2">
      <c r="A162" s="10" t="s">
        <v>419</v>
      </c>
      <c r="B162" s="25" t="s">
        <v>64</v>
      </c>
      <c r="C162" s="10" t="str">
        <f t="shared" si="2"/>
        <v>Chersina_angulata</v>
      </c>
      <c r="D162" s="10" t="b">
        <v>1</v>
      </c>
      <c r="I162" s="25">
        <v>667</v>
      </c>
      <c r="J162" s="25"/>
      <c r="L162" s="25">
        <v>27.5</v>
      </c>
    </row>
    <row r="163" spans="1:12" x14ac:dyDescent="0.2">
      <c r="A163" s="10" t="s">
        <v>419</v>
      </c>
      <c r="B163" s="25" t="s">
        <v>54</v>
      </c>
      <c r="C163" s="10" t="str">
        <f t="shared" si="2"/>
        <v>Testudo_marginata</v>
      </c>
      <c r="D163" s="10" t="b">
        <v>1</v>
      </c>
      <c r="I163" s="25">
        <v>1756</v>
      </c>
      <c r="J163" s="25"/>
      <c r="L163" s="25">
        <v>17.7</v>
      </c>
    </row>
    <row r="164" spans="1:12" x14ac:dyDescent="0.2">
      <c r="A164" s="10" t="s">
        <v>419</v>
      </c>
      <c r="B164" s="25" t="s">
        <v>56</v>
      </c>
      <c r="C164" s="10" t="str">
        <f t="shared" si="2"/>
        <v>Testudo_graeca</v>
      </c>
      <c r="D164" s="10" t="b">
        <v>1</v>
      </c>
      <c r="I164" s="25">
        <v>2612</v>
      </c>
      <c r="J164" s="25"/>
      <c r="L164" s="25">
        <v>13.700000000000001</v>
      </c>
    </row>
    <row r="165" spans="1:12" x14ac:dyDescent="0.2">
      <c r="A165" s="10" t="s">
        <v>419</v>
      </c>
      <c r="B165" s="25" t="s">
        <v>57</v>
      </c>
      <c r="C165" s="10" t="str">
        <f t="shared" si="2"/>
        <v>Testudo_horsfieldii</v>
      </c>
      <c r="D165" s="10" t="b">
        <v>1</v>
      </c>
      <c r="I165" s="25">
        <v>1018</v>
      </c>
      <c r="J165" s="25"/>
      <c r="L165" s="25">
        <v>17.5</v>
      </c>
    </row>
    <row r="166" spans="1:12" x14ac:dyDescent="0.2">
      <c r="A166" s="10" t="s">
        <v>419</v>
      </c>
      <c r="B166" s="25" t="s">
        <v>116</v>
      </c>
      <c r="C166" s="10" t="str">
        <f t="shared" si="2"/>
        <v>Testudo_hermanni</v>
      </c>
      <c r="D166" s="10" t="b">
        <v>1</v>
      </c>
      <c r="I166" s="25">
        <v>1249</v>
      </c>
      <c r="J166" s="25"/>
      <c r="L166" s="25">
        <v>13.6</v>
      </c>
    </row>
    <row r="167" spans="1:12" x14ac:dyDescent="0.2">
      <c r="A167" s="10" t="s">
        <v>419</v>
      </c>
      <c r="B167" s="25" t="s">
        <v>52</v>
      </c>
      <c r="C167" s="10" t="str">
        <f t="shared" si="2"/>
        <v>Indotestudo_elongata</v>
      </c>
      <c r="D167" s="10" t="b">
        <v>1</v>
      </c>
      <c r="I167" s="25">
        <v>2045</v>
      </c>
      <c r="J167" s="25"/>
      <c r="L167" s="25">
        <v>47</v>
      </c>
    </row>
    <row r="168" spans="1:12" x14ac:dyDescent="0.2">
      <c r="A168" s="10" t="s">
        <v>419</v>
      </c>
      <c r="B168" s="25" t="s">
        <v>70</v>
      </c>
      <c r="C168" s="10" t="str">
        <f t="shared" si="2"/>
        <v>Gopherus_agassizii</v>
      </c>
      <c r="D168" s="10" t="b">
        <v>1</v>
      </c>
      <c r="I168" s="25">
        <v>1400</v>
      </c>
      <c r="J168" s="25"/>
      <c r="L168" s="25">
        <v>32.9</v>
      </c>
    </row>
  </sheetData>
  <autoFilter ref="A1:O168" xr:uid="{D8F3CDD5-AE75-5D43-BFF7-87D88DC0EFF9}"/>
  <conditionalFormatting sqref="D2:D60">
    <cfRule type="containsText" dxfId="6" priority="2" operator="containsText" text="TRUE">
      <formula>NOT(ISERROR(SEARCH("TRUE",D2)))</formula>
    </cfRule>
  </conditionalFormatting>
  <conditionalFormatting sqref="D61:G99 G100:G159 D100:D168">
    <cfRule type="containsText" dxfId="5" priority="1" operator="containsText" text="T">
      <formula>NOT(ISERROR(SEARCH("T",D61)))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F8F6-6FC9-AF42-BDBB-DD4E5227B1FB}">
  <dimension ref="A1:BD332"/>
  <sheetViews>
    <sheetView workbookViewId="0"/>
  </sheetViews>
  <sheetFormatPr baseColWidth="10" defaultRowHeight="16" x14ac:dyDescent="0.2"/>
  <cols>
    <col min="1" max="1" width="14" style="10" bestFit="1" customWidth="1"/>
    <col min="2" max="2" width="27.5" style="10" bestFit="1" customWidth="1"/>
    <col min="3" max="3" width="8.6640625" style="10" bestFit="1" customWidth="1"/>
    <col min="4" max="4" width="6.6640625" style="10" bestFit="1" customWidth="1"/>
    <col min="5" max="6" width="5.6640625" style="10" bestFit="1" customWidth="1"/>
    <col min="7" max="7" width="6.33203125" style="10" bestFit="1" customWidth="1"/>
    <col min="8" max="8" width="6.6640625" style="10" bestFit="1" customWidth="1"/>
    <col min="9" max="10" width="10.83203125" style="10"/>
    <col min="11" max="11" width="17.5" style="10" bestFit="1" customWidth="1"/>
    <col min="12" max="12" width="28.5" style="10" bestFit="1" customWidth="1"/>
    <col min="13" max="13" width="9.83203125" style="10" bestFit="1" customWidth="1"/>
    <col min="14" max="14" width="9.6640625" style="10" bestFit="1" customWidth="1"/>
    <col min="15" max="15" width="9.6640625" style="10" customWidth="1"/>
    <col min="16" max="16" width="6.6640625" style="10" bestFit="1" customWidth="1"/>
    <col min="17" max="17" width="5.6640625" style="10" bestFit="1" customWidth="1"/>
    <col min="18" max="18" width="4.6640625" style="10" bestFit="1" customWidth="1"/>
    <col min="19" max="19" width="7" style="10" bestFit="1" customWidth="1"/>
    <col min="20" max="20" width="6.6640625" style="10" bestFit="1" customWidth="1"/>
    <col min="21" max="21" width="11.6640625" style="10" bestFit="1" customWidth="1"/>
    <col min="22" max="22" width="14.1640625" style="10" customWidth="1"/>
    <col min="23" max="23" width="10.83203125" style="10"/>
    <col min="24" max="24" width="12.83203125" style="10" bestFit="1" customWidth="1"/>
    <col min="25" max="25" width="27.5" style="10" bestFit="1" customWidth="1"/>
    <col min="26" max="26" width="9.5" style="10" bestFit="1" customWidth="1"/>
    <col min="27" max="27" width="4.5" style="10" bestFit="1" customWidth="1"/>
    <col min="28" max="28" width="7.83203125" style="10" bestFit="1" customWidth="1"/>
    <col min="29" max="29" width="9.1640625" style="10" bestFit="1" customWidth="1"/>
    <col min="30" max="31" width="6.1640625" style="10" bestFit="1" customWidth="1"/>
    <col min="32" max="32" width="7.1640625" style="10" bestFit="1" customWidth="1"/>
    <col min="33" max="33" width="28.1640625" style="10" bestFit="1" customWidth="1"/>
    <col min="34" max="34" width="11.5" style="10" bestFit="1" customWidth="1"/>
    <col min="35" max="35" width="23.83203125" style="10" bestFit="1" customWidth="1"/>
    <col min="36" max="36" width="19.6640625" style="10" bestFit="1" customWidth="1"/>
    <col min="37" max="37" width="23.83203125" style="10" customWidth="1"/>
    <col min="38" max="43" width="10.83203125" style="10"/>
    <col min="57" max="16384" width="10.83203125" style="10"/>
  </cols>
  <sheetData>
    <row r="1" spans="1:41" x14ac:dyDescent="0.2">
      <c r="A1" s="17" t="s">
        <v>37</v>
      </c>
      <c r="B1" s="22" t="s">
        <v>23</v>
      </c>
      <c r="C1" s="22" t="s">
        <v>186</v>
      </c>
      <c r="D1" s="22" t="s">
        <v>187</v>
      </c>
      <c r="E1" s="22" t="s">
        <v>184</v>
      </c>
      <c r="F1" s="22" t="s">
        <v>185</v>
      </c>
      <c r="G1" s="22" t="s">
        <v>216</v>
      </c>
      <c r="H1" s="22" t="s">
        <v>217</v>
      </c>
      <c r="K1" s="17" t="s">
        <v>37</v>
      </c>
      <c r="L1" s="22" t="s">
        <v>23</v>
      </c>
      <c r="M1" s="22" t="s">
        <v>213</v>
      </c>
      <c r="N1" s="22" t="s">
        <v>186</v>
      </c>
      <c r="O1" s="22" t="s">
        <v>730</v>
      </c>
      <c r="P1" s="22" t="s">
        <v>214</v>
      </c>
      <c r="Q1" s="22" t="s">
        <v>184</v>
      </c>
      <c r="R1" s="22" t="s">
        <v>185</v>
      </c>
      <c r="S1" s="22" t="s">
        <v>218</v>
      </c>
      <c r="T1" s="22" t="s">
        <v>217</v>
      </c>
      <c r="U1" s="22" t="s">
        <v>215</v>
      </c>
      <c r="V1" s="22"/>
      <c r="X1" s="22" t="s">
        <v>37</v>
      </c>
      <c r="Y1" s="22" t="s">
        <v>220</v>
      </c>
      <c r="Z1" s="22" t="s">
        <v>213</v>
      </c>
      <c r="AA1" s="22" t="s">
        <v>221</v>
      </c>
      <c r="AB1" s="22" t="s">
        <v>222</v>
      </c>
      <c r="AC1" s="22" t="s">
        <v>186</v>
      </c>
      <c r="AD1" s="22" t="s">
        <v>214</v>
      </c>
      <c r="AE1" s="22" t="s">
        <v>184</v>
      </c>
      <c r="AF1" s="22" t="s">
        <v>417</v>
      </c>
      <c r="AG1" s="22" t="s">
        <v>37</v>
      </c>
      <c r="AI1" s="22" t="s">
        <v>37</v>
      </c>
      <c r="AJ1" s="23" t="s">
        <v>23</v>
      </c>
      <c r="AK1" s="22" t="s">
        <v>213</v>
      </c>
      <c r="AL1" s="22" t="s">
        <v>186</v>
      </c>
      <c r="AM1" s="23" t="s">
        <v>214</v>
      </c>
      <c r="AN1" s="22" t="s">
        <v>417</v>
      </c>
      <c r="AO1" s="23" t="s">
        <v>418</v>
      </c>
    </row>
    <row r="2" spans="1:41" x14ac:dyDescent="0.2">
      <c r="A2" s="10" t="s">
        <v>188</v>
      </c>
      <c r="B2" s="15" t="s">
        <v>67</v>
      </c>
      <c r="C2" s="18">
        <v>46700</v>
      </c>
      <c r="D2" s="18">
        <v>45</v>
      </c>
      <c r="E2" s="18">
        <v>14</v>
      </c>
      <c r="F2" s="18">
        <v>2.1</v>
      </c>
      <c r="G2" s="18">
        <v>17</v>
      </c>
      <c r="H2" s="18">
        <v>152</v>
      </c>
      <c r="K2" s="10" t="s">
        <v>212</v>
      </c>
      <c r="L2" s="10" t="s">
        <v>263</v>
      </c>
      <c r="M2" s="10" t="b">
        <f t="shared" ref="M2:M65" si="0">IF(ISERROR(VLOOKUP(L2,B$2:B$61,1,FALSE)),FALSE,TRUE)</f>
        <v>0</v>
      </c>
      <c r="N2">
        <v>369.2</v>
      </c>
      <c r="O2">
        <v>369.2</v>
      </c>
      <c r="P2">
        <v>10.3413</v>
      </c>
      <c r="Q2">
        <v>3.5</v>
      </c>
      <c r="R2"/>
      <c r="S2"/>
      <c r="T2"/>
      <c r="U2"/>
      <c r="V2" s="16"/>
      <c r="X2" s="10" t="s">
        <v>219</v>
      </c>
      <c r="Y2" s="10" t="s">
        <v>415</v>
      </c>
      <c r="Z2" s="10" t="b">
        <f t="shared" ref="Z2:Z33" si="1">IF(ISERROR(VLOOKUP( LEFT(Y2, LEN(Y2) - IF(ISNUMBER(RIGHT(Y2, 1) * 1), 1, 0)),B$2:B$61,1,FALSE)),FALSE,TRUE)</f>
        <v>0</v>
      </c>
      <c r="AA2" s="10" t="s">
        <v>223</v>
      </c>
      <c r="AB2" s="10">
        <v>4</v>
      </c>
      <c r="AC2" s="10">
        <v>17900</v>
      </c>
      <c r="AD2" s="10">
        <v>65.150000000000006</v>
      </c>
      <c r="AE2" s="10">
        <v>26</v>
      </c>
      <c r="AF2" s="10">
        <v>1694</v>
      </c>
      <c r="AG2" s="10" t="s">
        <v>226</v>
      </c>
      <c r="AI2" s="10" t="s">
        <v>419</v>
      </c>
      <c r="AJ2" s="25" t="s">
        <v>180</v>
      </c>
      <c r="AK2" s="10" t="b">
        <f t="shared" ref="AK2:AK21" si="2">IF(ISERROR(VLOOKUP( LEFT(AJ2, LEN(AJ2) - IF(ISNUMBER(RIGHT(AJ2, 1) * 1), 1, 0)),B$2:B$61,1,FALSE)),FALSE,TRUE)</f>
        <v>0</v>
      </c>
      <c r="AL2" s="25">
        <v>0.22900000000000001</v>
      </c>
      <c r="AM2" s="25">
        <v>8.9999999999999993E-3</v>
      </c>
      <c r="AN2" s="25">
        <v>2.4799999999999999E-2</v>
      </c>
      <c r="AO2" s="25">
        <v>4.9500000000000002E-2</v>
      </c>
    </row>
    <row r="3" spans="1:41" ht="16" customHeight="1" x14ac:dyDescent="0.2">
      <c r="A3" s="10" t="s">
        <v>188</v>
      </c>
      <c r="B3" s="10" t="s">
        <v>80</v>
      </c>
      <c r="C3" s="18"/>
      <c r="D3" s="18">
        <v>4.5199999999999996</v>
      </c>
      <c r="E3" s="18">
        <v>22.5</v>
      </c>
      <c r="F3" s="18">
        <v>4</v>
      </c>
      <c r="G3" s="18">
        <v>9</v>
      </c>
      <c r="H3" s="18">
        <v>37</v>
      </c>
      <c r="I3" s="24"/>
      <c r="K3" s="10" t="s">
        <v>212</v>
      </c>
      <c r="L3" s="10" t="s">
        <v>421</v>
      </c>
      <c r="M3" s="10" t="b">
        <f t="shared" si="0"/>
        <v>0</v>
      </c>
      <c r="N3"/>
      <c r="O3"/>
      <c r="P3"/>
      <c r="Q3">
        <v>4.5</v>
      </c>
      <c r="R3"/>
      <c r="S3">
        <v>8.1999999999999993</v>
      </c>
      <c r="T3">
        <v>8.1999999999999993</v>
      </c>
      <c r="U3">
        <v>155.5</v>
      </c>
      <c r="V3" s="16"/>
      <c r="X3" s="10" t="s">
        <v>219</v>
      </c>
      <c r="Y3" s="10" t="s">
        <v>227</v>
      </c>
      <c r="Z3" s="10" t="b">
        <f t="shared" si="1"/>
        <v>0</v>
      </c>
      <c r="AA3" s="10" t="s">
        <v>223</v>
      </c>
      <c r="AB3" s="10">
        <v>6</v>
      </c>
      <c r="AC3" s="10">
        <v>16900</v>
      </c>
      <c r="AD3" s="10">
        <v>70.400000000000006</v>
      </c>
      <c r="AE3" s="10">
        <v>11.4</v>
      </c>
      <c r="AF3" s="10">
        <v>798.6</v>
      </c>
      <c r="AG3" s="10" t="s">
        <v>228</v>
      </c>
      <c r="AI3" s="10" t="s">
        <v>419</v>
      </c>
      <c r="AJ3" s="25" t="s">
        <v>201</v>
      </c>
      <c r="AK3" s="10" t="b">
        <f t="shared" si="2"/>
        <v>0</v>
      </c>
      <c r="AL3" s="25">
        <v>0.39300000000000002</v>
      </c>
      <c r="AM3" s="25">
        <v>7.0000000000000001E-3</v>
      </c>
      <c r="AN3" s="25">
        <v>1.5800000000000002E-2</v>
      </c>
      <c r="AO3" s="25">
        <v>3.15E-2</v>
      </c>
    </row>
    <row r="4" spans="1:41" x14ac:dyDescent="0.2">
      <c r="A4" s="10" t="s">
        <v>188</v>
      </c>
      <c r="B4" s="10" t="s">
        <v>79</v>
      </c>
      <c r="C4" s="18"/>
      <c r="D4" s="18"/>
      <c r="E4" s="18">
        <v>19.5</v>
      </c>
      <c r="F4" s="18">
        <v>2</v>
      </c>
      <c r="G4" s="18">
        <v>6.25</v>
      </c>
      <c r="H4" s="18">
        <v>49.999999959999997</v>
      </c>
      <c r="I4" s="24"/>
      <c r="K4" s="10" t="s">
        <v>212</v>
      </c>
      <c r="L4" s="10" t="s">
        <v>452</v>
      </c>
      <c r="M4" s="10" t="b">
        <f t="shared" si="0"/>
        <v>0</v>
      </c>
      <c r="N4">
        <v>282</v>
      </c>
      <c r="O4">
        <v>282</v>
      </c>
      <c r="P4">
        <v>8.26</v>
      </c>
      <c r="Q4">
        <v>4</v>
      </c>
      <c r="R4">
        <v>1</v>
      </c>
      <c r="S4">
        <v>27.3</v>
      </c>
      <c r="T4">
        <v>27.3</v>
      </c>
      <c r="U4">
        <v>80</v>
      </c>
      <c r="V4" s="16"/>
      <c r="X4" s="10" t="s">
        <v>219</v>
      </c>
      <c r="Y4" s="10" t="s">
        <v>229</v>
      </c>
      <c r="Z4" s="10" t="b">
        <f t="shared" si="1"/>
        <v>0</v>
      </c>
      <c r="AA4" s="10" t="s">
        <v>224</v>
      </c>
      <c r="AB4" s="10">
        <v>35</v>
      </c>
      <c r="AC4" s="10">
        <v>858</v>
      </c>
      <c r="AD4" s="10">
        <v>11.2</v>
      </c>
      <c r="AE4" s="10">
        <v>6.7</v>
      </c>
      <c r="AF4" s="10">
        <v>75</v>
      </c>
      <c r="AG4" s="10" t="s">
        <v>228</v>
      </c>
      <c r="AI4" s="10" t="s">
        <v>419</v>
      </c>
      <c r="AJ4" s="25" t="s">
        <v>67</v>
      </c>
      <c r="AK4" s="10" t="b">
        <f t="shared" si="2"/>
        <v>1</v>
      </c>
      <c r="AL4" s="25">
        <v>93.4</v>
      </c>
      <c r="AM4" s="25">
        <v>0.08</v>
      </c>
      <c r="AN4" s="25">
        <v>1.08</v>
      </c>
      <c r="AO4" s="25">
        <v>2.16</v>
      </c>
    </row>
    <row r="5" spans="1:41" x14ac:dyDescent="0.2">
      <c r="A5" s="10" t="s">
        <v>188</v>
      </c>
      <c r="B5" s="10" t="s">
        <v>48</v>
      </c>
      <c r="C5" s="18">
        <v>16900</v>
      </c>
      <c r="D5" s="18">
        <v>35.200000000000003</v>
      </c>
      <c r="E5" s="18">
        <v>11.4</v>
      </c>
      <c r="F5" s="18">
        <v>1</v>
      </c>
      <c r="G5" s="18"/>
      <c r="H5" s="18"/>
      <c r="I5" s="24"/>
      <c r="K5" s="10" t="s">
        <v>212</v>
      </c>
      <c r="L5" s="10" t="s">
        <v>67</v>
      </c>
      <c r="M5" s="10" t="b">
        <f t="shared" si="0"/>
        <v>1</v>
      </c>
      <c r="N5">
        <v>117200</v>
      </c>
      <c r="O5">
        <v>33000</v>
      </c>
      <c r="P5">
        <v>80.8</v>
      </c>
      <c r="Q5">
        <v>13.5</v>
      </c>
      <c r="R5">
        <v>2</v>
      </c>
      <c r="S5">
        <v>176</v>
      </c>
      <c r="T5">
        <v>152</v>
      </c>
      <c r="U5">
        <v>130.5</v>
      </c>
      <c r="V5" s="16"/>
      <c r="X5" s="10" t="s">
        <v>219</v>
      </c>
      <c r="Y5" s="10" t="s">
        <v>230</v>
      </c>
      <c r="Z5" s="10" t="b">
        <f t="shared" si="1"/>
        <v>0</v>
      </c>
      <c r="AA5" s="10" t="s">
        <v>223</v>
      </c>
      <c r="AB5" s="10">
        <v>24</v>
      </c>
      <c r="AC5" s="10">
        <v>499</v>
      </c>
      <c r="AD5" s="10">
        <v>13.8</v>
      </c>
      <c r="AE5" s="10">
        <v>2</v>
      </c>
      <c r="AF5" s="10">
        <v>27.6</v>
      </c>
      <c r="AG5" s="10" t="s">
        <v>226</v>
      </c>
      <c r="AI5" s="10" t="s">
        <v>419</v>
      </c>
      <c r="AJ5" s="25" t="s">
        <v>66</v>
      </c>
      <c r="AK5" s="10" t="b">
        <f t="shared" si="2"/>
        <v>1</v>
      </c>
      <c r="AL5" s="25">
        <v>0.57299999999999995</v>
      </c>
      <c r="AM5" s="25">
        <v>1.7500000000000002E-2</v>
      </c>
      <c r="AN5" s="25">
        <v>2.3300000000000001E-2</v>
      </c>
      <c r="AO5" s="25">
        <v>7.0000000000000007E-2</v>
      </c>
    </row>
    <row r="6" spans="1:41" ht="16" customHeight="1" x14ac:dyDescent="0.2">
      <c r="A6" s="10" t="s">
        <v>188</v>
      </c>
      <c r="B6" s="10" t="s">
        <v>86</v>
      </c>
      <c r="C6" s="18">
        <v>1293</v>
      </c>
      <c r="D6" s="18">
        <v>3.7</v>
      </c>
      <c r="E6" s="18">
        <v>13.9</v>
      </c>
      <c r="F6" s="18">
        <v>1.5</v>
      </c>
      <c r="G6" s="18">
        <v>9</v>
      </c>
      <c r="H6" s="18">
        <v>37</v>
      </c>
      <c r="I6" s="24"/>
      <c r="J6" s="24"/>
      <c r="K6" s="10" t="s">
        <v>212</v>
      </c>
      <c r="L6" s="10" t="s">
        <v>545</v>
      </c>
      <c r="M6" s="10" t="b">
        <f t="shared" si="0"/>
        <v>0</v>
      </c>
      <c r="N6"/>
      <c r="O6"/>
      <c r="P6"/>
      <c r="Q6">
        <v>17</v>
      </c>
      <c r="R6"/>
      <c r="S6">
        <v>7.3</v>
      </c>
      <c r="T6">
        <v>7.3</v>
      </c>
      <c r="U6">
        <v>137.5</v>
      </c>
      <c r="V6" s="16"/>
      <c r="X6" s="10" t="s">
        <v>219</v>
      </c>
      <c r="Y6" s="10" t="s">
        <v>231</v>
      </c>
      <c r="Z6" s="10" t="b">
        <f t="shared" si="1"/>
        <v>0</v>
      </c>
      <c r="AA6" s="10" t="s">
        <v>223</v>
      </c>
      <c r="AB6" s="10">
        <v>25</v>
      </c>
      <c r="AC6" s="10">
        <v>593.1</v>
      </c>
      <c r="AD6" s="10">
        <v>21.5</v>
      </c>
      <c r="AE6" s="10">
        <v>1.6</v>
      </c>
      <c r="AF6" s="10">
        <v>34.4</v>
      </c>
      <c r="AG6" s="10" t="s">
        <v>232</v>
      </c>
      <c r="AI6" s="10" t="s">
        <v>419</v>
      </c>
      <c r="AJ6" s="25" t="s">
        <v>176</v>
      </c>
      <c r="AK6" s="10" t="b">
        <f t="shared" si="2"/>
        <v>0</v>
      </c>
      <c r="AL6" s="25">
        <v>10.217000000000001</v>
      </c>
      <c r="AM6" s="25">
        <v>6.0999999999999999E-2</v>
      </c>
      <c r="AN6" s="25">
        <v>0.4889</v>
      </c>
      <c r="AO6" s="25">
        <v>2.6888000000000001</v>
      </c>
    </row>
    <row r="7" spans="1:41" x14ac:dyDescent="0.2">
      <c r="A7" s="10" t="s">
        <v>188</v>
      </c>
      <c r="B7" s="10" t="s">
        <v>85</v>
      </c>
      <c r="C7" s="16"/>
      <c r="D7" s="16"/>
      <c r="E7" s="16"/>
      <c r="F7" s="16"/>
      <c r="G7" s="16"/>
      <c r="H7" s="16"/>
      <c r="K7" s="10" t="s">
        <v>212</v>
      </c>
      <c r="L7" s="10" t="s">
        <v>80</v>
      </c>
      <c r="M7" s="10" t="b">
        <f t="shared" si="0"/>
        <v>1</v>
      </c>
      <c r="N7">
        <v>23463</v>
      </c>
      <c r="O7">
        <v>20000</v>
      </c>
      <c r="P7">
        <v>13.04</v>
      </c>
      <c r="Q7">
        <v>22</v>
      </c>
      <c r="R7">
        <v>6</v>
      </c>
      <c r="S7">
        <v>36.75</v>
      </c>
      <c r="T7">
        <v>26.2</v>
      </c>
      <c r="U7">
        <v>63</v>
      </c>
      <c r="V7" s="16"/>
      <c r="X7" s="10" t="s">
        <v>219</v>
      </c>
      <c r="Y7" s="10" t="s">
        <v>45</v>
      </c>
      <c r="Z7" s="10" t="b">
        <f t="shared" si="1"/>
        <v>1</v>
      </c>
      <c r="AA7" s="10" t="s">
        <v>223</v>
      </c>
      <c r="AB7" s="10">
        <v>4</v>
      </c>
      <c r="AC7" s="10">
        <v>1000</v>
      </c>
      <c r="AD7" s="10">
        <v>19.5</v>
      </c>
      <c r="AE7" s="10">
        <v>1</v>
      </c>
      <c r="AF7" s="10">
        <v>19.5</v>
      </c>
      <c r="AG7" s="10" t="s">
        <v>233</v>
      </c>
      <c r="AI7" s="10" t="s">
        <v>419</v>
      </c>
      <c r="AJ7" s="25" t="s">
        <v>189</v>
      </c>
      <c r="AK7" s="10" t="b">
        <f t="shared" si="2"/>
        <v>0</v>
      </c>
      <c r="AL7" s="25">
        <v>8</v>
      </c>
      <c r="AM7" s="25">
        <v>4.53E-2</v>
      </c>
      <c r="AN7" s="25">
        <v>0.2082</v>
      </c>
      <c r="AO7" s="25">
        <v>0.8921</v>
      </c>
    </row>
    <row r="8" spans="1:41" ht="16" customHeight="1" x14ac:dyDescent="0.2">
      <c r="A8" s="10" t="s">
        <v>188</v>
      </c>
      <c r="B8" s="10" t="s">
        <v>62</v>
      </c>
      <c r="C8" s="18"/>
      <c r="D8" s="18"/>
      <c r="E8" s="18"/>
      <c r="F8" s="18"/>
      <c r="G8" s="18"/>
      <c r="H8" s="18">
        <v>19.8</v>
      </c>
      <c r="K8" s="10" t="s">
        <v>212</v>
      </c>
      <c r="L8" s="10" t="s">
        <v>400</v>
      </c>
      <c r="M8" s="10" t="b">
        <f t="shared" si="0"/>
        <v>0</v>
      </c>
      <c r="N8">
        <v>819</v>
      </c>
      <c r="O8">
        <v>819</v>
      </c>
      <c r="P8">
        <v>7.06</v>
      </c>
      <c r="Q8">
        <v>12.2</v>
      </c>
      <c r="R8">
        <v>2.5</v>
      </c>
      <c r="S8"/>
      <c r="T8"/>
      <c r="U8">
        <v>61.93</v>
      </c>
      <c r="V8" s="16"/>
      <c r="X8" s="10" t="s">
        <v>219</v>
      </c>
      <c r="Y8" s="10" t="s">
        <v>234</v>
      </c>
      <c r="Z8" s="10" t="b">
        <f t="shared" si="1"/>
        <v>0</v>
      </c>
      <c r="AA8" s="10" t="s">
        <v>224</v>
      </c>
      <c r="AB8" s="10">
        <v>32</v>
      </c>
      <c r="AC8" s="10">
        <v>402.5</v>
      </c>
      <c r="AD8" s="10">
        <v>10.84</v>
      </c>
      <c r="AE8" s="10">
        <v>3</v>
      </c>
      <c r="AF8" s="10">
        <v>32.51</v>
      </c>
      <c r="AG8" s="10" t="s">
        <v>235</v>
      </c>
      <c r="AH8" s="11"/>
      <c r="AI8" s="10" t="s">
        <v>419</v>
      </c>
      <c r="AJ8" s="25" t="s">
        <v>211</v>
      </c>
      <c r="AK8" s="10" t="b">
        <f t="shared" si="2"/>
        <v>0</v>
      </c>
      <c r="AL8" s="25">
        <v>0.48699999999999999</v>
      </c>
      <c r="AM8" s="25">
        <v>1.2999999999999999E-2</v>
      </c>
      <c r="AN8" s="25">
        <v>2.2800000000000001E-2</v>
      </c>
      <c r="AO8" s="25">
        <v>7.9600000000000004E-2</v>
      </c>
    </row>
    <row r="9" spans="1:41" x14ac:dyDescent="0.2">
      <c r="A9" s="10" t="s">
        <v>188</v>
      </c>
      <c r="B9" s="10" t="s">
        <v>61</v>
      </c>
      <c r="C9" s="16"/>
      <c r="D9" s="16"/>
      <c r="E9" s="16"/>
      <c r="F9" s="16"/>
      <c r="G9" s="16"/>
      <c r="H9" s="16"/>
      <c r="K9" s="10" t="s">
        <v>212</v>
      </c>
      <c r="L9" s="10" t="s">
        <v>79</v>
      </c>
      <c r="M9" s="10" t="b">
        <f t="shared" si="0"/>
        <v>1</v>
      </c>
      <c r="N9">
        <v>4765</v>
      </c>
      <c r="O9">
        <v>4765</v>
      </c>
      <c r="P9">
        <v>9.4649999999999999</v>
      </c>
      <c r="Q9">
        <v>18</v>
      </c>
      <c r="R9">
        <v>1.5</v>
      </c>
      <c r="S9">
        <v>50</v>
      </c>
      <c r="T9">
        <v>25.2</v>
      </c>
      <c r="U9">
        <v>60</v>
      </c>
      <c r="V9" s="16"/>
      <c r="X9" s="10" t="s">
        <v>219</v>
      </c>
      <c r="Y9" s="10" t="s">
        <v>236</v>
      </c>
      <c r="Z9" s="10" t="b">
        <f t="shared" si="1"/>
        <v>0</v>
      </c>
      <c r="AA9" s="10" t="s">
        <v>223</v>
      </c>
      <c r="AB9" s="10">
        <v>24</v>
      </c>
      <c r="AC9" s="10">
        <v>375</v>
      </c>
      <c r="AD9" s="10">
        <v>13.5</v>
      </c>
      <c r="AE9" s="10">
        <v>1.5</v>
      </c>
      <c r="AF9" s="10">
        <v>20.25</v>
      </c>
      <c r="AG9" s="10" t="s">
        <v>226</v>
      </c>
      <c r="AH9" s="11"/>
      <c r="AI9" s="10" t="s">
        <v>419</v>
      </c>
      <c r="AJ9" s="25" t="s">
        <v>200</v>
      </c>
      <c r="AK9" s="10" t="b">
        <f t="shared" si="2"/>
        <v>0</v>
      </c>
      <c r="AL9" s="25">
        <v>0.17699999999999999</v>
      </c>
      <c r="AM9" s="25">
        <v>1.0999999999999999E-2</v>
      </c>
      <c r="AN9" s="25">
        <v>1.0999999999999999E-2</v>
      </c>
      <c r="AO9" s="25">
        <v>3.3000000000000002E-2</v>
      </c>
    </row>
    <row r="10" spans="1:41" x14ac:dyDescent="0.2">
      <c r="A10" s="10" t="s">
        <v>188</v>
      </c>
      <c r="B10" s="10" t="s">
        <v>87</v>
      </c>
      <c r="C10" s="18"/>
      <c r="D10" s="18"/>
      <c r="E10" s="18">
        <v>20</v>
      </c>
      <c r="F10" s="18">
        <v>1</v>
      </c>
      <c r="G10" s="18"/>
      <c r="H10" s="18">
        <v>35.799999999999997</v>
      </c>
      <c r="K10" s="10" t="s">
        <v>212</v>
      </c>
      <c r="L10" s="10" t="s">
        <v>176</v>
      </c>
      <c r="M10" s="10" t="b">
        <f t="shared" si="0"/>
        <v>0</v>
      </c>
      <c r="N10">
        <v>10217</v>
      </c>
      <c r="O10">
        <v>7955</v>
      </c>
      <c r="P10">
        <v>61</v>
      </c>
      <c r="Q10">
        <v>5</v>
      </c>
      <c r="R10">
        <v>3</v>
      </c>
      <c r="S10">
        <v>99.833333330000002</v>
      </c>
      <c r="T10">
        <v>12.8</v>
      </c>
      <c r="U10">
        <v>172.5</v>
      </c>
      <c r="V10" s="16"/>
      <c r="X10" s="10" t="s">
        <v>219</v>
      </c>
      <c r="Y10" s="10" t="s">
        <v>237</v>
      </c>
      <c r="Z10" s="10" t="b">
        <f t="shared" si="1"/>
        <v>0</v>
      </c>
      <c r="AA10" s="10" t="s">
        <v>225</v>
      </c>
      <c r="AB10" s="10">
        <v>4</v>
      </c>
      <c r="AC10" s="10">
        <v>1250</v>
      </c>
      <c r="AD10" s="10">
        <v>29.7</v>
      </c>
      <c r="AE10" s="10">
        <v>3</v>
      </c>
      <c r="AF10" s="10">
        <v>89.1</v>
      </c>
      <c r="AG10" s="10" t="s">
        <v>226</v>
      </c>
      <c r="AH10" s="11"/>
      <c r="AI10" s="10" t="s">
        <v>419</v>
      </c>
      <c r="AJ10" s="25" t="s">
        <v>64</v>
      </c>
      <c r="AK10" s="10" t="b">
        <f t="shared" si="2"/>
        <v>1</v>
      </c>
      <c r="AL10" s="25">
        <v>0.66700000000000004</v>
      </c>
      <c r="AM10" s="25">
        <v>2.75E-2</v>
      </c>
      <c r="AN10" s="25">
        <v>4.9500000000000002E-2</v>
      </c>
      <c r="AO10" s="25">
        <v>0.25580000000000003</v>
      </c>
    </row>
    <row r="11" spans="1:41" ht="16" customHeight="1" x14ac:dyDescent="0.2">
      <c r="A11" s="10" t="s">
        <v>188</v>
      </c>
      <c r="B11" s="10" t="s">
        <v>115</v>
      </c>
      <c r="C11" s="18">
        <v>5170</v>
      </c>
      <c r="D11" s="18">
        <v>7.7</v>
      </c>
      <c r="E11" s="18">
        <v>31.333333329999999</v>
      </c>
      <c r="F11" s="18">
        <v>0.85</v>
      </c>
      <c r="G11" s="18">
        <v>10.875</v>
      </c>
      <c r="H11" s="18">
        <v>47.000000010000001</v>
      </c>
      <c r="K11" s="10" t="s">
        <v>212</v>
      </c>
      <c r="L11" s="10" t="s">
        <v>189</v>
      </c>
      <c r="M11" s="10" t="b">
        <f t="shared" si="0"/>
        <v>0</v>
      </c>
      <c r="N11">
        <v>8000</v>
      </c>
      <c r="O11">
        <v>8800</v>
      </c>
      <c r="P11">
        <v>45</v>
      </c>
      <c r="Q11">
        <v>4.2980132449999999</v>
      </c>
      <c r="R11">
        <v>4</v>
      </c>
      <c r="S11">
        <v>100</v>
      </c>
      <c r="T11">
        <v>75</v>
      </c>
      <c r="U11">
        <v>239</v>
      </c>
      <c r="V11" s="16"/>
      <c r="X11" s="10" t="s">
        <v>219</v>
      </c>
      <c r="Y11" s="10" t="s">
        <v>238</v>
      </c>
      <c r="Z11" s="10" t="b">
        <f t="shared" si="1"/>
        <v>0</v>
      </c>
      <c r="AA11" s="10" t="s">
        <v>225</v>
      </c>
      <c r="AB11" s="10">
        <v>11</v>
      </c>
      <c r="AC11" s="10">
        <v>230</v>
      </c>
      <c r="AD11" s="10">
        <v>15.25</v>
      </c>
      <c r="AE11" s="10">
        <v>2</v>
      </c>
      <c r="AF11" s="10">
        <v>30.5</v>
      </c>
      <c r="AG11" s="10" t="s">
        <v>226</v>
      </c>
      <c r="AH11" s="11"/>
      <c r="AI11" s="10" t="s">
        <v>419</v>
      </c>
      <c r="AJ11" s="25" t="s">
        <v>642</v>
      </c>
      <c r="AK11" s="10" t="b">
        <f t="shared" si="2"/>
        <v>0</v>
      </c>
      <c r="AL11" s="25">
        <v>2</v>
      </c>
      <c r="AM11" s="25">
        <v>4.1700000000000001E-2</v>
      </c>
      <c r="AN11" s="25">
        <v>0.23810000000000001</v>
      </c>
      <c r="AO11" s="25">
        <v>0.83330000000000004</v>
      </c>
    </row>
    <row r="12" spans="1:41" x14ac:dyDescent="0.2">
      <c r="A12" s="10" t="s">
        <v>188</v>
      </c>
      <c r="B12" s="10" t="s">
        <v>64</v>
      </c>
      <c r="C12" s="18">
        <v>600</v>
      </c>
      <c r="D12" s="18">
        <v>13.75</v>
      </c>
      <c r="E12" s="18">
        <v>1</v>
      </c>
      <c r="F12" s="18">
        <v>5</v>
      </c>
      <c r="G12" s="18">
        <v>7</v>
      </c>
      <c r="H12" s="18">
        <v>11.8</v>
      </c>
      <c r="I12" s="24"/>
      <c r="K12" s="10" t="s">
        <v>212</v>
      </c>
      <c r="L12" s="10" t="s">
        <v>415</v>
      </c>
      <c r="M12" s="10" t="b">
        <f t="shared" si="0"/>
        <v>0</v>
      </c>
      <c r="N12">
        <v>17900</v>
      </c>
      <c r="O12">
        <v>17900</v>
      </c>
      <c r="P12">
        <v>64.575000000000003</v>
      </c>
      <c r="Q12">
        <v>26</v>
      </c>
      <c r="R12">
        <v>3</v>
      </c>
      <c r="S12">
        <v>21.7</v>
      </c>
      <c r="T12">
        <v>15.45</v>
      </c>
      <c r="U12">
        <v>79</v>
      </c>
      <c r="V12" s="16"/>
      <c r="X12" s="10" t="s">
        <v>219</v>
      </c>
      <c r="Y12" s="10" t="s">
        <v>239</v>
      </c>
      <c r="Z12" s="10" t="b">
        <f t="shared" si="1"/>
        <v>0</v>
      </c>
      <c r="AA12" s="10" t="s">
        <v>225</v>
      </c>
      <c r="AB12" s="10">
        <v>22</v>
      </c>
      <c r="AC12" s="10">
        <v>196</v>
      </c>
      <c r="AD12" s="10">
        <v>8.1999999999999993</v>
      </c>
      <c r="AE12" s="10">
        <v>1</v>
      </c>
      <c r="AF12" s="10">
        <v>8.1999999999999993</v>
      </c>
      <c r="AG12" s="10" t="s">
        <v>226</v>
      </c>
      <c r="AH12" s="11"/>
      <c r="AI12" s="10" t="s">
        <v>419</v>
      </c>
      <c r="AJ12" s="25" t="s">
        <v>643</v>
      </c>
      <c r="AK12" s="10" t="b">
        <f t="shared" si="2"/>
        <v>0</v>
      </c>
      <c r="AL12" s="25">
        <v>115.1</v>
      </c>
      <c r="AM12" s="25">
        <v>0.1195</v>
      </c>
      <c r="AN12" s="25">
        <v>1.3656999999999999</v>
      </c>
      <c r="AO12" s="25">
        <v>4.5523999999999996</v>
      </c>
    </row>
    <row r="13" spans="1:41" ht="16" customHeight="1" x14ac:dyDescent="0.2">
      <c r="A13" s="10" t="s">
        <v>188</v>
      </c>
      <c r="B13" s="10" t="s">
        <v>114</v>
      </c>
      <c r="C13" s="18">
        <v>361</v>
      </c>
      <c r="D13" s="18">
        <v>2.5</v>
      </c>
      <c r="E13" s="18">
        <v>10</v>
      </c>
      <c r="F13" s="18">
        <v>2.193333333</v>
      </c>
      <c r="G13" s="18">
        <v>6.6960616440000003</v>
      </c>
      <c r="H13" s="18">
        <v>61</v>
      </c>
      <c r="K13" s="10" t="s">
        <v>212</v>
      </c>
      <c r="L13" s="10" t="s">
        <v>48</v>
      </c>
      <c r="M13" s="10" t="b">
        <f t="shared" si="0"/>
        <v>1</v>
      </c>
      <c r="N13">
        <v>20950</v>
      </c>
      <c r="O13">
        <v>16900</v>
      </c>
      <c r="P13">
        <v>70.400000000000006</v>
      </c>
      <c r="Q13">
        <v>12</v>
      </c>
      <c r="R13">
        <v>2</v>
      </c>
      <c r="S13">
        <v>80</v>
      </c>
      <c r="T13">
        <v>60</v>
      </c>
      <c r="U13">
        <v>80</v>
      </c>
      <c r="V13" s="16"/>
      <c r="X13" s="10" t="s">
        <v>219</v>
      </c>
      <c r="Y13" s="10" t="s">
        <v>240</v>
      </c>
      <c r="Z13" s="10" t="b">
        <f t="shared" si="1"/>
        <v>0</v>
      </c>
      <c r="AA13" s="10" t="s">
        <v>223</v>
      </c>
      <c r="AB13" s="10">
        <v>4</v>
      </c>
      <c r="AC13" s="10">
        <v>950</v>
      </c>
      <c r="AD13" s="10">
        <v>48.7</v>
      </c>
      <c r="AE13" s="10">
        <v>1</v>
      </c>
      <c r="AF13" s="10">
        <v>48.7</v>
      </c>
      <c r="AG13" s="10" t="s">
        <v>226</v>
      </c>
      <c r="AH13" s="11"/>
      <c r="AI13" s="10" t="s">
        <v>419</v>
      </c>
      <c r="AJ13" s="25" t="s">
        <v>644</v>
      </c>
      <c r="AK13" s="10" t="b">
        <f t="shared" si="2"/>
        <v>0</v>
      </c>
      <c r="AL13" s="25">
        <v>4.8499999999999996</v>
      </c>
      <c r="AM13" s="25">
        <v>2.8000000000000001E-2</v>
      </c>
      <c r="AN13" s="25">
        <v>0.13189999999999999</v>
      </c>
      <c r="AO13" s="25">
        <v>0.33889999999999998</v>
      </c>
    </row>
    <row r="14" spans="1:41" x14ac:dyDescent="0.2">
      <c r="A14" s="10" t="s">
        <v>188</v>
      </c>
      <c r="B14" s="10" t="s">
        <v>73</v>
      </c>
      <c r="C14" s="18">
        <v>165</v>
      </c>
      <c r="D14" s="18"/>
      <c r="E14" s="18">
        <v>5.8666666669999996</v>
      </c>
      <c r="F14" s="18">
        <v>1</v>
      </c>
      <c r="G14" s="18">
        <v>7</v>
      </c>
      <c r="H14" s="18">
        <v>30</v>
      </c>
      <c r="K14" s="10" t="s">
        <v>212</v>
      </c>
      <c r="L14" s="10" t="s">
        <v>476</v>
      </c>
      <c r="M14" s="10" t="b">
        <f t="shared" si="0"/>
        <v>0</v>
      </c>
      <c r="N14">
        <v>7270</v>
      </c>
      <c r="O14">
        <v>7270</v>
      </c>
      <c r="P14">
        <v>35.200000000000003</v>
      </c>
      <c r="Q14">
        <v>30</v>
      </c>
      <c r="R14"/>
      <c r="S14">
        <v>6.8</v>
      </c>
      <c r="T14">
        <v>6.8</v>
      </c>
      <c r="U14"/>
      <c r="V14" s="16"/>
      <c r="X14" s="10" t="s">
        <v>219</v>
      </c>
      <c r="Y14" s="10" t="s">
        <v>241</v>
      </c>
      <c r="Z14" s="10" t="b">
        <f t="shared" si="1"/>
        <v>0</v>
      </c>
      <c r="AA14" s="10" t="s">
        <v>225</v>
      </c>
      <c r="AB14" s="10">
        <v>27</v>
      </c>
      <c r="AC14" s="10">
        <v>7270</v>
      </c>
      <c r="AD14" s="10">
        <v>35.200000000000003</v>
      </c>
      <c r="AE14" s="10">
        <v>23</v>
      </c>
      <c r="AF14" s="10">
        <v>809</v>
      </c>
      <c r="AG14" s="10" t="s">
        <v>226</v>
      </c>
      <c r="AH14" s="11"/>
      <c r="AI14" s="10" t="s">
        <v>419</v>
      </c>
      <c r="AJ14" s="25" t="s">
        <v>199</v>
      </c>
      <c r="AK14" s="10" t="b">
        <f t="shared" si="2"/>
        <v>0</v>
      </c>
      <c r="AL14" s="25">
        <v>43.533000000000001</v>
      </c>
      <c r="AM14" s="25">
        <v>4.7300000000000002E-2</v>
      </c>
      <c r="AN14" s="25">
        <v>0.79069999999999996</v>
      </c>
      <c r="AO14" s="25">
        <v>2.1745000000000001</v>
      </c>
    </row>
    <row r="15" spans="1:41" x14ac:dyDescent="0.2">
      <c r="A15" s="10" t="s">
        <v>188</v>
      </c>
      <c r="B15" s="10" t="s">
        <v>45</v>
      </c>
      <c r="C15" s="18"/>
      <c r="D15" s="18"/>
      <c r="E15" s="18"/>
      <c r="F15" s="18"/>
      <c r="G15" s="18"/>
      <c r="H15" s="18">
        <v>38.200000000000003</v>
      </c>
      <c r="K15" s="10" t="s">
        <v>212</v>
      </c>
      <c r="L15" s="10" t="s">
        <v>477</v>
      </c>
      <c r="M15" s="10" t="b">
        <f t="shared" si="0"/>
        <v>0</v>
      </c>
      <c r="N15">
        <v>21100</v>
      </c>
      <c r="O15">
        <v>21100</v>
      </c>
      <c r="P15">
        <v>55.3</v>
      </c>
      <c r="Q15">
        <v>17</v>
      </c>
      <c r="R15">
        <v>1</v>
      </c>
      <c r="S15"/>
      <c r="T15"/>
      <c r="U15">
        <v>83</v>
      </c>
      <c r="V15" s="16"/>
      <c r="X15" s="10" t="s">
        <v>219</v>
      </c>
      <c r="Y15" s="10" t="s">
        <v>242</v>
      </c>
      <c r="Z15" s="10" t="b">
        <f t="shared" si="1"/>
        <v>0</v>
      </c>
      <c r="AA15" s="10" t="s">
        <v>223</v>
      </c>
      <c r="AB15" s="10">
        <v>27</v>
      </c>
      <c r="AC15" s="10">
        <v>21100</v>
      </c>
      <c r="AD15" s="10">
        <v>55.3</v>
      </c>
      <c r="AE15" s="10">
        <v>17</v>
      </c>
      <c r="AF15" s="10">
        <v>940</v>
      </c>
      <c r="AG15" s="10" t="s">
        <v>226</v>
      </c>
      <c r="AH15" s="11"/>
      <c r="AI15" s="10" t="s">
        <v>419</v>
      </c>
      <c r="AJ15" s="25" t="s">
        <v>54</v>
      </c>
      <c r="AK15" s="10" t="b">
        <f t="shared" si="2"/>
        <v>1</v>
      </c>
      <c r="AL15" s="25">
        <v>1.756</v>
      </c>
      <c r="AM15" s="25">
        <v>1.77E-2</v>
      </c>
      <c r="AN15" s="25">
        <v>0.1328</v>
      </c>
      <c r="AO15" s="25">
        <v>0.31859999999999999</v>
      </c>
    </row>
    <row r="16" spans="1:41" x14ac:dyDescent="0.2">
      <c r="A16" s="10" t="s">
        <v>188</v>
      </c>
      <c r="B16" s="10" t="s">
        <v>43</v>
      </c>
      <c r="C16" s="16"/>
      <c r="D16" s="16"/>
      <c r="E16" s="16"/>
      <c r="F16" s="16"/>
      <c r="G16" s="16"/>
      <c r="H16" s="16"/>
      <c r="K16" s="10" t="s">
        <v>212</v>
      </c>
      <c r="L16" s="10" t="s">
        <v>478</v>
      </c>
      <c r="M16" s="10" t="b">
        <f t="shared" si="0"/>
        <v>0</v>
      </c>
      <c r="N16"/>
      <c r="O16"/>
      <c r="P16"/>
      <c r="Q16">
        <v>25</v>
      </c>
      <c r="R16"/>
      <c r="S16"/>
      <c r="T16"/>
      <c r="U16"/>
      <c r="V16" s="16"/>
      <c r="X16" s="10" t="s">
        <v>219</v>
      </c>
      <c r="Y16" s="10" t="s">
        <v>243</v>
      </c>
      <c r="Z16" s="10" t="b">
        <f t="shared" si="1"/>
        <v>0</v>
      </c>
      <c r="AA16" s="10" t="s">
        <v>225</v>
      </c>
      <c r="AB16" s="10">
        <v>31</v>
      </c>
      <c r="AC16" s="10">
        <v>919</v>
      </c>
      <c r="AD16" s="10">
        <v>12.4</v>
      </c>
      <c r="AE16" s="10">
        <v>6.7</v>
      </c>
      <c r="AF16" s="10">
        <v>82.8</v>
      </c>
      <c r="AG16" s="10" t="s">
        <v>226</v>
      </c>
      <c r="AH16" s="11"/>
      <c r="AI16" s="10" t="s">
        <v>419</v>
      </c>
      <c r="AJ16" s="25" t="s">
        <v>56</v>
      </c>
      <c r="AK16" s="10" t="b">
        <f t="shared" si="2"/>
        <v>1</v>
      </c>
      <c r="AL16" s="25">
        <v>2.6120000000000001</v>
      </c>
      <c r="AM16" s="25">
        <v>1.37E-2</v>
      </c>
      <c r="AN16" s="25">
        <v>8.0600000000000005E-2</v>
      </c>
      <c r="AO16" s="25">
        <v>0.25800000000000001</v>
      </c>
    </row>
    <row r="17" spans="1:41" x14ac:dyDescent="0.2">
      <c r="A17" s="10" t="s">
        <v>188</v>
      </c>
      <c r="B17" s="10" t="s">
        <v>44</v>
      </c>
      <c r="C17" s="18"/>
      <c r="D17" s="18"/>
      <c r="E17" s="18">
        <v>4</v>
      </c>
      <c r="F17" s="18">
        <v>1</v>
      </c>
      <c r="G17" s="18"/>
      <c r="H17" s="18">
        <v>31.8</v>
      </c>
      <c r="K17" s="10" t="s">
        <v>212</v>
      </c>
      <c r="L17" s="10" t="s">
        <v>447</v>
      </c>
      <c r="M17" s="10" t="b">
        <f t="shared" si="0"/>
        <v>0</v>
      </c>
      <c r="N17">
        <v>109150</v>
      </c>
      <c r="O17">
        <v>92400</v>
      </c>
      <c r="P17">
        <v>36.5</v>
      </c>
      <c r="Q17">
        <v>115</v>
      </c>
      <c r="R17">
        <v>1.2849999999999999</v>
      </c>
      <c r="S17">
        <v>76</v>
      </c>
      <c r="T17">
        <v>37</v>
      </c>
      <c r="U17">
        <v>57</v>
      </c>
      <c r="V17" s="16"/>
      <c r="X17" s="10" t="s">
        <v>219</v>
      </c>
      <c r="Y17" s="10" t="s">
        <v>244</v>
      </c>
      <c r="Z17" s="10" t="b">
        <f t="shared" si="1"/>
        <v>0</v>
      </c>
      <c r="AA17" s="10" t="s">
        <v>223</v>
      </c>
      <c r="AB17" s="10">
        <v>23</v>
      </c>
      <c r="AC17" s="10">
        <v>780</v>
      </c>
      <c r="AD17" s="10">
        <v>10.75</v>
      </c>
      <c r="AE17" s="10">
        <v>8</v>
      </c>
      <c r="AF17" s="10">
        <v>86</v>
      </c>
      <c r="AG17" s="10" t="s">
        <v>245</v>
      </c>
      <c r="AH17" s="11"/>
      <c r="AI17" s="10" t="s">
        <v>419</v>
      </c>
      <c r="AJ17" s="25" t="s">
        <v>57</v>
      </c>
      <c r="AK17" s="10" t="b">
        <f t="shared" si="2"/>
        <v>1</v>
      </c>
      <c r="AL17" s="25">
        <v>1.018</v>
      </c>
      <c r="AM17" s="25">
        <v>1.7500000000000002E-2</v>
      </c>
      <c r="AN17" s="25">
        <v>7.0000000000000007E-2</v>
      </c>
      <c r="AO17" s="25">
        <v>0.21</v>
      </c>
    </row>
    <row r="18" spans="1:41" x14ac:dyDescent="0.2">
      <c r="A18" s="10" t="s">
        <v>188</v>
      </c>
      <c r="B18" s="11" t="s">
        <v>89</v>
      </c>
      <c r="C18" s="18">
        <v>1150</v>
      </c>
      <c r="D18" s="18">
        <v>6.1</v>
      </c>
      <c r="E18" s="18">
        <v>11.733333330000001</v>
      </c>
      <c r="F18" s="18">
        <v>1</v>
      </c>
      <c r="G18" s="18">
        <v>14.26940639</v>
      </c>
      <c r="H18" s="18">
        <v>77</v>
      </c>
      <c r="K18" s="10" t="s">
        <v>212</v>
      </c>
      <c r="L18" s="10" t="s">
        <v>420</v>
      </c>
      <c r="M18" s="10" t="b">
        <f t="shared" si="0"/>
        <v>0</v>
      </c>
      <c r="N18">
        <v>16275</v>
      </c>
      <c r="O18">
        <v>10050</v>
      </c>
      <c r="P18">
        <v>36.950000000000003</v>
      </c>
      <c r="Q18">
        <v>22.5</v>
      </c>
      <c r="R18">
        <v>0.75</v>
      </c>
      <c r="S18">
        <v>38.4</v>
      </c>
      <c r="T18">
        <v>38.4</v>
      </c>
      <c r="U18">
        <v>69</v>
      </c>
      <c r="V18" s="16"/>
      <c r="X18" s="10" t="s">
        <v>219</v>
      </c>
      <c r="Y18" s="10" t="s">
        <v>246</v>
      </c>
      <c r="Z18" s="10" t="b">
        <f t="shared" si="1"/>
        <v>0</v>
      </c>
      <c r="AA18" s="10" t="s">
        <v>223</v>
      </c>
      <c r="AB18" s="10">
        <v>27</v>
      </c>
      <c r="AC18" s="10">
        <v>1033</v>
      </c>
      <c r="AD18" s="10">
        <v>21</v>
      </c>
      <c r="AE18" s="10">
        <v>6</v>
      </c>
      <c r="AF18" s="10">
        <v>126</v>
      </c>
      <c r="AG18" s="10" t="s">
        <v>226</v>
      </c>
      <c r="AH18" s="11"/>
      <c r="AI18" s="10" t="s">
        <v>419</v>
      </c>
      <c r="AJ18" s="25" t="s">
        <v>116</v>
      </c>
      <c r="AK18" s="10" t="b">
        <f t="shared" si="2"/>
        <v>1</v>
      </c>
      <c r="AL18" s="25">
        <v>1.2490000000000001</v>
      </c>
      <c r="AM18" s="25">
        <v>1.3599999999999999E-2</v>
      </c>
      <c r="AN18" s="25">
        <v>6.08E-2</v>
      </c>
      <c r="AO18" s="25">
        <v>0.1013</v>
      </c>
    </row>
    <row r="19" spans="1:41" x14ac:dyDescent="0.2">
      <c r="A19" s="10" t="s">
        <v>188</v>
      </c>
      <c r="B19" s="11" t="s">
        <v>91</v>
      </c>
      <c r="C19" s="18">
        <v>1096.478196</v>
      </c>
      <c r="D19" s="18"/>
      <c r="E19" s="18">
        <v>9.33</v>
      </c>
      <c r="F19" s="18">
        <v>2</v>
      </c>
      <c r="G19" s="18">
        <v>13.5</v>
      </c>
      <c r="H19" s="18">
        <v>120</v>
      </c>
      <c r="K19" s="10" t="s">
        <v>212</v>
      </c>
      <c r="L19" s="10" t="s">
        <v>422</v>
      </c>
      <c r="M19" s="10" t="b">
        <f t="shared" si="0"/>
        <v>0</v>
      </c>
      <c r="N19">
        <v>1006</v>
      </c>
      <c r="O19">
        <v>1006</v>
      </c>
      <c r="P19">
        <v>7.95</v>
      </c>
      <c r="Q19">
        <v>11.95</v>
      </c>
      <c r="R19">
        <v>2</v>
      </c>
      <c r="S19">
        <v>37</v>
      </c>
      <c r="T19">
        <v>37</v>
      </c>
      <c r="U19">
        <v>74</v>
      </c>
      <c r="V19" s="16"/>
      <c r="X19" s="10" t="s">
        <v>219</v>
      </c>
      <c r="Y19" s="10" t="s">
        <v>247</v>
      </c>
      <c r="Z19" s="10" t="b">
        <f t="shared" si="1"/>
        <v>0</v>
      </c>
      <c r="AA19" s="10" t="s">
        <v>223</v>
      </c>
      <c r="AB19" s="10">
        <v>27</v>
      </c>
      <c r="AC19" s="10">
        <v>1335</v>
      </c>
      <c r="AD19" s="10">
        <v>19</v>
      </c>
      <c r="AE19" s="10">
        <v>6.5</v>
      </c>
      <c r="AF19" s="10">
        <v>123.5</v>
      </c>
      <c r="AG19" s="10" t="s">
        <v>226</v>
      </c>
      <c r="AH19" s="11"/>
      <c r="AI19" s="10" t="s">
        <v>419</v>
      </c>
      <c r="AJ19" s="25" t="s">
        <v>52</v>
      </c>
      <c r="AK19" s="10" t="b">
        <f t="shared" si="2"/>
        <v>1</v>
      </c>
      <c r="AL19" s="25">
        <v>2.0449999999999999</v>
      </c>
      <c r="AM19" s="25">
        <v>4.7E-2</v>
      </c>
      <c r="AN19" s="25">
        <v>0.19980000000000001</v>
      </c>
      <c r="AO19" s="25">
        <v>0.39950000000000002</v>
      </c>
    </row>
    <row r="20" spans="1:41" ht="16" customHeight="1" x14ac:dyDescent="0.2">
      <c r="A20" s="10" t="s">
        <v>188</v>
      </c>
      <c r="B20" s="10" t="s">
        <v>60</v>
      </c>
      <c r="C20" s="18"/>
      <c r="D20" s="18"/>
      <c r="E20" s="18">
        <v>5.87</v>
      </c>
      <c r="F20" s="18">
        <v>1.85</v>
      </c>
      <c r="G20" s="18"/>
      <c r="H20" s="18">
        <v>24.3</v>
      </c>
      <c r="K20" s="10" t="s">
        <v>212</v>
      </c>
      <c r="L20" s="10" t="s">
        <v>423</v>
      </c>
      <c r="M20" s="10" t="b">
        <f t="shared" si="0"/>
        <v>0</v>
      </c>
      <c r="N20">
        <v>4744</v>
      </c>
      <c r="O20">
        <v>4744</v>
      </c>
      <c r="P20">
        <v>18.34</v>
      </c>
      <c r="Q20">
        <v>28</v>
      </c>
      <c r="R20"/>
      <c r="S20"/>
      <c r="T20"/>
      <c r="U20">
        <v>111.5</v>
      </c>
      <c r="V20" s="16"/>
      <c r="X20" s="10" t="s">
        <v>219</v>
      </c>
      <c r="Y20" s="10" t="s">
        <v>248</v>
      </c>
      <c r="Z20" s="10" t="b">
        <f t="shared" si="1"/>
        <v>0</v>
      </c>
      <c r="AA20" s="10" t="s">
        <v>225</v>
      </c>
      <c r="AB20" s="10">
        <v>34</v>
      </c>
      <c r="AC20" s="10">
        <v>494.2</v>
      </c>
      <c r="AD20" s="10">
        <v>8.33</v>
      </c>
      <c r="AE20" s="10">
        <v>6</v>
      </c>
      <c r="AF20" s="10">
        <v>49.98</v>
      </c>
      <c r="AG20" s="10" t="s">
        <v>226</v>
      </c>
      <c r="AH20" s="11"/>
      <c r="AI20" s="10" t="s">
        <v>419</v>
      </c>
      <c r="AJ20" s="25" t="s">
        <v>183</v>
      </c>
      <c r="AK20" s="10" t="b">
        <f t="shared" si="2"/>
        <v>0</v>
      </c>
      <c r="AL20" s="25">
        <v>26</v>
      </c>
      <c r="AM20" s="25">
        <v>5.7000000000000002E-2</v>
      </c>
      <c r="AN20" s="25">
        <v>2.2989999999999999</v>
      </c>
      <c r="AO20" s="25">
        <v>2.2989999999999999</v>
      </c>
    </row>
    <row r="21" spans="1:41" x14ac:dyDescent="0.2">
      <c r="A21" s="10" t="s">
        <v>188</v>
      </c>
      <c r="B21" s="10" t="s">
        <v>47</v>
      </c>
      <c r="C21" s="18"/>
      <c r="D21" s="18"/>
      <c r="E21" s="18"/>
      <c r="F21" s="18"/>
      <c r="G21" s="18"/>
      <c r="H21" s="18">
        <v>19.2</v>
      </c>
      <c r="K21" s="10" t="s">
        <v>212</v>
      </c>
      <c r="L21" s="10" t="s">
        <v>86</v>
      </c>
      <c r="M21" s="10" t="b">
        <f t="shared" si="0"/>
        <v>1</v>
      </c>
      <c r="N21">
        <v>1293</v>
      </c>
      <c r="O21">
        <v>1293</v>
      </c>
      <c r="P21">
        <v>7.3</v>
      </c>
      <c r="Q21">
        <v>13.9</v>
      </c>
      <c r="R21">
        <v>2</v>
      </c>
      <c r="S21">
        <v>37</v>
      </c>
      <c r="T21">
        <v>37</v>
      </c>
      <c r="U21">
        <v>72.5</v>
      </c>
      <c r="V21" s="16"/>
      <c r="X21" s="10" t="s">
        <v>219</v>
      </c>
      <c r="Y21" s="10" t="s">
        <v>249</v>
      </c>
      <c r="Z21" s="10" t="b">
        <f t="shared" si="1"/>
        <v>0</v>
      </c>
      <c r="AA21" s="10" t="s">
        <v>225</v>
      </c>
      <c r="AB21" s="10">
        <v>37</v>
      </c>
      <c r="AC21" s="10">
        <v>608</v>
      </c>
      <c r="AD21" s="10">
        <v>13.2</v>
      </c>
      <c r="AE21" s="10">
        <v>5.8</v>
      </c>
      <c r="AF21" s="10">
        <v>76.599999999999994</v>
      </c>
      <c r="AG21" s="10" t="s">
        <v>226</v>
      </c>
      <c r="AH21" s="11"/>
      <c r="AI21" s="10" t="s">
        <v>419</v>
      </c>
      <c r="AJ21" s="25" t="s">
        <v>70</v>
      </c>
      <c r="AK21" s="10" t="b">
        <f t="shared" si="2"/>
        <v>1</v>
      </c>
      <c r="AL21" s="25">
        <v>1.4</v>
      </c>
      <c r="AM21" s="25">
        <v>3.2899999999999999E-2</v>
      </c>
      <c r="AN21" s="25">
        <v>0.1903</v>
      </c>
      <c r="AO21" s="25">
        <v>0.38069999999999998</v>
      </c>
    </row>
    <row r="22" spans="1:41" x14ac:dyDescent="0.2">
      <c r="A22" s="10" t="s">
        <v>188</v>
      </c>
      <c r="B22" s="10" t="s">
        <v>50</v>
      </c>
      <c r="C22" s="16"/>
      <c r="D22" s="16"/>
      <c r="E22" s="16"/>
      <c r="F22" s="16"/>
      <c r="G22" s="16"/>
      <c r="H22" s="16"/>
      <c r="K22" s="10" t="s">
        <v>212</v>
      </c>
      <c r="L22" s="10" t="s">
        <v>85</v>
      </c>
      <c r="M22" s="10" t="b">
        <f t="shared" si="0"/>
        <v>1</v>
      </c>
      <c r="N22"/>
      <c r="O22"/>
      <c r="P22"/>
      <c r="Q22">
        <v>6.5</v>
      </c>
      <c r="R22"/>
      <c r="S22"/>
      <c r="T22"/>
      <c r="U22">
        <v>99.5</v>
      </c>
      <c r="V22" s="16"/>
      <c r="X22" s="10" t="s">
        <v>219</v>
      </c>
      <c r="Y22" s="10" t="s">
        <v>250</v>
      </c>
      <c r="Z22" s="10" t="b">
        <f t="shared" si="1"/>
        <v>0</v>
      </c>
      <c r="AA22" s="10" t="s">
        <v>225</v>
      </c>
      <c r="AB22" s="10">
        <v>38.5</v>
      </c>
      <c r="AC22" s="10">
        <v>774.9</v>
      </c>
      <c r="AD22" s="10">
        <v>8.39</v>
      </c>
      <c r="AE22" s="10">
        <v>9.6</v>
      </c>
      <c r="AF22" s="10">
        <v>80.540000000000006</v>
      </c>
      <c r="AG22" s="10" t="s">
        <v>354</v>
      </c>
      <c r="AH22" s="11"/>
    </row>
    <row r="23" spans="1:41" ht="16" customHeight="1" x14ac:dyDescent="0.2">
      <c r="A23" s="10" t="s">
        <v>188</v>
      </c>
      <c r="B23" s="10" t="s">
        <v>71</v>
      </c>
      <c r="C23" s="18"/>
      <c r="D23" s="18"/>
      <c r="E23" s="18">
        <v>10.5</v>
      </c>
      <c r="F23" s="18">
        <v>1.5</v>
      </c>
      <c r="G23" s="18">
        <v>16</v>
      </c>
      <c r="H23" s="18">
        <v>60</v>
      </c>
      <c r="K23" s="10" t="s">
        <v>212</v>
      </c>
      <c r="L23" s="10" t="s">
        <v>267</v>
      </c>
      <c r="M23" s="10" t="b">
        <f t="shared" si="0"/>
        <v>0</v>
      </c>
      <c r="N23">
        <v>1006</v>
      </c>
      <c r="O23">
        <v>1006</v>
      </c>
      <c r="P23">
        <v>7.95</v>
      </c>
      <c r="Q23">
        <v>11.95</v>
      </c>
      <c r="R23">
        <v>2</v>
      </c>
      <c r="S23">
        <v>37</v>
      </c>
      <c r="T23">
        <v>37</v>
      </c>
      <c r="U23">
        <v>74</v>
      </c>
      <c r="V23" s="16"/>
      <c r="X23" s="10" t="s">
        <v>219</v>
      </c>
      <c r="Y23" s="10" t="s">
        <v>251</v>
      </c>
      <c r="Z23" s="10" t="b">
        <f t="shared" si="1"/>
        <v>0</v>
      </c>
      <c r="AA23" s="10" t="s">
        <v>225</v>
      </c>
      <c r="AB23" s="10">
        <v>24</v>
      </c>
      <c r="AC23" s="10">
        <v>319.5</v>
      </c>
      <c r="AD23" s="10">
        <v>12.7</v>
      </c>
      <c r="AG23" s="10" t="s">
        <v>226</v>
      </c>
      <c r="AH23" s="11"/>
    </row>
    <row r="24" spans="1:41" x14ac:dyDescent="0.2">
      <c r="A24" s="10" t="s">
        <v>188</v>
      </c>
      <c r="B24" s="10" t="s">
        <v>72</v>
      </c>
      <c r="C24" s="18"/>
      <c r="D24" s="18"/>
      <c r="E24" s="18">
        <v>3</v>
      </c>
      <c r="F24" s="18">
        <v>1.25</v>
      </c>
      <c r="G24" s="18">
        <v>7.9452054790000002</v>
      </c>
      <c r="H24" s="18">
        <v>40</v>
      </c>
      <c r="K24" s="10" t="s">
        <v>212</v>
      </c>
      <c r="L24" s="10" t="s">
        <v>268</v>
      </c>
      <c r="M24" s="10" t="b">
        <f t="shared" si="0"/>
        <v>0</v>
      </c>
      <c r="N24">
        <v>1174.75</v>
      </c>
      <c r="O24">
        <v>1174.75</v>
      </c>
      <c r="P24">
        <v>13.13</v>
      </c>
      <c r="Q24">
        <v>9.75</v>
      </c>
      <c r="R24"/>
      <c r="S24">
        <v>4.4000000000000004</v>
      </c>
      <c r="T24">
        <v>4.4000000000000004</v>
      </c>
      <c r="U24">
        <v>165</v>
      </c>
      <c r="V24" s="16"/>
      <c r="X24" s="10" t="s">
        <v>219</v>
      </c>
      <c r="Y24" s="10" t="s">
        <v>252</v>
      </c>
      <c r="Z24" s="10" t="b">
        <f t="shared" si="1"/>
        <v>0</v>
      </c>
      <c r="AA24" s="10" t="s">
        <v>223</v>
      </c>
      <c r="AB24" s="10">
        <v>27</v>
      </c>
      <c r="AC24" s="10">
        <v>760</v>
      </c>
      <c r="AD24" s="10">
        <v>15</v>
      </c>
      <c r="AE24" s="10">
        <v>3</v>
      </c>
      <c r="AF24" s="10">
        <v>45</v>
      </c>
      <c r="AG24" s="10" t="s">
        <v>226</v>
      </c>
      <c r="AH24" s="11"/>
    </row>
    <row r="25" spans="1:41" x14ac:dyDescent="0.2">
      <c r="A25" s="10" t="s">
        <v>188</v>
      </c>
      <c r="B25" s="10" t="s">
        <v>70</v>
      </c>
      <c r="C25" s="18">
        <v>2290</v>
      </c>
      <c r="D25" s="18">
        <v>18.75</v>
      </c>
      <c r="E25" s="18">
        <v>6.25</v>
      </c>
      <c r="F25" s="18">
        <v>1.55</v>
      </c>
      <c r="G25" s="18">
        <v>16.784246580000001</v>
      </c>
      <c r="H25" s="18">
        <v>62.8</v>
      </c>
      <c r="K25" s="10" t="s">
        <v>212</v>
      </c>
      <c r="L25" s="10" t="s">
        <v>269</v>
      </c>
      <c r="M25" s="10" t="b">
        <f t="shared" si="0"/>
        <v>0</v>
      </c>
      <c r="N25">
        <v>1065</v>
      </c>
      <c r="O25">
        <v>1065</v>
      </c>
      <c r="P25">
        <v>12</v>
      </c>
      <c r="Q25">
        <v>9</v>
      </c>
      <c r="R25"/>
      <c r="S25"/>
      <c r="T25"/>
      <c r="U25">
        <v>95</v>
      </c>
      <c r="V25" s="16"/>
      <c r="X25" s="10" t="s">
        <v>219</v>
      </c>
      <c r="Y25" s="10" t="s">
        <v>253</v>
      </c>
      <c r="Z25" s="10" t="b">
        <f t="shared" si="1"/>
        <v>0</v>
      </c>
      <c r="AA25" s="10" t="s">
        <v>225</v>
      </c>
      <c r="AB25" s="10">
        <v>19</v>
      </c>
      <c r="AC25" s="10">
        <v>1241</v>
      </c>
      <c r="AD25" s="10">
        <v>14.7</v>
      </c>
      <c r="AE25" s="10">
        <v>6</v>
      </c>
      <c r="AF25" s="10">
        <v>88.3</v>
      </c>
      <c r="AG25" s="10" t="s">
        <v>226</v>
      </c>
      <c r="AH25" s="11"/>
    </row>
    <row r="26" spans="1:41" x14ac:dyDescent="0.2">
      <c r="A26" s="10" t="s">
        <v>188</v>
      </c>
      <c r="B26" s="10" t="s">
        <v>69</v>
      </c>
      <c r="C26" s="18"/>
      <c r="D26" s="18">
        <v>21.1</v>
      </c>
      <c r="E26" s="18">
        <v>1.5</v>
      </c>
      <c r="F26" s="18">
        <v>1.67</v>
      </c>
      <c r="G26" s="18">
        <v>4</v>
      </c>
      <c r="H26" s="18">
        <v>30.7</v>
      </c>
      <c r="K26" s="10" t="s">
        <v>212</v>
      </c>
      <c r="L26" s="10" t="s">
        <v>424</v>
      </c>
      <c r="M26" s="10" t="b">
        <f t="shared" si="0"/>
        <v>0</v>
      </c>
      <c r="N26">
        <v>1006</v>
      </c>
      <c r="O26">
        <v>1006</v>
      </c>
      <c r="P26">
        <v>7.95</v>
      </c>
      <c r="Q26">
        <v>11.95</v>
      </c>
      <c r="R26">
        <v>2</v>
      </c>
      <c r="S26">
        <v>37</v>
      </c>
      <c r="T26">
        <v>37</v>
      </c>
      <c r="U26">
        <v>75</v>
      </c>
      <c r="V26" s="16"/>
      <c r="X26" s="10" t="s">
        <v>219</v>
      </c>
      <c r="Y26" s="10" t="s">
        <v>254</v>
      </c>
      <c r="Z26" s="10" t="b">
        <f t="shared" si="1"/>
        <v>0</v>
      </c>
      <c r="AA26" s="10" t="s">
        <v>225</v>
      </c>
      <c r="AB26" s="10">
        <v>25</v>
      </c>
      <c r="AC26" s="10">
        <v>1444</v>
      </c>
      <c r="AD26" s="10">
        <v>8</v>
      </c>
      <c r="AE26" s="10">
        <v>12.6</v>
      </c>
      <c r="AF26" s="10">
        <v>100.8</v>
      </c>
      <c r="AG26" s="10" t="s">
        <v>255</v>
      </c>
      <c r="AH26" s="11"/>
    </row>
    <row r="27" spans="1:41" x14ac:dyDescent="0.2">
      <c r="A27" s="10" t="s">
        <v>188</v>
      </c>
      <c r="B27" s="10" t="s">
        <v>68</v>
      </c>
      <c r="C27" s="18">
        <v>2778</v>
      </c>
      <c r="D27" s="18">
        <v>8.75</v>
      </c>
      <c r="E27" s="18">
        <v>6</v>
      </c>
      <c r="F27" s="18">
        <v>1.9</v>
      </c>
      <c r="G27" s="18">
        <v>11</v>
      </c>
      <c r="H27" s="18">
        <v>71</v>
      </c>
      <c r="K27" s="10" t="s">
        <v>212</v>
      </c>
      <c r="L27" s="10" t="s">
        <v>90</v>
      </c>
      <c r="M27" s="10" t="b">
        <f t="shared" si="0"/>
        <v>0</v>
      </c>
      <c r="N27">
        <v>160000</v>
      </c>
      <c r="O27">
        <v>128100</v>
      </c>
      <c r="P27">
        <v>46.9</v>
      </c>
      <c r="Q27">
        <v>112.5</v>
      </c>
      <c r="R27">
        <v>1.03</v>
      </c>
      <c r="S27">
        <v>75</v>
      </c>
      <c r="T27">
        <v>75</v>
      </c>
      <c r="U27">
        <v>59</v>
      </c>
      <c r="V27" s="16"/>
      <c r="X27" s="10" t="s">
        <v>219</v>
      </c>
      <c r="Y27" s="10" t="s">
        <v>256</v>
      </c>
      <c r="Z27" s="10" t="b">
        <f t="shared" si="1"/>
        <v>0</v>
      </c>
      <c r="AA27" s="10" t="s">
        <v>224</v>
      </c>
      <c r="AB27" s="10">
        <v>4</v>
      </c>
      <c r="AC27" s="10">
        <v>12400</v>
      </c>
      <c r="AD27" s="10">
        <v>94.3</v>
      </c>
      <c r="AE27" s="10">
        <v>12</v>
      </c>
      <c r="AF27" s="10">
        <v>1132</v>
      </c>
      <c r="AG27" s="10" t="s">
        <v>226</v>
      </c>
    </row>
    <row r="28" spans="1:41" x14ac:dyDescent="0.2">
      <c r="A28" s="10" t="s">
        <v>188</v>
      </c>
      <c r="B28" s="10" t="s">
        <v>113</v>
      </c>
      <c r="C28" s="18"/>
      <c r="D28" s="18"/>
      <c r="E28" s="18">
        <v>6</v>
      </c>
      <c r="F28" s="18">
        <v>3</v>
      </c>
      <c r="G28" s="18">
        <v>13</v>
      </c>
      <c r="H28" s="18">
        <v>14.499999989999999</v>
      </c>
      <c r="K28" s="10" t="s">
        <v>212</v>
      </c>
      <c r="L28" s="10" t="s">
        <v>190</v>
      </c>
      <c r="M28" s="10" t="b">
        <f t="shared" si="0"/>
        <v>0</v>
      </c>
      <c r="N28">
        <v>175000</v>
      </c>
      <c r="O28"/>
      <c r="P28">
        <v>119.75</v>
      </c>
      <c r="Q28">
        <v>10</v>
      </c>
      <c r="R28">
        <v>3.3333821480000001</v>
      </c>
      <c r="S28">
        <v>177</v>
      </c>
      <c r="T28">
        <v>70</v>
      </c>
      <c r="U28">
        <v>112</v>
      </c>
      <c r="V28" s="16"/>
      <c r="X28" s="10" t="s">
        <v>219</v>
      </c>
      <c r="Y28" s="10" t="s">
        <v>257</v>
      </c>
      <c r="Z28" s="10" t="b">
        <f t="shared" si="1"/>
        <v>0</v>
      </c>
      <c r="AA28" s="10" t="s">
        <v>223</v>
      </c>
      <c r="AB28" s="10">
        <v>19</v>
      </c>
      <c r="AC28" s="10">
        <v>731.5</v>
      </c>
      <c r="AD28" s="10">
        <v>33.58</v>
      </c>
      <c r="AE28" s="10">
        <v>1</v>
      </c>
      <c r="AF28" s="10">
        <v>33.58</v>
      </c>
      <c r="AG28" s="10" t="s">
        <v>226</v>
      </c>
    </row>
    <row r="29" spans="1:41" x14ac:dyDescent="0.2">
      <c r="A29" s="10" t="s">
        <v>188</v>
      </c>
      <c r="B29" s="11" t="s">
        <v>98</v>
      </c>
      <c r="C29" s="18">
        <v>1585</v>
      </c>
      <c r="D29" s="18">
        <v>5.41</v>
      </c>
      <c r="E29" s="18">
        <v>14.5</v>
      </c>
      <c r="F29" s="18">
        <v>2.056666667</v>
      </c>
      <c r="G29" s="18">
        <v>14</v>
      </c>
      <c r="H29" s="18">
        <v>20</v>
      </c>
      <c r="K29" s="10" t="s">
        <v>212</v>
      </c>
      <c r="L29" s="10" t="s">
        <v>191</v>
      </c>
      <c r="M29" s="10" t="b">
        <f t="shared" si="0"/>
        <v>0</v>
      </c>
      <c r="N29">
        <v>175000</v>
      </c>
      <c r="O29"/>
      <c r="P29">
        <v>119.75</v>
      </c>
      <c r="Q29">
        <v>10</v>
      </c>
      <c r="R29">
        <v>3.3333821480000001</v>
      </c>
      <c r="S29">
        <v>177</v>
      </c>
      <c r="T29">
        <v>70</v>
      </c>
      <c r="U29">
        <v>112</v>
      </c>
      <c r="V29" s="16"/>
      <c r="X29" s="10" t="s">
        <v>219</v>
      </c>
      <c r="Y29" s="10" t="s">
        <v>258</v>
      </c>
      <c r="Z29" s="10" t="b">
        <f t="shared" si="1"/>
        <v>0</v>
      </c>
      <c r="AA29" s="10" t="s">
        <v>225</v>
      </c>
      <c r="AB29" s="10">
        <v>10</v>
      </c>
      <c r="AC29" s="10">
        <v>1126</v>
      </c>
      <c r="AD29" s="10">
        <v>33.5</v>
      </c>
      <c r="AE29" s="10">
        <v>2</v>
      </c>
      <c r="AF29" s="10">
        <v>66.97</v>
      </c>
      <c r="AG29" s="10" t="s">
        <v>226</v>
      </c>
    </row>
    <row r="30" spans="1:41" x14ac:dyDescent="0.2">
      <c r="A30" s="10" t="s">
        <v>188</v>
      </c>
      <c r="B30" s="10" t="s">
        <v>75</v>
      </c>
      <c r="C30" s="18">
        <v>1477</v>
      </c>
      <c r="D30" s="18">
        <v>4.8899999999999997</v>
      </c>
      <c r="E30" s="18">
        <v>14.7</v>
      </c>
      <c r="F30" s="18">
        <v>2.39</v>
      </c>
      <c r="G30" s="18">
        <v>9</v>
      </c>
      <c r="H30" s="18">
        <v>33.000000010000001</v>
      </c>
      <c r="K30" s="10" t="s">
        <v>212</v>
      </c>
      <c r="L30" s="10" t="s">
        <v>177</v>
      </c>
      <c r="M30" s="10" t="b">
        <f t="shared" si="0"/>
        <v>0</v>
      </c>
      <c r="N30">
        <v>2000</v>
      </c>
      <c r="O30"/>
      <c r="P30">
        <v>41.85</v>
      </c>
      <c r="Q30">
        <v>5.709832134</v>
      </c>
      <c r="R30">
        <v>3.4997900039999998</v>
      </c>
      <c r="S30">
        <v>49</v>
      </c>
      <c r="T30">
        <v>49</v>
      </c>
      <c r="U30">
        <v>150.5</v>
      </c>
      <c r="V30" s="16"/>
      <c r="X30" s="10" t="s">
        <v>219</v>
      </c>
      <c r="Y30" s="10" t="s">
        <v>259</v>
      </c>
      <c r="Z30" s="10" t="b">
        <f t="shared" si="1"/>
        <v>0</v>
      </c>
      <c r="AA30" s="10" t="s">
        <v>223</v>
      </c>
      <c r="AB30" s="10">
        <v>9</v>
      </c>
      <c r="AC30" s="10">
        <v>1946</v>
      </c>
      <c r="AD30" s="10">
        <v>47.2</v>
      </c>
      <c r="AE30" s="10">
        <v>3.2</v>
      </c>
      <c r="AF30" s="10">
        <v>151</v>
      </c>
      <c r="AG30" s="10" t="s">
        <v>226</v>
      </c>
    </row>
    <row r="31" spans="1:41" x14ac:dyDescent="0.2">
      <c r="A31" s="10" t="s">
        <v>188</v>
      </c>
      <c r="B31" s="10" t="s">
        <v>46</v>
      </c>
      <c r="C31" s="18"/>
      <c r="D31" s="18"/>
      <c r="E31" s="18"/>
      <c r="F31" s="18"/>
      <c r="G31" s="18"/>
      <c r="H31" s="18">
        <v>29.6</v>
      </c>
      <c r="K31" s="10" t="s">
        <v>212</v>
      </c>
      <c r="L31" s="10" t="s">
        <v>192</v>
      </c>
      <c r="M31" s="10" t="b">
        <f t="shared" si="0"/>
        <v>0</v>
      </c>
      <c r="N31">
        <v>175000</v>
      </c>
      <c r="O31"/>
      <c r="P31">
        <v>119.75</v>
      </c>
      <c r="Q31">
        <v>10</v>
      </c>
      <c r="R31">
        <v>3.3333821480000001</v>
      </c>
      <c r="S31">
        <v>177</v>
      </c>
      <c r="T31">
        <v>70</v>
      </c>
      <c r="U31">
        <v>112</v>
      </c>
      <c r="V31" s="16"/>
      <c r="X31" s="10" t="s">
        <v>219</v>
      </c>
      <c r="Y31" s="10" t="s">
        <v>260</v>
      </c>
      <c r="Z31" s="10" t="b">
        <f t="shared" si="1"/>
        <v>0</v>
      </c>
      <c r="AA31" s="10" t="s">
        <v>223</v>
      </c>
      <c r="AB31" s="10">
        <v>8</v>
      </c>
      <c r="AC31" s="10">
        <v>2700</v>
      </c>
      <c r="AD31" s="10">
        <v>37.4</v>
      </c>
      <c r="AE31" s="10">
        <v>5</v>
      </c>
      <c r="AF31" s="10">
        <v>187</v>
      </c>
      <c r="AG31" s="10" t="s">
        <v>226</v>
      </c>
    </row>
    <row r="32" spans="1:41" x14ac:dyDescent="0.2">
      <c r="A32" s="10" t="s">
        <v>188</v>
      </c>
      <c r="B32" s="11" t="s">
        <v>99</v>
      </c>
      <c r="C32" s="18"/>
      <c r="D32" s="18"/>
      <c r="E32" s="18"/>
      <c r="F32" s="18"/>
      <c r="G32" s="18"/>
      <c r="H32" s="18">
        <v>11.8</v>
      </c>
      <c r="K32" s="10" t="s">
        <v>212</v>
      </c>
      <c r="L32" s="10" t="s">
        <v>62</v>
      </c>
      <c r="M32" s="10" t="b">
        <f t="shared" si="0"/>
        <v>1</v>
      </c>
      <c r="N32">
        <v>3181</v>
      </c>
      <c r="O32">
        <v>3181</v>
      </c>
      <c r="P32">
        <v>34.299999999999997</v>
      </c>
      <c r="Q32">
        <v>3</v>
      </c>
      <c r="R32">
        <v>2</v>
      </c>
      <c r="S32">
        <v>19.8</v>
      </c>
      <c r="T32">
        <v>19.8</v>
      </c>
      <c r="U32">
        <v>365.14</v>
      </c>
      <c r="V32" s="16"/>
      <c r="X32" s="10" t="s">
        <v>219</v>
      </c>
      <c r="Y32" s="10" t="s">
        <v>261</v>
      </c>
      <c r="Z32" s="10" t="b">
        <f t="shared" si="1"/>
        <v>0</v>
      </c>
      <c r="AA32" s="10" t="s">
        <v>223</v>
      </c>
      <c r="AB32" s="10">
        <v>5</v>
      </c>
      <c r="AC32" s="10">
        <v>1284</v>
      </c>
      <c r="AD32" s="10">
        <v>52.7</v>
      </c>
      <c r="AE32" s="10">
        <v>1</v>
      </c>
      <c r="AF32" s="10">
        <v>52.7</v>
      </c>
      <c r="AG32" s="10" t="s">
        <v>226</v>
      </c>
    </row>
    <row r="33" spans="1:33" x14ac:dyDescent="0.2">
      <c r="A33" s="10" t="s">
        <v>188</v>
      </c>
      <c r="B33" s="10" t="s">
        <v>52</v>
      </c>
      <c r="C33" s="18"/>
      <c r="D33" s="18"/>
      <c r="E33" s="18"/>
      <c r="F33" s="18"/>
      <c r="G33" s="18"/>
      <c r="H33" s="18">
        <v>11.8</v>
      </c>
      <c r="K33" s="10" t="s">
        <v>212</v>
      </c>
      <c r="L33" s="10" t="s">
        <v>193</v>
      </c>
      <c r="M33" s="10" t="b">
        <f t="shared" si="0"/>
        <v>0</v>
      </c>
      <c r="N33">
        <v>175000</v>
      </c>
      <c r="O33"/>
      <c r="P33">
        <v>119.75</v>
      </c>
      <c r="Q33">
        <v>10</v>
      </c>
      <c r="R33">
        <v>3.3333821480000001</v>
      </c>
      <c r="S33">
        <v>177</v>
      </c>
      <c r="T33">
        <v>70</v>
      </c>
      <c r="U33">
        <v>112</v>
      </c>
      <c r="V33" s="16"/>
      <c r="X33" s="10" t="s">
        <v>219</v>
      </c>
      <c r="Y33" s="10" t="s">
        <v>49</v>
      </c>
      <c r="Z33" s="10" t="b">
        <f t="shared" si="1"/>
        <v>1</v>
      </c>
      <c r="AA33" s="10" t="s">
        <v>224</v>
      </c>
      <c r="AB33" s="10">
        <v>4</v>
      </c>
      <c r="AC33" s="10">
        <v>940</v>
      </c>
      <c r="AD33" s="10">
        <v>28.5</v>
      </c>
      <c r="AE33" s="10">
        <v>1.3</v>
      </c>
      <c r="AF33" s="10">
        <v>37</v>
      </c>
      <c r="AG33" s="10" t="s">
        <v>226</v>
      </c>
    </row>
    <row r="34" spans="1:33" x14ac:dyDescent="0.2">
      <c r="A34" s="10" t="s">
        <v>188</v>
      </c>
      <c r="B34" s="10" t="s">
        <v>51</v>
      </c>
      <c r="C34" s="18"/>
      <c r="D34" s="18"/>
      <c r="E34" s="18"/>
      <c r="F34" s="18"/>
      <c r="G34" s="18"/>
      <c r="H34" s="18">
        <v>32.9</v>
      </c>
      <c r="K34" s="10" t="s">
        <v>212</v>
      </c>
      <c r="L34" s="10" t="s">
        <v>178</v>
      </c>
      <c r="M34" s="10" t="b">
        <f t="shared" si="0"/>
        <v>0</v>
      </c>
      <c r="N34"/>
      <c r="O34"/>
      <c r="P34"/>
      <c r="Q34">
        <v>6.5</v>
      </c>
      <c r="R34"/>
      <c r="S34">
        <v>70</v>
      </c>
      <c r="T34">
        <v>35.200000000000003</v>
      </c>
      <c r="U34">
        <v>136.97999999999999</v>
      </c>
      <c r="V34" s="16"/>
      <c r="X34" s="10" t="s">
        <v>219</v>
      </c>
      <c r="Y34" s="10" t="s">
        <v>262</v>
      </c>
      <c r="Z34" s="10" t="b">
        <f t="shared" ref="Z34:Z65" si="3">IF(ISERROR(VLOOKUP( LEFT(Y34, LEN(Y34) - IF(ISNUMBER(RIGHT(Y34, 1) * 1), 1, 0)),B$2:B$61,1,FALSE)),FALSE,TRUE)</f>
        <v>0</v>
      </c>
      <c r="AA34" s="10" t="s">
        <v>225</v>
      </c>
      <c r="AB34" s="10">
        <v>13</v>
      </c>
      <c r="AC34" s="10">
        <v>10050</v>
      </c>
      <c r="AD34" s="10">
        <v>40.200000000000003</v>
      </c>
      <c r="AE34" s="10">
        <v>15</v>
      </c>
      <c r="AF34" s="10">
        <v>603</v>
      </c>
      <c r="AG34" s="10" t="s">
        <v>226</v>
      </c>
    </row>
    <row r="35" spans="1:33" x14ac:dyDescent="0.2">
      <c r="A35" s="10" t="s">
        <v>188</v>
      </c>
      <c r="B35" s="10" t="s">
        <v>59</v>
      </c>
      <c r="C35" s="18"/>
      <c r="D35" s="18"/>
      <c r="E35" s="18">
        <v>2.2999999999999998</v>
      </c>
      <c r="F35" s="18">
        <v>4</v>
      </c>
      <c r="G35" s="18"/>
      <c r="H35" s="18">
        <v>26.5</v>
      </c>
      <c r="K35" s="10" t="s">
        <v>212</v>
      </c>
      <c r="L35" s="10" t="s">
        <v>194</v>
      </c>
      <c r="M35" s="10" t="b">
        <f t="shared" si="0"/>
        <v>0</v>
      </c>
      <c r="N35"/>
      <c r="O35"/>
      <c r="P35"/>
      <c r="Q35"/>
      <c r="R35"/>
      <c r="S35">
        <v>177</v>
      </c>
      <c r="T35">
        <v>177</v>
      </c>
      <c r="U35"/>
      <c r="V35" s="16"/>
      <c r="X35" s="10" t="s">
        <v>219</v>
      </c>
      <c r="Y35" s="10" t="s">
        <v>263</v>
      </c>
      <c r="Z35" s="10" t="b">
        <f t="shared" si="3"/>
        <v>0</v>
      </c>
      <c r="AA35" s="10" t="s">
        <v>224</v>
      </c>
      <c r="AB35" s="10">
        <v>28</v>
      </c>
      <c r="AC35" s="10">
        <v>369.2</v>
      </c>
      <c r="AD35" s="10">
        <v>10.34</v>
      </c>
      <c r="AG35" s="10" t="s">
        <v>226</v>
      </c>
    </row>
    <row r="36" spans="1:33" x14ac:dyDescent="0.2">
      <c r="A36" s="10" t="s">
        <v>188</v>
      </c>
      <c r="B36" s="10" t="s">
        <v>58</v>
      </c>
      <c r="C36" s="16"/>
      <c r="D36" s="16"/>
      <c r="E36" s="16"/>
      <c r="F36" s="16"/>
      <c r="G36" s="16"/>
      <c r="H36" s="16"/>
      <c r="K36" s="10" t="s">
        <v>212</v>
      </c>
      <c r="L36" s="10" t="s">
        <v>195</v>
      </c>
      <c r="M36" s="10" t="b">
        <f t="shared" si="0"/>
        <v>0</v>
      </c>
      <c r="N36">
        <v>175000</v>
      </c>
      <c r="O36"/>
      <c r="P36">
        <v>119.75</v>
      </c>
      <c r="Q36">
        <v>10</v>
      </c>
      <c r="R36">
        <v>3.3333821480000001</v>
      </c>
      <c r="S36">
        <v>177</v>
      </c>
      <c r="T36">
        <v>70</v>
      </c>
      <c r="U36">
        <v>112</v>
      </c>
      <c r="V36" s="16"/>
      <c r="X36" s="10" t="s">
        <v>219</v>
      </c>
      <c r="Y36" s="10" t="s">
        <v>264</v>
      </c>
      <c r="Z36" s="10" t="b">
        <f t="shared" si="3"/>
        <v>0</v>
      </c>
      <c r="AA36" s="10" t="s">
        <v>224</v>
      </c>
      <c r="AB36" s="10">
        <v>29</v>
      </c>
      <c r="AC36" s="10">
        <v>4744</v>
      </c>
      <c r="AD36" s="10">
        <v>18.34</v>
      </c>
      <c r="AE36" s="10">
        <v>28</v>
      </c>
      <c r="AF36" s="10">
        <v>513.5</v>
      </c>
      <c r="AG36" s="10" t="s">
        <v>226</v>
      </c>
    </row>
    <row r="37" spans="1:33" x14ac:dyDescent="0.2">
      <c r="A37" s="10" t="s">
        <v>188</v>
      </c>
      <c r="B37" s="11" t="s">
        <v>100</v>
      </c>
      <c r="C37" s="18">
        <v>327</v>
      </c>
      <c r="D37" s="18">
        <v>2.5099999999999998</v>
      </c>
      <c r="E37" s="18">
        <v>4.68</v>
      </c>
      <c r="F37" s="18">
        <v>1</v>
      </c>
      <c r="G37" s="18">
        <v>8.25</v>
      </c>
      <c r="H37" s="18">
        <v>15</v>
      </c>
      <c r="K37" s="10" t="s">
        <v>212</v>
      </c>
      <c r="L37" s="10" t="s">
        <v>61</v>
      </c>
      <c r="M37" s="10" t="b">
        <f t="shared" si="0"/>
        <v>1</v>
      </c>
      <c r="N37">
        <v>175000</v>
      </c>
      <c r="O37"/>
      <c r="P37">
        <v>119.75</v>
      </c>
      <c r="Q37">
        <v>10</v>
      </c>
      <c r="R37">
        <v>3.3333821480000001</v>
      </c>
      <c r="S37">
        <v>177</v>
      </c>
      <c r="T37">
        <v>70</v>
      </c>
      <c r="U37">
        <v>112</v>
      </c>
      <c r="V37" s="16"/>
      <c r="X37" s="10" t="s">
        <v>219</v>
      </c>
      <c r="Y37" s="10" t="s">
        <v>265</v>
      </c>
      <c r="Z37" s="10" t="b">
        <f t="shared" si="3"/>
        <v>0</v>
      </c>
      <c r="AA37" s="10" t="s">
        <v>224</v>
      </c>
      <c r="AB37" s="10">
        <v>27.5</v>
      </c>
      <c r="AC37" s="10">
        <v>3132</v>
      </c>
      <c r="AD37" s="10">
        <v>15.5</v>
      </c>
      <c r="AE37" s="10">
        <v>16.8</v>
      </c>
      <c r="AF37" s="10">
        <v>256</v>
      </c>
      <c r="AG37" s="10" t="s">
        <v>266</v>
      </c>
    </row>
    <row r="38" spans="1:33" x14ac:dyDescent="0.2">
      <c r="A38" s="10" t="s">
        <v>188</v>
      </c>
      <c r="B38" s="10" t="s">
        <v>78</v>
      </c>
      <c r="C38" s="18"/>
      <c r="D38" s="18"/>
      <c r="E38" s="18"/>
      <c r="F38" s="18"/>
      <c r="G38" s="18"/>
      <c r="H38" s="18">
        <v>19.2</v>
      </c>
      <c r="K38" s="10" t="s">
        <v>212</v>
      </c>
      <c r="L38" s="10" t="s">
        <v>196</v>
      </c>
      <c r="M38" s="10" t="b">
        <f t="shared" si="0"/>
        <v>0</v>
      </c>
      <c r="N38">
        <v>175000</v>
      </c>
      <c r="O38"/>
      <c r="P38">
        <v>119.75</v>
      </c>
      <c r="Q38">
        <v>10</v>
      </c>
      <c r="R38">
        <v>3.3333821480000001</v>
      </c>
      <c r="S38">
        <v>177</v>
      </c>
      <c r="T38">
        <v>70</v>
      </c>
      <c r="U38">
        <v>112</v>
      </c>
      <c r="V38" s="16"/>
      <c r="X38" s="10" t="s">
        <v>219</v>
      </c>
      <c r="Y38" s="10" t="s">
        <v>86</v>
      </c>
      <c r="Z38" s="10" t="b">
        <f t="shared" si="3"/>
        <v>1</v>
      </c>
      <c r="AA38" s="10" t="s">
        <v>224</v>
      </c>
      <c r="AB38" s="10">
        <v>35</v>
      </c>
      <c r="AC38" s="10">
        <v>1293</v>
      </c>
      <c r="AD38" s="10">
        <v>7.38</v>
      </c>
      <c r="AE38" s="10">
        <v>13.9</v>
      </c>
      <c r="AF38" s="10">
        <v>102.6</v>
      </c>
      <c r="AG38" s="10" t="s">
        <v>226</v>
      </c>
    </row>
    <row r="39" spans="1:33" x14ac:dyDescent="0.2">
      <c r="A39" s="10" t="s">
        <v>188</v>
      </c>
      <c r="B39" s="10" t="s">
        <v>76</v>
      </c>
      <c r="C39" s="18">
        <v>58500</v>
      </c>
      <c r="D39" s="18">
        <v>16.899999999999999</v>
      </c>
      <c r="E39" s="18">
        <v>31.666666670000001</v>
      </c>
      <c r="F39" s="18">
        <v>0.875</v>
      </c>
      <c r="G39" s="18">
        <v>11.66666667</v>
      </c>
      <c r="H39" s="18">
        <v>70.3</v>
      </c>
      <c r="K39" s="10" t="s">
        <v>212</v>
      </c>
      <c r="L39" s="10" t="s">
        <v>197</v>
      </c>
      <c r="M39" s="10" t="b">
        <f t="shared" si="0"/>
        <v>0</v>
      </c>
      <c r="N39">
        <v>175000</v>
      </c>
      <c r="O39"/>
      <c r="P39">
        <v>119.75</v>
      </c>
      <c r="Q39">
        <v>10</v>
      </c>
      <c r="R39">
        <v>3.3333821480000001</v>
      </c>
      <c r="S39">
        <v>177</v>
      </c>
      <c r="T39">
        <v>70</v>
      </c>
      <c r="U39">
        <v>112</v>
      </c>
      <c r="V39" s="16"/>
      <c r="X39" s="10" t="s">
        <v>219</v>
      </c>
      <c r="Y39" s="10" t="s">
        <v>267</v>
      </c>
      <c r="Z39" s="10" t="b">
        <f t="shared" si="3"/>
        <v>0</v>
      </c>
      <c r="AA39" s="10" t="s">
        <v>225</v>
      </c>
      <c r="AB39" s="10">
        <v>16</v>
      </c>
      <c r="AC39" s="10">
        <v>719</v>
      </c>
      <c r="AD39" s="10">
        <v>8.6</v>
      </c>
      <c r="AE39" s="10">
        <v>10</v>
      </c>
      <c r="AF39" s="10">
        <v>86</v>
      </c>
      <c r="AG39" s="10" t="s">
        <v>226</v>
      </c>
    </row>
    <row r="40" spans="1:33" x14ac:dyDescent="0.2">
      <c r="A40" s="10" t="s">
        <v>188</v>
      </c>
      <c r="B40" s="10" t="s">
        <v>53</v>
      </c>
      <c r="C40" s="18"/>
      <c r="D40" s="18"/>
      <c r="E40" s="18"/>
      <c r="F40" s="18"/>
      <c r="G40" s="18"/>
      <c r="H40" s="18">
        <v>25.9</v>
      </c>
      <c r="K40" s="10" t="s">
        <v>212</v>
      </c>
      <c r="L40" s="10" t="s">
        <v>87</v>
      </c>
      <c r="M40" s="10" t="b">
        <f t="shared" si="0"/>
        <v>1</v>
      </c>
      <c r="N40">
        <v>4407</v>
      </c>
      <c r="O40">
        <v>5000</v>
      </c>
      <c r="P40">
        <v>28.811</v>
      </c>
      <c r="Q40">
        <v>12</v>
      </c>
      <c r="R40"/>
      <c r="S40">
        <v>35.799999999999997</v>
      </c>
      <c r="T40">
        <v>26</v>
      </c>
      <c r="U40">
        <v>200</v>
      </c>
      <c r="V40" s="16"/>
      <c r="X40" s="10" t="s">
        <v>219</v>
      </c>
      <c r="Y40" s="10" t="s">
        <v>268</v>
      </c>
      <c r="Z40" s="10" t="b">
        <f t="shared" si="3"/>
        <v>0</v>
      </c>
      <c r="AA40" s="10" t="s">
        <v>224</v>
      </c>
      <c r="AB40" s="10">
        <v>32</v>
      </c>
      <c r="AC40" s="10">
        <v>1132.5</v>
      </c>
      <c r="AD40" s="10">
        <v>9.9</v>
      </c>
      <c r="AE40" s="10">
        <v>9</v>
      </c>
      <c r="AF40" s="10">
        <v>89.1</v>
      </c>
      <c r="AG40" s="10" t="s">
        <v>226</v>
      </c>
    </row>
    <row r="41" spans="1:33" x14ac:dyDescent="0.2">
      <c r="A41" s="10" t="s">
        <v>188</v>
      </c>
      <c r="B41" s="10" t="s">
        <v>42</v>
      </c>
      <c r="C41" s="18">
        <v>850</v>
      </c>
      <c r="D41" s="18">
        <v>5.6</v>
      </c>
      <c r="E41" s="18">
        <v>7.85</v>
      </c>
      <c r="F41" s="18">
        <v>2.3333333330000001</v>
      </c>
      <c r="G41" s="18">
        <v>6</v>
      </c>
      <c r="H41" s="18">
        <v>24.3</v>
      </c>
      <c r="K41" s="10" t="s">
        <v>212</v>
      </c>
      <c r="L41" s="10" t="s">
        <v>449</v>
      </c>
      <c r="M41" s="10" t="b">
        <f t="shared" si="0"/>
        <v>0</v>
      </c>
      <c r="N41">
        <v>5170</v>
      </c>
      <c r="O41">
        <v>3875</v>
      </c>
      <c r="P41">
        <v>12.175000000000001</v>
      </c>
      <c r="Q41">
        <v>26.45</v>
      </c>
      <c r="R41">
        <v>1</v>
      </c>
      <c r="S41">
        <v>47</v>
      </c>
      <c r="T41">
        <v>39.933333330000004</v>
      </c>
      <c r="U41">
        <v>77.5</v>
      </c>
      <c r="V41" s="16"/>
      <c r="X41" s="10" t="s">
        <v>219</v>
      </c>
      <c r="Y41" s="10" t="s">
        <v>269</v>
      </c>
      <c r="Z41" s="10" t="b">
        <f t="shared" si="3"/>
        <v>0</v>
      </c>
      <c r="AA41" s="10" t="s">
        <v>224</v>
      </c>
      <c r="AB41" s="10">
        <v>8</v>
      </c>
      <c r="AC41" s="10">
        <v>1065</v>
      </c>
      <c r="AD41" s="10">
        <v>12.02</v>
      </c>
      <c r="AG41" s="10" t="s">
        <v>226</v>
      </c>
    </row>
    <row r="42" spans="1:33" x14ac:dyDescent="0.2">
      <c r="A42" s="10" t="s">
        <v>188</v>
      </c>
      <c r="B42" s="11" t="s">
        <v>101</v>
      </c>
      <c r="C42" s="18"/>
      <c r="D42" s="18"/>
      <c r="E42" s="18">
        <v>5</v>
      </c>
      <c r="F42" s="18">
        <v>1</v>
      </c>
      <c r="G42" s="18">
        <v>11</v>
      </c>
      <c r="H42" s="18">
        <v>13.33333333</v>
      </c>
      <c r="K42" s="10" t="s">
        <v>212</v>
      </c>
      <c r="L42" s="10" t="s">
        <v>450</v>
      </c>
      <c r="M42" s="10" t="b">
        <f t="shared" si="0"/>
        <v>0</v>
      </c>
      <c r="N42">
        <v>7710</v>
      </c>
      <c r="O42">
        <v>3875</v>
      </c>
      <c r="P42">
        <v>12.175000000000001</v>
      </c>
      <c r="Q42">
        <v>26.45</v>
      </c>
      <c r="R42">
        <v>1</v>
      </c>
      <c r="S42">
        <v>47</v>
      </c>
      <c r="T42">
        <v>39.933333330000004</v>
      </c>
      <c r="U42">
        <v>77.5</v>
      </c>
      <c r="V42" s="16"/>
      <c r="X42" s="10" t="s">
        <v>219</v>
      </c>
      <c r="Y42" s="10" t="s">
        <v>270</v>
      </c>
      <c r="Z42" s="10" t="b">
        <f t="shared" si="3"/>
        <v>0</v>
      </c>
      <c r="AA42" s="10" t="s">
        <v>224</v>
      </c>
      <c r="AB42" s="10">
        <v>9</v>
      </c>
      <c r="AC42" s="10">
        <v>1217</v>
      </c>
      <c r="AD42" s="10">
        <v>16.36</v>
      </c>
      <c r="AE42" s="10">
        <v>10.5</v>
      </c>
      <c r="AF42" s="10">
        <v>171.8</v>
      </c>
      <c r="AG42" s="10" t="s">
        <v>226</v>
      </c>
    </row>
    <row r="43" spans="1:33" x14ac:dyDescent="0.2">
      <c r="A43" s="10" t="s">
        <v>188</v>
      </c>
      <c r="B43" s="10" t="s">
        <v>81</v>
      </c>
      <c r="C43" s="18"/>
      <c r="D43" s="18"/>
      <c r="E43" s="18">
        <v>14.5</v>
      </c>
      <c r="F43" s="18">
        <v>3.5</v>
      </c>
      <c r="G43" s="18"/>
      <c r="H43" s="18">
        <v>20</v>
      </c>
      <c r="K43" s="10" t="s">
        <v>212</v>
      </c>
      <c r="L43" s="10" t="s">
        <v>115</v>
      </c>
      <c r="M43" s="10" t="b">
        <f t="shared" si="0"/>
        <v>1</v>
      </c>
      <c r="N43">
        <v>5170</v>
      </c>
      <c r="O43">
        <v>3875</v>
      </c>
      <c r="P43">
        <v>12.175000000000001</v>
      </c>
      <c r="Q43">
        <v>26.45</v>
      </c>
      <c r="R43">
        <v>1</v>
      </c>
      <c r="S43">
        <v>47</v>
      </c>
      <c r="T43">
        <v>39.933333330000004</v>
      </c>
      <c r="U43">
        <v>77.5</v>
      </c>
      <c r="V43" s="16"/>
      <c r="X43" s="10" t="s">
        <v>219</v>
      </c>
      <c r="Y43" s="10" t="s">
        <v>87</v>
      </c>
      <c r="Z43" s="10" t="b">
        <f t="shared" si="3"/>
        <v>1</v>
      </c>
      <c r="AA43" s="10" t="s">
        <v>224</v>
      </c>
      <c r="AB43" s="10">
        <v>8</v>
      </c>
      <c r="AC43" s="10">
        <v>5000</v>
      </c>
      <c r="AD43" s="10">
        <v>28.81</v>
      </c>
      <c r="AE43" s="10">
        <v>12</v>
      </c>
      <c r="AF43" s="10">
        <v>345.7</v>
      </c>
      <c r="AG43" s="10" t="s">
        <v>226</v>
      </c>
    </row>
    <row r="44" spans="1:33" x14ac:dyDescent="0.2">
      <c r="A44" s="10" t="s">
        <v>188</v>
      </c>
      <c r="B44" s="10" t="s">
        <v>82</v>
      </c>
      <c r="C44" s="18"/>
      <c r="D44" s="18"/>
      <c r="E44" s="18">
        <v>16</v>
      </c>
      <c r="F44" s="18">
        <v>1</v>
      </c>
      <c r="G44" s="18"/>
      <c r="H44" s="18">
        <v>20.100000000000001</v>
      </c>
      <c r="K44" s="10" t="s">
        <v>212</v>
      </c>
      <c r="L44" s="10" t="s">
        <v>64</v>
      </c>
      <c r="M44" s="10" t="b">
        <f t="shared" si="0"/>
        <v>1</v>
      </c>
      <c r="N44">
        <v>715</v>
      </c>
      <c r="O44">
        <v>715</v>
      </c>
      <c r="P44">
        <v>27.75</v>
      </c>
      <c r="Q44">
        <v>1</v>
      </c>
      <c r="R44">
        <v>3.0838383839999999</v>
      </c>
      <c r="S44">
        <v>11.8</v>
      </c>
      <c r="T44">
        <v>11.8</v>
      </c>
      <c r="U44">
        <v>124.38</v>
      </c>
      <c r="V44" s="16"/>
      <c r="X44" s="10" t="s">
        <v>219</v>
      </c>
      <c r="Y44" s="10" t="s">
        <v>271</v>
      </c>
      <c r="Z44" s="10" t="b">
        <f t="shared" si="3"/>
        <v>0</v>
      </c>
      <c r="AA44" s="10" t="s">
        <v>225</v>
      </c>
      <c r="AB44" s="10">
        <v>25.9</v>
      </c>
      <c r="AC44" s="10">
        <v>3295</v>
      </c>
      <c r="AD44" s="10">
        <v>6.76</v>
      </c>
      <c r="AE44" s="10">
        <v>14.5</v>
      </c>
      <c r="AF44" s="10">
        <v>98.02</v>
      </c>
      <c r="AG44" s="10" t="s">
        <v>272</v>
      </c>
    </row>
    <row r="45" spans="1:33" x14ac:dyDescent="0.2">
      <c r="A45" s="10" t="s">
        <v>188</v>
      </c>
      <c r="B45" s="10" t="s">
        <v>83</v>
      </c>
      <c r="C45" s="18"/>
      <c r="D45" s="18"/>
      <c r="E45" s="18">
        <v>12</v>
      </c>
      <c r="F45" s="18"/>
      <c r="G45" s="18"/>
      <c r="H45" s="18">
        <v>41</v>
      </c>
      <c r="K45" s="10" t="s">
        <v>212</v>
      </c>
      <c r="L45" s="10" t="s">
        <v>546</v>
      </c>
      <c r="M45" s="10" t="b">
        <f t="shared" si="0"/>
        <v>0</v>
      </c>
      <c r="N45">
        <v>108000</v>
      </c>
      <c r="O45">
        <v>108000</v>
      </c>
      <c r="P45">
        <v>15.2</v>
      </c>
      <c r="Q45">
        <v>102</v>
      </c>
      <c r="R45">
        <v>1</v>
      </c>
      <c r="S45"/>
      <c r="T45"/>
      <c r="U45">
        <v>55</v>
      </c>
      <c r="V45" s="16"/>
      <c r="X45" s="10" t="s">
        <v>219</v>
      </c>
      <c r="Y45" s="10" t="s">
        <v>273</v>
      </c>
      <c r="Z45" s="10" t="b">
        <f t="shared" si="3"/>
        <v>0</v>
      </c>
      <c r="AA45" s="10" t="s">
        <v>225</v>
      </c>
      <c r="AB45" s="10">
        <v>23.5</v>
      </c>
      <c r="AC45" s="10">
        <v>4295</v>
      </c>
      <c r="AD45" s="10">
        <v>15.7</v>
      </c>
      <c r="AE45" s="10">
        <v>5</v>
      </c>
      <c r="AF45" s="10">
        <v>78.5</v>
      </c>
      <c r="AG45" s="10" t="s">
        <v>226</v>
      </c>
    </row>
    <row r="46" spans="1:33" x14ac:dyDescent="0.2">
      <c r="A46" s="10" t="s">
        <v>188</v>
      </c>
      <c r="B46" s="10" t="s">
        <v>88</v>
      </c>
      <c r="C46" s="18"/>
      <c r="D46" s="18"/>
      <c r="E46" s="18"/>
      <c r="F46" s="18"/>
      <c r="G46" s="18"/>
      <c r="H46" s="18">
        <v>20</v>
      </c>
      <c r="K46" s="10" t="s">
        <v>212</v>
      </c>
      <c r="L46" s="10" t="s">
        <v>453</v>
      </c>
      <c r="M46" s="10" t="b">
        <f t="shared" si="0"/>
        <v>0</v>
      </c>
      <c r="N46">
        <v>371.8</v>
      </c>
      <c r="O46">
        <v>378</v>
      </c>
      <c r="P46">
        <v>5.2949999999999999</v>
      </c>
      <c r="Q46">
        <v>6</v>
      </c>
      <c r="R46">
        <v>2</v>
      </c>
      <c r="S46">
        <v>61</v>
      </c>
      <c r="T46">
        <v>23.3</v>
      </c>
      <c r="U46">
        <v>68.5</v>
      </c>
      <c r="V46" s="16"/>
      <c r="X46" s="10" t="s">
        <v>219</v>
      </c>
      <c r="Y46" s="10" t="s">
        <v>274</v>
      </c>
      <c r="Z46" s="10" t="b">
        <f t="shared" si="3"/>
        <v>0</v>
      </c>
      <c r="AA46" s="10" t="s">
        <v>224</v>
      </c>
      <c r="AB46" s="10">
        <v>23.5</v>
      </c>
      <c r="AC46" s="10">
        <v>1377</v>
      </c>
      <c r="AD46" s="10">
        <v>12.05</v>
      </c>
      <c r="AE46" s="10">
        <v>17</v>
      </c>
      <c r="AF46" s="10">
        <v>204.9</v>
      </c>
      <c r="AG46" s="10" t="s">
        <v>226</v>
      </c>
    </row>
    <row r="47" spans="1:33" x14ac:dyDescent="0.2">
      <c r="A47" s="10" t="s">
        <v>188</v>
      </c>
      <c r="B47" s="10" t="s">
        <v>84</v>
      </c>
      <c r="C47" s="18">
        <v>4500</v>
      </c>
      <c r="D47" s="18"/>
      <c r="E47" s="18">
        <v>21.5</v>
      </c>
      <c r="F47" s="18">
        <v>2.25</v>
      </c>
      <c r="G47" s="18"/>
      <c r="H47" s="18">
        <v>39.416670000000003</v>
      </c>
      <c r="K47" s="10" t="s">
        <v>212</v>
      </c>
      <c r="L47" s="10" t="s">
        <v>114</v>
      </c>
      <c r="M47" s="10" t="b">
        <f t="shared" si="0"/>
        <v>1</v>
      </c>
      <c r="N47">
        <v>371.8</v>
      </c>
      <c r="O47">
        <v>378</v>
      </c>
      <c r="P47">
        <v>5.2949999999999999</v>
      </c>
      <c r="Q47">
        <v>6</v>
      </c>
      <c r="R47">
        <v>2</v>
      </c>
      <c r="S47">
        <v>61</v>
      </c>
      <c r="T47">
        <v>23.3</v>
      </c>
      <c r="U47">
        <v>68.5</v>
      </c>
      <c r="V47" s="16"/>
      <c r="X47" s="10" t="s">
        <v>219</v>
      </c>
      <c r="Y47" s="10" t="s">
        <v>275</v>
      </c>
      <c r="Z47" s="10" t="b">
        <f t="shared" si="3"/>
        <v>0</v>
      </c>
      <c r="AA47" s="10" t="s">
        <v>224</v>
      </c>
      <c r="AB47" s="10">
        <v>25</v>
      </c>
      <c r="AC47" s="10">
        <v>679.3</v>
      </c>
      <c r="AD47" s="10">
        <v>7.44</v>
      </c>
      <c r="AE47" s="10">
        <v>6.18</v>
      </c>
      <c r="AF47" s="10">
        <v>45.98</v>
      </c>
      <c r="AG47" s="10" t="s">
        <v>226</v>
      </c>
    </row>
    <row r="48" spans="1:33" x14ac:dyDescent="0.2">
      <c r="A48" s="10" t="s">
        <v>188</v>
      </c>
      <c r="B48" s="11" t="s">
        <v>102</v>
      </c>
      <c r="C48" s="16"/>
      <c r="D48" s="16"/>
      <c r="E48" s="16"/>
      <c r="F48" s="16"/>
      <c r="G48" s="16"/>
      <c r="H48" s="16"/>
      <c r="K48" s="10" t="s">
        <v>212</v>
      </c>
      <c r="L48" s="10" t="s">
        <v>512</v>
      </c>
      <c r="M48" s="10" t="b">
        <f t="shared" si="0"/>
        <v>0</v>
      </c>
      <c r="N48">
        <v>200</v>
      </c>
      <c r="O48">
        <v>200</v>
      </c>
      <c r="P48">
        <v>3.5</v>
      </c>
      <c r="Q48">
        <v>4</v>
      </c>
      <c r="R48"/>
      <c r="S48">
        <v>16.100000000000001</v>
      </c>
      <c r="T48">
        <v>16.100000000000001</v>
      </c>
      <c r="U48">
        <v>123</v>
      </c>
      <c r="V48" s="16"/>
      <c r="X48" s="10" t="s">
        <v>219</v>
      </c>
      <c r="Y48" s="10" t="s">
        <v>276</v>
      </c>
      <c r="Z48" s="10" t="b">
        <f t="shared" si="3"/>
        <v>0</v>
      </c>
      <c r="AA48" s="10" t="s">
        <v>224</v>
      </c>
      <c r="AB48" s="10">
        <v>23.5</v>
      </c>
      <c r="AC48" s="10">
        <v>2187</v>
      </c>
      <c r="AD48" s="10">
        <v>9.75</v>
      </c>
      <c r="AE48" s="10">
        <v>16.399999999999999</v>
      </c>
      <c r="AF48" s="10">
        <v>159.9</v>
      </c>
      <c r="AG48" s="10" t="s">
        <v>226</v>
      </c>
    </row>
    <row r="49" spans="1:33" x14ac:dyDescent="0.2">
      <c r="A49" s="10" t="s">
        <v>188</v>
      </c>
      <c r="B49" s="10" t="s">
        <v>65</v>
      </c>
      <c r="C49" s="16"/>
      <c r="D49" s="16"/>
      <c r="E49" s="16"/>
      <c r="F49" s="16"/>
      <c r="G49" s="16"/>
      <c r="H49" s="16"/>
      <c r="K49" s="10" t="s">
        <v>212</v>
      </c>
      <c r="L49" s="10" t="s">
        <v>73</v>
      </c>
      <c r="M49" s="10" t="b">
        <f t="shared" si="0"/>
        <v>1</v>
      </c>
      <c r="N49">
        <v>165.4</v>
      </c>
      <c r="O49">
        <v>165.4</v>
      </c>
      <c r="P49">
        <v>6.6</v>
      </c>
      <c r="Q49">
        <v>4.29</v>
      </c>
      <c r="R49">
        <v>1.2</v>
      </c>
      <c r="S49">
        <v>30</v>
      </c>
      <c r="T49">
        <v>26</v>
      </c>
      <c r="U49">
        <v>68.5</v>
      </c>
      <c r="V49" s="16"/>
      <c r="X49" s="10" t="s">
        <v>219</v>
      </c>
      <c r="Y49" s="10" t="s">
        <v>277</v>
      </c>
      <c r="Z49" s="10" t="b">
        <f t="shared" si="3"/>
        <v>0</v>
      </c>
      <c r="AA49" s="10" t="s">
        <v>225</v>
      </c>
      <c r="AB49" s="10">
        <v>35</v>
      </c>
      <c r="AC49" s="10">
        <v>1740</v>
      </c>
      <c r="AD49" s="10">
        <v>10.42</v>
      </c>
      <c r="AE49" s="10">
        <v>18.2</v>
      </c>
      <c r="AF49" s="10">
        <v>189.6</v>
      </c>
      <c r="AG49" s="10" t="s">
        <v>228</v>
      </c>
    </row>
    <row r="50" spans="1:33" x14ac:dyDescent="0.2">
      <c r="A50" s="10" t="s">
        <v>188</v>
      </c>
      <c r="B50" s="10" t="s">
        <v>66</v>
      </c>
      <c r="C50" s="16"/>
      <c r="D50" s="16"/>
      <c r="E50" s="16"/>
      <c r="F50" s="16"/>
      <c r="G50" s="16"/>
      <c r="H50" s="16"/>
      <c r="K50" s="10" t="s">
        <v>212</v>
      </c>
      <c r="L50" s="10" t="s">
        <v>513</v>
      </c>
      <c r="M50" s="10" t="b">
        <f t="shared" si="0"/>
        <v>0</v>
      </c>
      <c r="N50">
        <v>266</v>
      </c>
      <c r="O50">
        <v>266</v>
      </c>
      <c r="P50">
        <v>6.2649999999999997</v>
      </c>
      <c r="Q50">
        <v>3</v>
      </c>
      <c r="R50">
        <v>5</v>
      </c>
      <c r="S50">
        <v>44.7</v>
      </c>
      <c r="T50">
        <v>14</v>
      </c>
      <c r="U50">
        <v>130</v>
      </c>
      <c r="V50" s="16"/>
      <c r="X50" s="10" t="s">
        <v>219</v>
      </c>
      <c r="Y50" s="10" t="s">
        <v>278</v>
      </c>
      <c r="Z50" s="10" t="b">
        <f t="shared" si="3"/>
        <v>0</v>
      </c>
      <c r="AA50" s="10" t="s">
        <v>224</v>
      </c>
      <c r="AB50" s="10">
        <v>9.5</v>
      </c>
      <c r="AC50" s="10">
        <v>1030</v>
      </c>
      <c r="AD50" s="10">
        <v>9.74</v>
      </c>
      <c r="AE50" s="10">
        <v>10.25</v>
      </c>
      <c r="AF50" s="10">
        <v>99.84</v>
      </c>
      <c r="AG50" s="10" t="s">
        <v>226</v>
      </c>
    </row>
    <row r="51" spans="1:33" x14ac:dyDescent="0.2">
      <c r="A51" s="10" t="s">
        <v>188</v>
      </c>
      <c r="B51" s="10" t="s">
        <v>49</v>
      </c>
      <c r="C51" s="18"/>
      <c r="D51" s="18"/>
      <c r="E51" s="18">
        <v>1.3</v>
      </c>
      <c r="F51" s="18">
        <v>3.5</v>
      </c>
      <c r="G51" s="18"/>
      <c r="H51" s="18">
        <v>16.7</v>
      </c>
      <c r="K51" s="10" t="s">
        <v>212</v>
      </c>
      <c r="L51" s="10" t="s">
        <v>514</v>
      </c>
      <c r="M51" s="10" t="b">
        <f t="shared" si="0"/>
        <v>0</v>
      </c>
      <c r="N51">
        <v>201</v>
      </c>
      <c r="O51">
        <v>201</v>
      </c>
      <c r="P51">
        <v>11.94</v>
      </c>
      <c r="Q51">
        <v>1.5</v>
      </c>
      <c r="R51"/>
      <c r="S51"/>
      <c r="T51"/>
      <c r="U51"/>
      <c r="V51" s="16"/>
      <c r="X51" s="10" t="s">
        <v>219</v>
      </c>
      <c r="Y51" s="10" t="s">
        <v>279</v>
      </c>
      <c r="Z51" s="10" t="b">
        <f t="shared" si="3"/>
        <v>0</v>
      </c>
      <c r="AA51" s="10" t="s">
        <v>224</v>
      </c>
      <c r="AB51" s="10">
        <v>9</v>
      </c>
      <c r="AC51" s="10">
        <v>777</v>
      </c>
      <c r="AD51" s="10">
        <v>15.16</v>
      </c>
      <c r="AE51" s="10">
        <v>4</v>
      </c>
      <c r="AF51" s="10">
        <v>60.6</v>
      </c>
      <c r="AG51" s="10" t="s">
        <v>226</v>
      </c>
    </row>
    <row r="52" spans="1:33" x14ac:dyDescent="0.2">
      <c r="A52" s="10" t="s">
        <v>188</v>
      </c>
      <c r="B52" s="10" t="s">
        <v>77</v>
      </c>
      <c r="C52" s="18">
        <v>181</v>
      </c>
      <c r="D52" s="18">
        <v>1.33</v>
      </c>
      <c r="E52" s="18">
        <v>4.75</v>
      </c>
      <c r="F52" s="18">
        <v>2</v>
      </c>
      <c r="G52" s="18">
        <v>3.832876712</v>
      </c>
      <c r="H52" s="18">
        <v>54.8</v>
      </c>
      <c r="K52" s="10" t="s">
        <v>212</v>
      </c>
      <c r="L52" s="10" t="s">
        <v>515</v>
      </c>
      <c r="M52" s="10" t="b">
        <f t="shared" si="0"/>
        <v>0</v>
      </c>
      <c r="N52">
        <v>207</v>
      </c>
      <c r="O52">
        <v>207</v>
      </c>
      <c r="P52">
        <v>8.9</v>
      </c>
      <c r="Q52">
        <v>1</v>
      </c>
      <c r="R52"/>
      <c r="S52"/>
      <c r="T52"/>
      <c r="U52"/>
      <c r="V52" s="16"/>
      <c r="X52" s="10" t="s">
        <v>219</v>
      </c>
      <c r="Y52" s="10" t="s">
        <v>280</v>
      </c>
      <c r="Z52" s="10" t="b">
        <f t="shared" si="3"/>
        <v>0</v>
      </c>
      <c r="AA52" s="10" t="s">
        <v>225</v>
      </c>
      <c r="AB52" s="10">
        <v>5</v>
      </c>
      <c r="AC52" s="10">
        <v>706.8</v>
      </c>
      <c r="AD52" s="10">
        <v>25.88</v>
      </c>
      <c r="AE52" s="10">
        <v>3</v>
      </c>
      <c r="AF52" s="10">
        <v>77.64</v>
      </c>
      <c r="AG52" s="10" t="s">
        <v>226</v>
      </c>
    </row>
    <row r="53" spans="1:33" x14ac:dyDescent="0.2">
      <c r="A53" s="10" t="s">
        <v>188</v>
      </c>
      <c r="B53" s="10" t="s">
        <v>63</v>
      </c>
      <c r="C53" s="18"/>
      <c r="D53" s="18"/>
      <c r="E53" s="18">
        <v>11.5</v>
      </c>
      <c r="F53" s="18">
        <v>1</v>
      </c>
      <c r="G53" s="18"/>
      <c r="H53" s="18">
        <v>100</v>
      </c>
      <c r="K53" s="10" t="s">
        <v>212</v>
      </c>
      <c r="L53" s="10" t="s">
        <v>516</v>
      </c>
      <c r="M53" s="10" t="b">
        <f t="shared" si="0"/>
        <v>0</v>
      </c>
      <c r="N53">
        <v>496</v>
      </c>
      <c r="O53">
        <v>496</v>
      </c>
      <c r="P53">
        <v>15.9</v>
      </c>
      <c r="Q53">
        <v>2</v>
      </c>
      <c r="R53"/>
      <c r="S53"/>
      <c r="T53"/>
      <c r="U53"/>
      <c r="V53" s="16"/>
      <c r="X53" s="10" t="s">
        <v>219</v>
      </c>
      <c r="Y53" s="10" t="s">
        <v>281</v>
      </c>
      <c r="Z53" s="10" t="b">
        <f t="shared" si="3"/>
        <v>0</v>
      </c>
      <c r="AA53" s="10" t="s">
        <v>224</v>
      </c>
      <c r="AB53" s="10">
        <v>27</v>
      </c>
      <c r="AC53" s="10">
        <v>2380</v>
      </c>
      <c r="AD53" s="10">
        <v>18.600000000000001</v>
      </c>
      <c r="AE53" s="10">
        <v>18</v>
      </c>
      <c r="AF53" s="10">
        <v>334.8</v>
      </c>
      <c r="AG53" s="10" t="s">
        <v>226</v>
      </c>
    </row>
    <row r="54" spans="1:33" x14ac:dyDescent="0.2">
      <c r="A54" s="10" t="s">
        <v>188</v>
      </c>
      <c r="B54" s="11" t="s">
        <v>103</v>
      </c>
      <c r="C54" s="18">
        <v>391</v>
      </c>
      <c r="D54" s="18">
        <v>5.95</v>
      </c>
      <c r="E54" s="18">
        <v>4.9249999999999998</v>
      </c>
      <c r="F54" s="18">
        <v>1.47</v>
      </c>
      <c r="G54" s="18">
        <v>9.625</v>
      </c>
      <c r="H54" s="18">
        <v>28.4</v>
      </c>
      <c r="K54" s="10" t="s">
        <v>212</v>
      </c>
      <c r="L54" s="10" t="s">
        <v>517</v>
      </c>
      <c r="M54" s="10" t="b">
        <f t="shared" si="0"/>
        <v>0</v>
      </c>
      <c r="N54">
        <v>486</v>
      </c>
      <c r="O54">
        <v>486</v>
      </c>
      <c r="P54">
        <v>6.95</v>
      </c>
      <c r="Q54">
        <v>2</v>
      </c>
      <c r="R54"/>
      <c r="S54">
        <v>19.5</v>
      </c>
      <c r="T54">
        <v>19.5</v>
      </c>
      <c r="U54"/>
      <c r="X54" s="10" t="s">
        <v>219</v>
      </c>
      <c r="Y54" s="10" t="s">
        <v>282</v>
      </c>
      <c r="Z54" s="10" t="b">
        <f t="shared" si="3"/>
        <v>0</v>
      </c>
      <c r="AA54" s="10" t="s">
        <v>224</v>
      </c>
      <c r="AB54" s="10">
        <v>10</v>
      </c>
      <c r="AC54" s="10">
        <v>1983</v>
      </c>
      <c r="AD54" s="10">
        <v>18.36</v>
      </c>
      <c r="AE54" s="10">
        <v>7</v>
      </c>
      <c r="AF54" s="10">
        <v>128.5</v>
      </c>
      <c r="AG54" s="10" t="s">
        <v>226</v>
      </c>
    </row>
    <row r="55" spans="1:33" x14ac:dyDescent="0.2">
      <c r="A55" s="10" t="s">
        <v>188</v>
      </c>
      <c r="B55" s="10" t="s">
        <v>56</v>
      </c>
      <c r="C55" s="18">
        <v>1430</v>
      </c>
      <c r="D55" s="18">
        <v>8.75</v>
      </c>
      <c r="E55" s="18">
        <v>4.5</v>
      </c>
      <c r="F55" s="18">
        <v>2.65</v>
      </c>
      <c r="G55" s="18">
        <v>10.99771689</v>
      </c>
      <c r="H55" s="18">
        <v>127</v>
      </c>
      <c r="K55" s="10" t="s">
        <v>212</v>
      </c>
      <c r="L55" s="10" t="s">
        <v>518</v>
      </c>
      <c r="M55" s="10" t="b">
        <f t="shared" si="0"/>
        <v>0</v>
      </c>
      <c r="N55">
        <v>373</v>
      </c>
      <c r="O55">
        <v>373</v>
      </c>
      <c r="P55">
        <v>9.1199999999999992</v>
      </c>
      <c r="Q55">
        <v>1</v>
      </c>
      <c r="R55"/>
      <c r="S55">
        <v>19.2</v>
      </c>
      <c r="T55">
        <v>18.45</v>
      </c>
      <c r="U55">
        <v>140</v>
      </c>
      <c r="X55" s="10" t="s">
        <v>219</v>
      </c>
      <c r="Y55" s="10" t="s">
        <v>88</v>
      </c>
      <c r="Z55" s="10" t="b">
        <f t="shared" si="3"/>
        <v>1</v>
      </c>
      <c r="AA55" s="10" t="s">
        <v>225</v>
      </c>
      <c r="AB55" s="10">
        <v>1</v>
      </c>
      <c r="AC55" s="10">
        <v>325</v>
      </c>
      <c r="AD55" s="10">
        <v>27</v>
      </c>
      <c r="AE55" s="10">
        <v>1</v>
      </c>
      <c r="AF55" s="10">
        <v>27</v>
      </c>
      <c r="AG55" s="10" t="s">
        <v>226</v>
      </c>
    </row>
    <row r="56" spans="1:33" x14ac:dyDescent="0.2">
      <c r="A56" s="10" t="s">
        <v>188</v>
      </c>
      <c r="B56" s="10" t="s">
        <v>116</v>
      </c>
      <c r="C56" s="18">
        <v>1203</v>
      </c>
      <c r="D56" s="18">
        <v>7.5</v>
      </c>
      <c r="E56" s="18">
        <v>4.5599999999999996</v>
      </c>
      <c r="F56" s="18">
        <v>1.615</v>
      </c>
      <c r="G56" s="18">
        <v>12.164383559999999</v>
      </c>
      <c r="H56" s="18">
        <v>44.668359219999999</v>
      </c>
      <c r="K56" s="10" t="s">
        <v>212</v>
      </c>
      <c r="L56" s="10" t="s">
        <v>45</v>
      </c>
      <c r="M56" s="10" t="b">
        <f t="shared" si="0"/>
        <v>1</v>
      </c>
      <c r="N56">
        <v>1000</v>
      </c>
      <c r="O56">
        <v>1000</v>
      </c>
      <c r="P56">
        <v>19.5</v>
      </c>
      <c r="Q56">
        <v>1</v>
      </c>
      <c r="R56"/>
      <c r="S56">
        <v>38.200000000000003</v>
      </c>
      <c r="T56">
        <v>38.200000000000003</v>
      </c>
      <c r="U56">
        <v>62</v>
      </c>
      <c r="X56" s="10" t="s">
        <v>219</v>
      </c>
      <c r="Y56" s="10" t="s">
        <v>283</v>
      </c>
      <c r="Z56" s="10" t="b">
        <f t="shared" si="3"/>
        <v>0</v>
      </c>
      <c r="AA56" s="10" t="s">
        <v>224</v>
      </c>
      <c r="AB56" s="10">
        <v>32</v>
      </c>
      <c r="AC56" s="10">
        <v>324.10000000000002</v>
      </c>
      <c r="AD56" s="10">
        <v>8.6</v>
      </c>
      <c r="AE56" s="10">
        <v>4.5</v>
      </c>
      <c r="AF56" s="10">
        <v>38.700000000000003</v>
      </c>
      <c r="AG56" s="10" t="s">
        <v>226</v>
      </c>
    </row>
    <row r="57" spans="1:33" x14ac:dyDescent="0.2">
      <c r="A57" s="10" t="s">
        <v>188</v>
      </c>
      <c r="B57" s="10" t="s">
        <v>57</v>
      </c>
      <c r="C57" s="18"/>
      <c r="D57" s="18"/>
      <c r="E57" s="18">
        <v>4</v>
      </c>
      <c r="F57" s="18">
        <v>2.5</v>
      </c>
      <c r="G57" s="18"/>
      <c r="H57" s="18">
        <v>50</v>
      </c>
      <c r="K57" s="10" t="s">
        <v>212</v>
      </c>
      <c r="L57" s="10" t="s">
        <v>234</v>
      </c>
      <c r="M57" s="10" t="b">
        <f t="shared" si="0"/>
        <v>0</v>
      </c>
      <c r="N57"/>
      <c r="O57"/>
      <c r="P57"/>
      <c r="Q57">
        <v>3</v>
      </c>
      <c r="R57"/>
      <c r="S57"/>
      <c r="T57"/>
      <c r="U57">
        <v>66.5</v>
      </c>
      <c r="X57" s="10" t="s">
        <v>219</v>
      </c>
      <c r="Y57" s="10" t="s">
        <v>284</v>
      </c>
      <c r="Z57" s="10" t="b">
        <f t="shared" si="3"/>
        <v>0</v>
      </c>
      <c r="AA57" s="10" t="s">
        <v>224</v>
      </c>
      <c r="AB57" s="10">
        <v>23.5</v>
      </c>
      <c r="AC57" s="10">
        <v>1691</v>
      </c>
      <c r="AD57" s="10">
        <v>7.5</v>
      </c>
      <c r="AE57" s="10">
        <v>18.8</v>
      </c>
      <c r="AF57" s="10">
        <v>141</v>
      </c>
      <c r="AG57" s="10" t="s">
        <v>285</v>
      </c>
    </row>
    <row r="58" spans="1:33" x14ac:dyDescent="0.2">
      <c r="A58" s="10" t="s">
        <v>188</v>
      </c>
      <c r="B58" s="10" t="s">
        <v>55</v>
      </c>
      <c r="C58" s="18"/>
      <c r="D58" s="18"/>
      <c r="E58" s="18">
        <v>4</v>
      </c>
      <c r="F58" s="18">
        <v>1.2</v>
      </c>
      <c r="G58" s="18"/>
      <c r="H58" s="18">
        <v>21</v>
      </c>
      <c r="K58" s="10" t="s">
        <v>212</v>
      </c>
      <c r="L58" s="10" t="s">
        <v>479</v>
      </c>
      <c r="M58" s="10" t="b">
        <f t="shared" si="0"/>
        <v>0</v>
      </c>
      <c r="N58">
        <v>499</v>
      </c>
      <c r="O58">
        <v>499</v>
      </c>
      <c r="P58">
        <v>13.8</v>
      </c>
      <c r="Q58">
        <v>2</v>
      </c>
      <c r="R58"/>
      <c r="S58">
        <v>19.100000000000001</v>
      </c>
      <c r="T58">
        <v>19.100000000000001</v>
      </c>
      <c r="U58">
        <v>85</v>
      </c>
      <c r="X58" s="10" t="s">
        <v>219</v>
      </c>
      <c r="Y58" s="10" t="s">
        <v>286</v>
      </c>
      <c r="Z58" s="10" t="b">
        <f t="shared" si="3"/>
        <v>0</v>
      </c>
      <c r="AA58" s="10" t="s">
        <v>224</v>
      </c>
      <c r="AB58" s="10">
        <v>28</v>
      </c>
      <c r="AC58" s="10">
        <v>116300</v>
      </c>
      <c r="AD58" s="10">
        <v>41.2</v>
      </c>
      <c r="AE58" s="10">
        <v>123</v>
      </c>
      <c r="AF58" s="10">
        <v>5068</v>
      </c>
      <c r="AG58" s="10" t="s">
        <v>226</v>
      </c>
    </row>
    <row r="59" spans="1:33" x14ac:dyDescent="0.2">
      <c r="A59" s="10" t="s">
        <v>188</v>
      </c>
      <c r="B59" s="10" t="s">
        <v>54</v>
      </c>
      <c r="C59" s="18">
        <v>2290.8676529999998</v>
      </c>
      <c r="D59" s="18"/>
      <c r="E59" s="18">
        <v>5.5</v>
      </c>
      <c r="F59" s="18">
        <v>2</v>
      </c>
      <c r="G59" s="18">
        <v>10</v>
      </c>
      <c r="H59" s="18">
        <v>21.2</v>
      </c>
      <c r="K59" s="10" t="s">
        <v>212</v>
      </c>
      <c r="L59" s="10" t="s">
        <v>480</v>
      </c>
      <c r="M59" s="10" t="b">
        <f t="shared" si="0"/>
        <v>0</v>
      </c>
      <c r="N59">
        <v>499</v>
      </c>
      <c r="O59">
        <v>499</v>
      </c>
      <c r="P59">
        <v>13.8</v>
      </c>
      <c r="Q59">
        <v>2</v>
      </c>
      <c r="R59"/>
      <c r="S59">
        <v>19.100000000000001</v>
      </c>
      <c r="T59">
        <v>19.100000000000001</v>
      </c>
      <c r="U59">
        <v>93</v>
      </c>
      <c r="X59" s="10" t="s">
        <v>219</v>
      </c>
      <c r="Y59" s="10" t="s">
        <v>287</v>
      </c>
      <c r="Z59" s="10" t="b">
        <f t="shared" si="3"/>
        <v>0</v>
      </c>
      <c r="AA59" s="10" t="s">
        <v>224</v>
      </c>
      <c r="AB59" s="10">
        <v>38</v>
      </c>
      <c r="AC59" s="10">
        <v>68500</v>
      </c>
      <c r="AD59" s="10">
        <v>31.27</v>
      </c>
      <c r="AE59" s="10">
        <v>115</v>
      </c>
      <c r="AF59" s="10">
        <v>3596</v>
      </c>
      <c r="AG59" s="10" t="s">
        <v>226</v>
      </c>
    </row>
    <row r="60" spans="1:33" x14ac:dyDescent="0.2">
      <c r="A60" s="10" t="s">
        <v>188</v>
      </c>
      <c r="B60" s="10" t="s">
        <v>74</v>
      </c>
      <c r="C60" s="18"/>
      <c r="D60" s="18"/>
      <c r="E60" s="18"/>
      <c r="F60" s="18"/>
      <c r="G60" s="18"/>
      <c r="H60" s="18"/>
      <c r="K60" s="10" t="s">
        <v>212</v>
      </c>
      <c r="L60" s="10" t="s">
        <v>481</v>
      </c>
      <c r="M60" s="10" t="b">
        <f t="shared" si="0"/>
        <v>0</v>
      </c>
      <c r="N60">
        <v>499</v>
      </c>
      <c r="O60">
        <v>499</v>
      </c>
      <c r="P60">
        <v>13.8</v>
      </c>
      <c r="Q60">
        <v>2</v>
      </c>
      <c r="R60"/>
      <c r="S60">
        <v>19.100000000000001</v>
      </c>
      <c r="T60">
        <v>19.100000000000001</v>
      </c>
      <c r="U60">
        <v>93</v>
      </c>
      <c r="X60" s="10" t="s">
        <v>219</v>
      </c>
      <c r="Y60" s="10" t="s">
        <v>288</v>
      </c>
      <c r="Z60" s="10" t="b">
        <f t="shared" si="3"/>
        <v>0</v>
      </c>
      <c r="AA60" s="10" t="s">
        <v>224</v>
      </c>
      <c r="AB60" s="10">
        <v>18</v>
      </c>
      <c r="AC60" s="10">
        <v>41600</v>
      </c>
      <c r="AD60" s="10">
        <v>39.6</v>
      </c>
      <c r="AE60" s="10">
        <v>70</v>
      </c>
      <c r="AF60" s="10">
        <v>2772</v>
      </c>
      <c r="AG60" s="10" t="s">
        <v>226</v>
      </c>
    </row>
    <row r="61" spans="1:33" x14ac:dyDescent="0.2">
      <c r="A61" s="10" t="s">
        <v>188</v>
      </c>
      <c r="B61" s="10" t="s">
        <v>112</v>
      </c>
      <c r="C61" s="18">
        <v>1895</v>
      </c>
      <c r="D61" s="18">
        <v>5.28</v>
      </c>
      <c r="E61" s="18">
        <v>11.4</v>
      </c>
      <c r="F61" s="18">
        <v>3.7475000000000001</v>
      </c>
      <c r="G61" s="18">
        <v>5.8333333329999997</v>
      </c>
      <c r="H61" s="18">
        <v>41.999999959999997</v>
      </c>
      <c r="K61" s="10" t="s">
        <v>212</v>
      </c>
      <c r="L61" s="10" t="s">
        <v>43</v>
      </c>
      <c r="M61" s="10" t="b">
        <f t="shared" si="0"/>
        <v>1</v>
      </c>
      <c r="N61"/>
      <c r="O61"/>
      <c r="P61"/>
      <c r="Q61">
        <v>2</v>
      </c>
      <c r="R61"/>
      <c r="S61"/>
      <c r="T61"/>
      <c r="U61">
        <v>70</v>
      </c>
      <c r="X61" s="10" t="s">
        <v>219</v>
      </c>
      <c r="Y61" s="10" t="s">
        <v>90</v>
      </c>
      <c r="Z61" s="10" t="b">
        <f t="shared" si="3"/>
        <v>0</v>
      </c>
      <c r="AA61" s="10" t="s">
        <v>224</v>
      </c>
      <c r="AB61" s="10">
        <v>10</v>
      </c>
      <c r="AC61" s="10">
        <v>128100</v>
      </c>
      <c r="AD61" s="10">
        <v>47.4</v>
      </c>
      <c r="AE61" s="10">
        <v>112.2</v>
      </c>
      <c r="AF61" s="10">
        <v>5318</v>
      </c>
      <c r="AG61" s="10" t="s">
        <v>226</v>
      </c>
    </row>
    <row r="62" spans="1:33" x14ac:dyDescent="0.2">
      <c r="K62" s="10" t="s">
        <v>212</v>
      </c>
      <c r="L62" s="10" t="s">
        <v>236</v>
      </c>
      <c r="M62" s="10" t="b">
        <f t="shared" si="0"/>
        <v>0</v>
      </c>
      <c r="N62">
        <v>375</v>
      </c>
      <c r="O62">
        <v>375</v>
      </c>
      <c r="P62">
        <v>13.5</v>
      </c>
      <c r="Q62">
        <v>1.5</v>
      </c>
      <c r="R62"/>
      <c r="S62"/>
      <c r="T62"/>
      <c r="U62"/>
      <c r="X62" s="10" t="s">
        <v>219</v>
      </c>
      <c r="Y62" s="10" t="s">
        <v>289</v>
      </c>
      <c r="Z62" s="10" t="b">
        <f t="shared" si="3"/>
        <v>0</v>
      </c>
      <c r="AA62" s="10" t="s">
        <v>223</v>
      </c>
      <c r="AB62" s="10">
        <v>10</v>
      </c>
      <c r="AC62" s="10">
        <v>59000</v>
      </c>
      <c r="AD62" s="10">
        <v>29.7</v>
      </c>
      <c r="AE62" s="10">
        <v>158</v>
      </c>
      <c r="AF62" s="10">
        <v>4693</v>
      </c>
      <c r="AG62" s="10" t="s">
        <v>226</v>
      </c>
    </row>
    <row r="63" spans="1:33" x14ac:dyDescent="0.2">
      <c r="K63" s="10" t="s">
        <v>212</v>
      </c>
      <c r="L63" s="10" t="s">
        <v>482</v>
      </c>
      <c r="M63" s="10" t="b">
        <f t="shared" si="0"/>
        <v>0</v>
      </c>
      <c r="N63"/>
      <c r="O63"/>
      <c r="P63"/>
      <c r="Q63">
        <v>2.5</v>
      </c>
      <c r="R63"/>
      <c r="S63"/>
      <c r="T63"/>
      <c r="U63">
        <v>102.5</v>
      </c>
      <c r="X63" s="10" t="s">
        <v>219</v>
      </c>
      <c r="Y63" s="10" t="s">
        <v>290</v>
      </c>
      <c r="Z63" s="10" t="b">
        <f t="shared" si="3"/>
        <v>0</v>
      </c>
      <c r="AA63" s="10" t="s">
        <v>224</v>
      </c>
      <c r="AB63" s="10">
        <v>23</v>
      </c>
      <c r="AC63" s="10">
        <v>42100</v>
      </c>
      <c r="AD63" s="10">
        <v>31.37</v>
      </c>
      <c r="AE63" s="10">
        <v>102</v>
      </c>
      <c r="AF63" s="10">
        <v>3200</v>
      </c>
      <c r="AG63" s="10" t="s">
        <v>226</v>
      </c>
    </row>
    <row r="64" spans="1:33" x14ac:dyDescent="0.2">
      <c r="K64" s="10" t="s">
        <v>212</v>
      </c>
      <c r="L64" s="10" t="s">
        <v>483</v>
      </c>
      <c r="M64" s="10" t="b">
        <f t="shared" si="0"/>
        <v>0</v>
      </c>
      <c r="N64"/>
      <c r="O64"/>
      <c r="P64"/>
      <c r="Q64">
        <v>2</v>
      </c>
      <c r="R64"/>
      <c r="S64"/>
      <c r="T64"/>
      <c r="U64">
        <v>70</v>
      </c>
      <c r="X64" s="10" t="s">
        <v>219</v>
      </c>
      <c r="Y64" s="10" t="s">
        <v>291</v>
      </c>
      <c r="Z64" s="10" t="b">
        <f t="shared" si="3"/>
        <v>0</v>
      </c>
      <c r="AA64" s="10" t="s">
        <v>224</v>
      </c>
      <c r="AB64" s="10">
        <v>16</v>
      </c>
      <c r="AC64" s="10">
        <v>39255</v>
      </c>
      <c r="AD64" s="10">
        <v>32.9</v>
      </c>
      <c r="AE64" s="10">
        <v>108.1</v>
      </c>
      <c r="AF64" s="10">
        <v>3556</v>
      </c>
      <c r="AG64" s="10" t="s">
        <v>226</v>
      </c>
    </row>
    <row r="65" spans="11:33" x14ac:dyDescent="0.2">
      <c r="K65" s="10" t="s">
        <v>212</v>
      </c>
      <c r="L65" s="10" t="s">
        <v>44</v>
      </c>
      <c r="M65" s="10" t="b">
        <f t="shared" si="0"/>
        <v>1</v>
      </c>
      <c r="N65"/>
      <c r="O65"/>
      <c r="P65"/>
      <c r="Q65">
        <v>2</v>
      </c>
      <c r="R65"/>
      <c r="S65">
        <v>31.8</v>
      </c>
      <c r="T65">
        <v>10.8</v>
      </c>
      <c r="U65"/>
      <c r="X65" s="10" t="s">
        <v>219</v>
      </c>
      <c r="Y65" s="10" t="s">
        <v>292</v>
      </c>
      <c r="Z65" s="10" t="b">
        <f t="shared" si="3"/>
        <v>0</v>
      </c>
      <c r="AA65" s="10" t="s">
        <v>224</v>
      </c>
      <c r="AB65" s="10">
        <v>25</v>
      </c>
      <c r="AC65" s="10">
        <v>74400</v>
      </c>
      <c r="AD65" s="10">
        <v>77.8</v>
      </c>
      <c r="AE65" s="10">
        <v>50.2</v>
      </c>
      <c r="AF65" s="10">
        <v>3906</v>
      </c>
      <c r="AG65" s="10" t="s">
        <v>226</v>
      </c>
    </row>
    <row r="66" spans="11:33" x14ac:dyDescent="0.2">
      <c r="K66" s="10" t="s">
        <v>212</v>
      </c>
      <c r="L66" s="10" t="s">
        <v>484</v>
      </c>
      <c r="M66" s="10" t="b">
        <f t="shared" ref="M66:M129" si="4">IF(ISERROR(VLOOKUP(L66,B$2:B$61,1,FALSE)),FALSE,TRUE)</f>
        <v>0</v>
      </c>
      <c r="N66"/>
      <c r="O66">
        <v>850</v>
      </c>
      <c r="P66"/>
      <c r="Q66">
        <v>8</v>
      </c>
      <c r="R66"/>
      <c r="S66"/>
      <c r="T66"/>
      <c r="U66">
        <v>66</v>
      </c>
      <c r="X66" s="10" t="s">
        <v>219</v>
      </c>
      <c r="Y66" s="10" t="s">
        <v>97</v>
      </c>
      <c r="Z66" s="10" t="b">
        <f t="shared" ref="Z66:Z97" si="5">IF(ISERROR(VLOOKUP( LEFT(Y66, LEN(Y66) - IF(ISNUMBER(RIGHT(Y66, 1) * 1), 1, 0)),B$2:B$61,1,FALSE)),FALSE,TRUE)</f>
        <v>1</v>
      </c>
      <c r="AA66" s="10" t="s">
        <v>225</v>
      </c>
      <c r="AB66" s="10">
        <v>46</v>
      </c>
      <c r="AC66" s="10">
        <v>5170</v>
      </c>
      <c r="AD66" s="10">
        <v>11.6</v>
      </c>
      <c r="AE66" s="10">
        <v>34</v>
      </c>
      <c r="AF66" s="10">
        <v>394.4</v>
      </c>
      <c r="AG66" s="10" t="s">
        <v>228</v>
      </c>
    </row>
    <row r="67" spans="11:33" x14ac:dyDescent="0.2">
      <c r="K67" s="10" t="s">
        <v>212</v>
      </c>
      <c r="L67" s="10" t="s">
        <v>485</v>
      </c>
      <c r="M67" s="10" t="b">
        <f t="shared" si="4"/>
        <v>0</v>
      </c>
      <c r="N67"/>
      <c r="O67"/>
      <c r="P67"/>
      <c r="Q67"/>
      <c r="R67"/>
      <c r="S67"/>
      <c r="T67"/>
      <c r="U67">
        <v>85</v>
      </c>
      <c r="X67" s="10" t="s">
        <v>219</v>
      </c>
      <c r="Y67" s="10" t="s">
        <v>293</v>
      </c>
      <c r="Z67" s="10" t="b">
        <f t="shared" si="5"/>
        <v>1</v>
      </c>
      <c r="AA67" s="10" t="s">
        <v>225</v>
      </c>
      <c r="AB67" s="10">
        <v>43</v>
      </c>
      <c r="AC67" s="10">
        <v>3875</v>
      </c>
      <c r="AD67" s="10">
        <v>17</v>
      </c>
      <c r="AE67" s="10">
        <v>27.9</v>
      </c>
      <c r="AF67" s="10">
        <v>474.3</v>
      </c>
      <c r="AG67" s="10" t="s">
        <v>226</v>
      </c>
    </row>
    <row r="68" spans="11:33" x14ac:dyDescent="0.2">
      <c r="K68" s="10" t="s">
        <v>212</v>
      </c>
      <c r="L68" s="10" t="s">
        <v>547</v>
      </c>
      <c r="M68" s="10" t="b">
        <f t="shared" si="4"/>
        <v>0</v>
      </c>
      <c r="N68"/>
      <c r="O68"/>
      <c r="P68"/>
      <c r="Q68"/>
      <c r="R68"/>
      <c r="S68">
        <v>6.4</v>
      </c>
      <c r="T68">
        <v>6.4</v>
      </c>
      <c r="U68"/>
      <c r="X68" s="10" t="s">
        <v>219</v>
      </c>
      <c r="Y68" s="10" t="s">
        <v>294</v>
      </c>
      <c r="Z68" s="10" t="b">
        <f t="shared" si="5"/>
        <v>1</v>
      </c>
      <c r="AA68" s="10" t="s">
        <v>225</v>
      </c>
      <c r="AB68" s="10">
        <v>37</v>
      </c>
      <c r="AC68" s="10">
        <v>2856</v>
      </c>
      <c r="AD68" s="10">
        <v>9.6300000000000008</v>
      </c>
      <c r="AE68" s="10">
        <v>23.6</v>
      </c>
      <c r="AF68" s="10">
        <v>227.2</v>
      </c>
      <c r="AG68" s="10" t="s">
        <v>226</v>
      </c>
    </row>
    <row r="69" spans="11:33" x14ac:dyDescent="0.2">
      <c r="K69" s="10" t="s">
        <v>212</v>
      </c>
      <c r="L69" s="10" t="s">
        <v>237</v>
      </c>
      <c r="M69" s="10" t="b">
        <f t="shared" si="4"/>
        <v>0</v>
      </c>
      <c r="N69">
        <v>1250</v>
      </c>
      <c r="O69">
        <v>1250</v>
      </c>
      <c r="P69">
        <v>13.2</v>
      </c>
      <c r="Q69">
        <v>3</v>
      </c>
      <c r="R69"/>
      <c r="S69">
        <v>14.7</v>
      </c>
      <c r="T69">
        <v>11.9</v>
      </c>
      <c r="U69"/>
      <c r="X69" s="10" t="s">
        <v>219</v>
      </c>
      <c r="Y69" s="10" t="s">
        <v>295</v>
      </c>
      <c r="Z69" s="10" t="b">
        <f t="shared" si="5"/>
        <v>0</v>
      </c>
      <c r="AA69" s="10" t="s">
        <v>224</v>
      </c>
      <c r="AB69" s="10">
        <v>31</v>
      </c>
      <c r="AC69" s="10">
        <v>11700</v>
      </c>
      <c r="AD69" s="10">
        <v>29.06</v>
      </c>
      <c r="AE69" s="10">
        <v>24.5</v>
      </c>
      <c r="AF69" s="10">
        <v>712.1</v>
      </c>
      <c r="AG69" s="10" t="s">
        <v>226</v>
      </c>
    </row>
    <row r="70" spans="11:33" x14ac:dyDescent="0.2">
      <c r="K70" s="10" t="s">
        <v>212</v>
      </c>
      <c r="L70" s="10" t="s">
        <v>486</v>
      </c>
      <c r="M70" s="10" t="b">
        <f t="shared" si="4"/>
        <v>0</v>
      </c>
      <c r="N70"/>
      <c r="O70"/>
      <c r="P70"/>
      <c r="Q70">
        <v>12.5</v>
      </c>
      <c r="R70"/>
      <c r="S70"/>
      <c r="T70"/>
      <c r="U70"/>
      <c r="X70" s="10" t="s">
        <v>219</v>
      </c>
      <c r="Y70" s="10" t="s">
        <v>296</v>
      </c>
      <c r="Z70" s="10" t="b">
        <f t="shared" si="5"/>
        <v>0</v>
      </c>
      <c r="AA70" s="10" t="s">
        <v>223</v>
      </c>
      <c r="AB70" s="10">
        <v>18</v>
      </c>
      <c r="AC70" s="10">
        <v>9320</v>
      </c>
      <c r="AD70" s="10">
        <v>40.799999999999997</v>
      </c>
      <c r="AE70" s="10">
        <v>10</v>
      </c>
      <c r="AF70" s="10">
        <v>408</v>
      </c>
      <c r="AG70" s="10" t="s">
        <v>226</v>
      </c>
    </row>
    <row r="71" spans="11:33" x14ac:dyDescent="0.2">
      <c r="K71" s="10" t="s">
        <v>212</v>
      </c>
      <c r="L71" s="10" t="s">
        <v>548</v>
      </c>
      <c r="M71" s="10" t="b">
        <f t="shared" si="4"/>
        <v>0</v>
      </c>
      <c r="N71">
        <v>14591</v>
      </c>
      <c r="O71">
        <v>14591</v>
      </c>
      <c r="P71">
        <v>17.899999999999999</v>
      </c>
      <c r="Q71">
        <v>18</v>
      </c>
      <c r="R71">
        <v>1</v>
      </c>
      <c r="S71"/>
      <c r="T71"/>
      <c r="U71">
        <v>289.18</v>
      </c>
      <c r="X71" s="10" t="s">
        <v>219</v>
      </c>
      <c r="Y71" s="10" t="s">
        <v>297</v>
      </c>
      <c r="Z71" s="10" t="b">
        <f t="shared" si="5"/>
        <v>0</v>
      </c>
      <c r="AA71" s="10" t="s">
        <v>223</v>
      </c>
      <c r="AB71" s="10">
        <v>17.5</v>
      </c>
      <c r="AC71" s="10">
        <v>13457.95</v>
      </c>
      <c r="AD71" s="10">
        <v>50.2</v>
      </c>
      <c r="AE71" s="10">
        <v>10.98</v>
      </c>
      <c r="AF71" s="10">
        <v>551.20000000000005</v>
      </c>
      <c r="AG71" s="10" t="s">
        <v>298</v>
      </c>
    </row>
    <row r="72" spans="11:33" x14ac:dyDescent="0.2">
      <c r="K72" s="10" t="s">
        <v>212</v>
      </c>
      <c r="L72" s="10" t="s">
        <v>454</v>
      </c>
      <c r="M72" s="10" t="b">
        <f t="shared" si="4"/>
        <v>0</v>
      </c>
      <c r="N72">
        <v>910.5</v>
      </c>
      <c r="O72">
        <v>910.5</v>
      </c>
      <c r="P72">
        <v>9.8800000000000008</v>
      </c>
      <c r="Q72">
        <v>8.5</v>
      </c>
      <c r="R72">
        <v>2</v>
      </c>
      <c r="S72">
        <v>24</v>
      </c>
      <c r="T72">
        <v>24</v>
      </c>
      <c r="U72">
        <v>89</v>
      </c>
      <c r="X72" s="10" t="s">
        <v>219</v>
      </c>
      <c r="Y72" s="10" t="s">
        <v>299</v>
      </c>
      <c r="Z72" s="10" t="b">
        <f t="shared" si="5"/>
        <v>0</v>
      </c>
      <c r="AA72" s="10" t="s">
        <v>224</v>
      </c>
      <c r="AB72" s="10">
        <v>18</v>
      </c>
      <c r="AC72" s="10">
        <v>372500</v>
      </c>
      <c r="AD72" s="10">
        <v>73.19</v>
      </c>
      <c r="AE72" s="10">
        <v>70.08</v>
      </c>
      <c r="AF72" s="10">
        <v>5129</v>
      </c>
      <c r="AG72" s="10" t="s">
        <v>226</v>
      </c>
    </row>
    <row r="73" spans="11:33" x14ac:dyDescent="0.2">
      <c r="K73" s="10" t="s">
        <v>212</v>
      </c>
      <c r="L73" s="10" t="s">
        <v>451</v>
      </c>
      <c r="M73" s="10" t="b">
        <f t="shared" si="4"/>
        <v>0</v>
      </c>
      <c r="N73">
        <v>12500</v>
      </c>
      <c r="O73">
        <v>15660</v>
      </c>
      <c r="P73">
        <v>40.799999999999997</v>
      </c>
      <c r="Q73">
        <v>10</v>
      </c>
      <c r="R73">
        <v>3.5</v>
      </c>
      <c r="S73">
        <v>11.3</v>
      </c>
      <c r="T73">
        <v>9.6999999999999993</v>
      </c>
      <c r="U73">
        <v>258.5</v>
      </c>
      <c r="X73" s="10" t="s">
        <v>219</v>
      </c>
      <c r="Y73" s="10" t="s">
        <v>95</v>
      </c>
      <c r="Z73" s="10" t="b">
        <f t="shared" si="5"/>
        <v>1</v>
      </c>
      <c r="AA73" s="10" t="s">
        <v>224</v>
      </c>
      <c r="AB73" s="10">
        <v>43</v>
      </c>
      <c r="AC73" s="10">
        <v>395</v>
      </c>
      <c r="AD73" s="10">
        <v>4.1399999999999997</v>
      </c>
      <c r="AE73" s="10">
        <v>7.55</v>
      </c>
      <c r="AF73" s="10">
        <v>31.3</v>
      </c>
      <c r="AG73" s="10" t="s">
        <v>228</v>
      </c>
    </row>
    <row r="74" spans="11:33" x14ac:dyDescent="0.2">
      <c r="K74" s="10" t="s">
        <v>212</v>
      </c>
      <c r="L74" s="10" t="s">
        <v>299</v>
      </c>
      <c r="M74" s="10" t="b">
        <f t="shared" si="4"/>
        <v>0</v>
      </c>
      <c r="N74">
        <v>420000</v>
      </c>
      <c r="O74">
        <v>372500</v>
      </c>
      <c r="P74">
        <v>81.95</v>
      </c>
      <c r="Q74">
        <v>82.3</v>
      </c>
      <c r="R74">
        <v>5</v>
      </c>
      <c r="S74">
        <v>80</v>
      </c>
      <c r="T74">
        <v>30</v>
      </c>
      <c r="U74">
        <v>61</v>
      </c>
      <c r="X74" s="10" t="s">
        <v>219</v>
      </c>
      <c r="Y74" s="10" t="s">
        <v>96</v>
      </c>
      <c r="Z74" s="10" t="b">
        <f t="shared" si="5"/>
        <v>1</v>
      </c>
      <c r="AA74" s="10" t="s">
        <v>224</v>
      </c>
      <c r="AB74" s="10">
        <v>42</v>
      </c>
      <c r="AC74" s="10">
        <v>865</v>
      </c>
      <c r="AD74" s="10">
        <v>5.9</v>
      </c>
      <c r="AE74" s="10">
        <v>13.9</v>
      </c>
      <c r="AF74" s="10">
        <v>82</v>
      </c>
      <c r="AG74" s="10" t="s">
        <v>226</v>
      </c>
    </row>
    <row r="75" spans="11:33" x14ac:dyDescent="0.2">
      <c r="K75" s="10" t="s">
        <v>212</v>
      </c>
      <c r="L75" s="10" t="s">
        <v>425</v>
      </c>
      <c r="M75" s="10" t="b">
        <f t="shared" si="4"/>
        <v>0</v>
      </c>
      <c r="N75">
        <v>4295</v>
      </c>
      <c r="O75">
        <v>4295</v>
      </c>
      <c r="P75">
        <v>15.7</v>
      </c>
      <c r="Q75">
        <v>5</v>
      </c>
      <c r="R75"/>
      <c r="S75">
        <v>21.8</v>
      </c>
      <c r="T75">
        <v>21.8</v>
      </c>
      <c r="U75">
        <v>160</v>
      </c>
      <c r="X75" s="10" t="s">
        <v>219</v>
      </c>
      <c r="Y75" s="10" t="s">
        <v>300</v>
      </c>
      <c r="Z75" s="10" t="b">
        <f t="shared" si="5"/>
        <v>1</v>
      </c>
      <c r="AA75" s="10" t="s">
        <v>224</v>
      </c>
      <c r="AB75" s="10">
        <v>38</v>
      </c>
      <c r="AC75" s="10">
        <v>289</v>
      </c>
      <c r="AD75" s="10">
        <v>4.6900000000000004</v>
      </c>
      <c r="AE75" s="10">
        <v>4.2</v>
      </c>
      <c r="AF75" s="10">
        <v>19.5</v>
      </c>
      <c r="AG75" s="10" t="s">
        <v>228</v>
      </c>
    </row>
    <row r="76" spans="11:33" x14ac:dyDescent="0.2">
      <c r="K76" s="10" t="s">
        <v>212</v>
      </c>
      <c r="L76" s="10" t="s">
        <v>426</v>
      </c>
      <c r="M76" s="10" t="b">
        <f t="shared" si="4"/>
        <v>0</v>
      </c>
      <c r="N76">
        <v>4295</v>
      </c>
      <c r="O76">
        <v>4295</v>
      </c>
      <c r="P76">
        <v>15.7</v>
      </c>
      <c r="Q76">
        <v>5</v>
      </c>
      <c r="R76"/>
      <c r="S76">
        <v>21.8</v>
      </c>
      <c r="T76">
        <v>21.8</v>
      </c>
      <c r="U76">
        <v>160</v>
      </c>
      <c r="X76" s="10" t="s">
        <v>219</v>
      </c>
      <c r="Y76" s="10" t="s">
        <v>301</v>
      </c>
      <c r="Z76" s="10" t="b">
        <f t="shared" si="5"/>
        <v>1</v>
      </c>
      <c r="AA76" s="10" t="s">
        <v>224</v>
      </c>
      <c r="AB76" s="10">
        <v>34</v>
      </c>
      <c r="AC76" s="10">
        <v>361</v>
      </c>
      <c r="AD76" s="10">
        <v>6.17</v>
      </c>
      <c r="AE76" s="10">
        <v>5</v>
      </c>
      <c r="AF76" s="10">
        <v>30.9</v>
      </c>
      <c r="AG76" s="10" t="s">
        <v>226</v>
      </c>
    </row>
    <row r="77" spans="11:33" x14ac:dyDescent="0.2">
      <c r="K77" s="10" t="s">
        <v>212</v>
      </c>
      <c r="L77" s="10" t="s">
        <v>427</v>
      </c>
      <c r="M77" s="10" t="b">
        <f t="shared" si="4"/>
        <v>0</v>
      </c>
      <c r="N77">
        <v>4295</v>
      </c>
      <c r="O77">
        <v>4295</v>
      </c>
      <c r="P77">
        <v>15.7</v>
      </c>
      <c r="Q77">
        <v>5</v>
      </c>
      <c r="R77"/>
      <c r="S77">
        <v>21.8</v>
      </c>
      <c r="T77">
        <v>21.8</v>
      </c>
      <c r="U77">
        <v>160</v>
      </c>
      <c r="X77" s="10" t="s">
        <v>219</v>
      </c>
      <c r="Y77" s="10" t="s">
        <v>73</v>
      </c>
      <c r="Z77" s="10" t="b">
        <f t="shared" si="5"/>
        <v>1</v>
      </c>
      <c r="AA77" s="10" t="s">
        <v>225</v>
      </c>
      <c r="AB77" s="10">
        <v>40</v>
      </c>
      <c r="AC77" s="10">
        <v>165.4</v>
      </c>
      <c r="AD77" s="10">
        <v>5.8</v>
      </c>
      <c r="AE77" s="10">
        <v>3.58</v>
      </c>
      <c r="AF77" s="10">
        <v>20.8</v>
      </c>
      <c r="AG77" s="10" t="s">
        <v>226</v>
      </c>
    </row>
    <row r="78" spans="11:33" x14ac:dyDescent="0.2">
      <c r="K78" s="10" t="s">
        <v>212</v>
      </c>
      <c r="L78" s="10" t="s">
        <v>428</v>
      </c>
      <c r="M78" s="10" t="b">
        <f t="shared" si="4"/>
        <v>0</v>
      </c>
      <c r="N78">
        <v>4295</v>
      </c>
      <c r="O78">
        <v>4295</v>
      </c>
      <c r="P78">
        <v>15.7</v>
      </c>
      <c r="Q78">
        <v>5</v>
      </c>
      <c r="R78"/>
      <c r="S78">
        <v>21.8</v>
      </c>
      <c r="T78">
        <v>21.8</v>
      </c>
      <c r="U78">
        <v>160</v>
      </c>
      <c r="X78" s="10" t="s">
        <v>219</v>
      </c>
      <c r="Y78" s="10" t="s">
        <v>302</v>
      </c>
      <c r="Z78" s="10" t="b">
        <f t="shared" si="5"/>
        <v>0</v>
      </c>
      <c r="AA78" s="10" t="s">
        <v>225</v>
      </c>
      <c r="AB78" s="10">
        <v>43</v>
      </c>
      <c r="AC78" s="10">
        <v>968.2</v>
      </c>
      <c r="AD78" s="10">
        <v>14.38</v>
      </c>
      <c r="AE78" s="10">
        <v>11</v>
      </c>
      <c r="AF78" s="10">
        <v>158.19999999999999</v>
      </c>
      <c r="AG78" s="10" t="s">
        <v>412</v>
      </c>
    </row>
    <row r="79" spans="11:33" x14ac:dyDescent="0.2">
      <c r="K79" s="10" t="s">
        <v>212</v>
      </c>
      <c r="L79" s="10" t="s">
        <v>429</v>
      </c>
      <c r="M79" s="10" t="b">
        <f t="shared" si="4"/>
        <v>0</v>
      </c>
      <c r="N79">
        <v>4295</v>
      </c>
      <c r="O79">
        <v>4295</v>
      </c>
      <c r="P79">
        <v>15.7</v>
      </c>
      <c r="Q79">
        <v>6</v>
      </c>
      <c r="R79"/>
      <c r="S79">
        <v>26.5</v>
      </c>
      <c r="T79">
        <v>24.15</v>
      </c>
      <c r="U79">
        <v>78</v>
      </c>
      <c r="X79" s="10" t="s">
        <v>219</v>
      </c>
      <c r="Y79" s="10" t="s">
        <v>303</v>
      </c>
      <c r="Z79" s="10" t="b">
        <f t="shared" si="5"/>
        <v>0</v>
      </c>
      <c r="AA79" s="10" t="s">
        <v>225</v>
      </c>
      <c r="AB79" s="10">
        <v>43</v>
      </c>
      <c r="AC79" s="10">
        <v>711.4</v>
      </c>
      <c r="AD79" s="10">
        <v>9.36</v>
      </c>
      <c r="AE79" s="10">
        <v>7.8</v>
      </c>
      <c r="AF79" s="10">
        <v>72.98</v>
      </c>
      <c r="AG79" s="10" t="s">
        <v>304</v>
      </c>
    </row>
    <row r="80" spans="11:33" x14ac:dyDescent="0.2">
      <c r="K80" s="10" t="s">
        <v>212</v>
      </c>
      <c r="L80" s="10" t="s">
        <v>89</v>
      </c>
      <c r="M80" s="10" t="b">
        <f t="shared" si="4"/>
        <v>1</v>
      </c>
      <c r="N80">
        <v>1162</v>
      </c>
      <c r="O80">
        <v>1162</v>
      </c>
      <c r="P80">
        <v>12.2</v>
      </c>
      <c r="Q80">
        <v>9.6</v>
      </c>
      <c r="R80">
        <v>1.5</v>
      </c>
      <c r="S80">
        <v>77</v>
      </c>
      <c r="T80">
        <v>44.837499999999999</v>
      </c>
      <c r="U80">
        <v>72.5</v>
      </c>
      <c r="X80" s="10" t="s">
        <v>219</v>
      </c>
      <c r="Y80" s="10" t="s">
        <v>305</v>
      </c>
      <c r="Z80" s="10" t="b">
        <f t="shared" si="5"/>
        <v>0</v>
      </c>
      <c r="AA80" s="10" t="s">
        <v>225</v>
      </c>
      <c r="AB80" s="10" t="s">
        <v>306</v>
      </c>
      <c r="AC80" s="10">
        <v>282</v>
      </c>
      <c r="AD80" s="10">
        <v>8.26</v>
      </c>
      <c r="AE80" s="10">
        <v>3</v>
      </c>
      <c r="AF80" s="10">
        <v>24.8</v>
      </c>
      <c r="AG80" s="10" t="s">
        <v>226</v>
      </c>
    </row>
    <row r="81" spans="11:33" x14ac:dyDescent="0.2">
      <c r="K81" s="10" t="s">
        <v>212</v>
      </c>
      <c r="L81" s="10" t="s">
        <v>430</v>
      </c>
      <c r="M81" s="10" t="b">
        <f t="shared" si="4"/>
        <v>0</v>
      </c>
      <c r="N81">
        <v>1740</v>
      </c>
      <c r="O81">
        <v>1740</v>
      </c>
      <c r="P81">
        <v>10.074999999999999</v>
      </c>
      <c r="Q81">
        <v>13.2</v>
      </c>
      <c r="R81">
        <v>2.5</v>
      </c>
      <c r="S81">
        <v>20.9</v>
      </c>
      <c r="T81">
        <v>18.350000000000001</v>
      </c>
      <c r="U81">
        <v>56</v>
      </c>
      <c r="X81" s="10" t="s">
        <v>219</v>
      </c>
      <c r="Y81" s="10" t="s">
        <v>307</v>
      </c>
      <c r="Z81" s="10" t="b">
        <f t="shared" si="5"/>
        <v>0</v>
      </c>
      <c r="AA81" s="10" t="s">
        <v>225</v>
      </c>
      <c r="AB81" s="10">
        <v>34</v>
      </c>
      <c r="AC81" s="10">
        <v>473.33</v>
      </c>
      <c r="AD81" s="10" t="s">
        <v>308</v>
      </c>
      <c r="AE81" s="10">
        <v>6.5</v>
      </c>
      <c r="AF81" s="10">
        <v>51.4</v>
      </c>
      <c r="AG81" s="10" t="s">
        <v>309</v>
      </c>
    </row>
    <row r="82" spans="11:33" x14ac:dyDescent="0.2">
      <c r="K82" s="10" t="s">
        <v>212</v>
      </c>
      <c r="L82" s="10" t="s">
        <v>278</v>
      </c>
      <c r="M82" s="10" t="b">
        <f t="shared" si="4"/>
        <v>0</v>
      </c>
      <c r="N82">
        <v>1030</v>
      </c>
      <c r="O82">
        <v>1030</v>
      </c>
      <c r="P82">
        <v>8.92</v>
      </c>
      <c r="Q82">
        <v>8</v>
      </c>
      <c r="R82"/>
      <c r="S82"/>
      <c r="T82"/>
      <c r="U82">
        <v>49</v>
      </c>
      <c r="X82" s="10" t="s">
        <v>219</v>
      </c>
      <c r="Y82" s="10" t="s">
        <v>310</v>
      </c>
      <c r="Z82" s="10" t="b">
        <f t="shared" si="5"/>
        <v>0</v>
      </c>
      <c r="AA82" s="10" t="s">
        <v>225</v>
      </c>
      <c r="AB82" s="10">
        <v>39</v>
      </c>
      <c r="AC82" s="10">
        <v>132.1</v>
      </c>
      <c r="AD82" s="10">
        <v>4.6399999999999997</v>
      </c>
      <c r="AE82" s="10">
        <v>4</v>
      </c>
      <c r="AF82" s="10">
        <v>18.559999999999999</v>
      </c>
      <c r="AG82" s="10" t="s">
        <v>226</v>
      </c>
    </row>
    <row r="83" spans="11:33" x14ac:dyDescent="0.2">
      <c r="K83" s="10" t="s">
        <v>212</v>
      </c>
      <c r="L83" s="10" t="s">
        <v>431</v>
      </c>
      <c r="M83" s="10" t="b">
        <f t="shared" si="4"/>
        <v>0</v>
      </c>
      <c r="N83">
        <v>1030</v>
      </c>
      <c r="O83">
        <v>1030</v>
      </c>
      <c r="P83">
        <v>8.92</v>
      </c>
      <c r="Q83">
        <v>8</v>
      </c>
      <c r="R83"/>
      <c r="S83"/>
      <c r="T83"/>
      <c r="U83">
        <v>49</v>
      </c>
      <c r="X83" s="10" t="s">
        <v>219</v>
      </c>
      <c r="Y83" s="10" t="s">
        <v>311</v>
      </c>
      <c r="Z83" s="10" t="b">
        <f t="shared" si="5"/>
        <v>0</v>
      </c>
      <c r="AA83" s="10" t="s">
        <v>225</v>
      </c>
      <c r="AB83" s="10">
        <v>30</v>
      </c>
      <c r="AC83" s="10">
        <v>1040</v>
      </c>
      <c r="AD83" s="10">
        <v>10.7</v>
      </c>
      <c r="AE83" s="10">
        <v>9.5</v>
      </c>
      <c r="AF83" s="10">
        <v>101.7</v>
      </c>
      <c r="AG83" s="10" t="s">
        <v>228</v>
      </c>
    </row>
    <row r="84" spans="11:33" x14ac:dyDescent="0.2">
      <c r="K84" s="10" t="s">
        <v>212</v>
      </c>
      <c r="L84" s="10" t="s">
        <v>91</v>
      </c>
      <c r="M84" s="10" t="b">
        <f t="shared" si="4"/>
        <v>1</v>
      </c>
      <c r="N84"/>
      <c r="O84"/>
      <c r="P84"/>
      <c r="Q84">
        <v>9</v>
      </c>
      <c r="R84"/>
      <c r="S84">
        <v>120</v>
      </c>
      <c r="T84">
        <v>27.9</v>
      </c>
      <c r="U84">
        <v>90</v>
      </c>
      <c r="X84" s="10" t="s">
        <v>219</v>
      </c>
      <c r="Y84" s="10" t="s">
        <v>312</v>
      </c>
      <c r="Z84" s="10" t="b">
        <f t="shared" si="5"/>
        <v>0</v>
      </c>
      <c r="AA84" s="10" t="s">
        <v>225</v>
      </c>
      <c r="AB84" s="10">
        <v>33</v>
      </c>
      <c r="AC84" s="10">
        <v>781</v>
      </c>
      <c r="AD84" s="10">
        <v>9.06</v>
      </c>
      <c r="AE84" s="10">
        <v>8</v>
      </c>
      <c r="AF84" s="10">
        <v>72.400000000000006</v>
      </c>
      <c r="AG84" s="10" t="s">
        <v>226</v>
      </c>
    </row>
    <row r="85" spans="11:33" x14ac:dyDescent="0.2">
      <c r="K85" s="10" t="s">
        <v>212</v>
      </c>
      <c r="L85" s="10" t="s">
        <v>289</v>
      </c>
      <c r="M85" s="10" t="b">
        <f t="shared" si="4"/>
        <v>0</v>
      </c>
      <c r="N85">
        <v>67000</v>
      </c>
      <c r="O85">
        <v>62300</v>
      </c>
      <c r="P85">
        <v>26</v>
      </c>
      <c r="Q85">
        <v>136.05000000000001</v>
      </c>
      <c r="R85">
        <v>3</v>
      </c>
      <c r="S85">
        <v>20</v>
      </c>
      <c r="T85">
        <v>20</v>
      </c>
      <c r="U85">
        <v>60.6</v>
      </c>
      <c r="X85" s="10" t="s">
        <v>219</v>
      </c>
      <c r="Y85" s="10" t="s">
        <v>313</v>
      </c>
      <c r="Z85" s="10" t="b">
        <f t="shared" si="5"/>
        <v>0</v>
      </c>
      <c r="AA85" s="10" t="s">
        <v>225</v>
      </c>
      <c r="AB85" s="10">
        <v>43</v>
      </c>
      <c r="AC85" s="10">
        <v>988</v>
      </c>
      <c r="AD85" s="10">
        <v>12.2</v>
      </c>
      <c r="AE85" s="10">
        <v>10.199999999999999</v>
      </c>
      <c r="AF85" s="10">
        <v>111.7</v>
      </c>
      <c r="AG85" s="10" t="s">
        <v>226</v>
      </c>
    </row>
    <row r="86" spans="11:33" x14ac:dyDescent="0.2">
      <c r="K86" s="10" t="s">
        <v>212</v>
      </c>
      <c r="L86" s="10" t="s">
        <v>543</v>
      </c>
      <c r="M86" s="10" t="b">
        <f t="shared" si="4"/>
        <v>0</v>
      </c>
      <c r="N86"/>
      <c r="O86"/>
      <c r="P86"/>
      <c r="Q86">
        <v>22</v>
      </c>
      <c r="R86">
        <v>2</v>
      </c>
      <c r="S86"/>
      <c r="T86"/>
      <c r="U86">
        <v>66</v>
      </c>
      <c r="X86" s="10" t="s">
        <v>219</v>
      </c>
      <c r="Y86" s="10" t="s">
        <v>314</v>
      </c>
      <c r="Z86" s="10" t="b">
        <f t="shared" si="5"/>
        <v>1</v>
      </c>
      <c r="AA86" s="10" t="s">
        <v>225</v>
      </c>
      <c r="AB86" s="10">
        <v>42</v>
      </c>
      <c r="AC86" s="10">
        <v>1336</v>
      </c>
      <c r="AD86" s="10">
        <v>11.66</v>
      </c>
      <c r="AE86" s="10">
        <v>14.9</v>
      </c>
      <c r="AF86" s="10">
        <v>168.5</v>
      </c>
      <c r="AG86" s="10" t="s">
        <v>226</v>
      </c>
    </row>
    <row r="87" spans="11:33" x14ac:dyDescent="0.2">
      <c r="K87" s="10" t="s">
        <v>212</v>
      </c>
      <c r="L87" s="10" t="s">
        <v>432</v>
      </c>
      <c r="M87" s="10" t="b">
        <f t="shared" si="4"/>
        <v>0</v>
      </c>
      <c r="N87"/>
      <c r="O87"/>
      <c r="P87"/>
      <c r="Q87">
        <v>15.5</v>
      </c>
      <c r="R87"/>
      <c r="S87">
        <v>26.5</v>
      </c>
      <c r="T87">
        <v>26.5</v>
      </c>
      <c r="U87">
        <v>69</v>
      </c>
      <c r="X87" s="10" t="s">
        <v>219</v>
      </c>
      <c r="Y87" s="10" t="s">
        <v>91</v>
      </c>
      <c r="Z87" s="10" t="b">
        <f t="shared" si="5"/>
        <v>1</v>
      </c>
      <c r="AA87" s="10" t="s">
        <v>224</v>
      </c>
      <c r="AB87" s="10">
        <v>43.8</v>
      </c>
      <c r="AC87" s="10">
        <v>483.4</v>
      </c>
      <c r="AD87" s="10">
        <v>5.77</v>
      </c>
      <c r="AE87" s="10">
        <v>5.8</v>
      </c>
      <c r="AF87" s="10">
        <v>33.47</v>
      </c>
      <c r="AG87" s="10" t="s">
        <v>315</v>
      </c>
    </row>
    <row r="88" spans="11:33" x14ac:dyDescent="0.2">
      <c r="K88" s="10" t="s">
        <v>212</v>
      </c>
      <c r="L88" s="10" t="s">
        <v>60</v>
      </c>
      <c r="M88" s="10" t="b">
        <f t="shared" si="4"/>
        <v>1</v>
      </c>
      <c r="N88">
        <v>4225</v>
      </c>
      <c r="O88">
        <v>2500</v>
      </c>
      <c r="P88">
        <v>28</v>
      </c>
      <c r="Q88">
        <v>5.2903571429999996</v>
      </c>
      <c r="R88">
        <v>2.2096853680000001</v>
      </c>
      <c r="S88">
        <v>24.3</v>
      </c>
      <c r="T88">
        <v>24.3</v>
      </c>
      <c r="U88">
        <v>138.5</v>
      </c>
      <c r="X88" s="10" t="s">
        <v>219</v>
      </c>
      <c r="Y88" s="10" t="s">
        <v>316</v>
      </c>
      <c r="Z88" s="10" t="b">
        <f t="shared" si="5"/>
        <v>0</v>
      </c>
      <c r="AA88" s="10" t="s">
        <v>224</v>
      </c>
      <c r="AB88" s="10">
        <v>31</v>
      </c>
      <c r="AC88" s="10">
        <v>1256</v>
      </c>
      <c r="AD88" s="10">
        <v>18.899999999999999</v>
      </c>
      <c r="AE88" s="10">
        <v>8.5</v>
      </c>
      <c r="AF88" s="10">
        <v>160.6</v>
      </c>
      <c r="AG88" s="10" t="s">
        <v>226</v>
      </c>
    </row>
    <row r="89" spans="11:33" x14ac:dyDescent="0.2">
      <c r="K89" s="10" t="s">
        <v>212</v>
      </c>
      <c r="L89" s="10" t="s">
        <v>198</v>
      </c>
      <c r="M89" s="10" t="b">
        <f t="shared" si="4"/>
        <v>0</v>
      </c>
      <c r="N89">
        <v>4225</v>
      </c>
      <c r="O89">
        <v>2500</v>
      </c>
      <c r="P89">
        <v>28</v>
      </c>
      <c r="Q89">
        <v>5.2903571429999996</v>
      </c>
      <c r="R89">
        <v>2.2096853680000001</v>
      </c>
      <c r="S89">
        <v>24.3</v>
      </c>
      <c r="T89">
        <v>24.3</v>
      </c>
      <c r="U89">
        <v>138.5</v>
      </c>
      <c r="X89" s="10" t="s">
        <v>219</v>
      </c>
      <c r="Y89" s="10" t="s">
        <v>98</v>
      </c>
      <c r="Z89" s="10" t="b">
        <f t="shared" si="5"/>
        <v>1</v>
      </c>
      <c r="AA89" s="10" t="s">
        <v>224</v>
      </c>
      <c r="AB89" s="10">
        <v>38</v>
      </c>
      <c r="AC89" s="10">
        <v>1138</v>
      </c>
      <c r="AD89" s="10">
        <v>11.23</v>
      </c>
      <c r="AE89" s="10">
        <v>10.1</v>
      </c>
      <c r="AF89" s="10">
        <v>113.42</v>
      </c>
      <c r="AG89" s="10" t="s">
        <v>226</v>
      </c>
    </row>
    <row r="90" spans="11:33" x14ac:dyDescent="0.2">
      <c r="K90" s="10" t="s">
        <v>212</v>
      </c>
      <c r="L90" s="10" t="s">
        <v>199</v>
      </c>
      <c r="M90" s="10" t="b">
        <f t="shared" si="4"/>
        <v>0</v>
      </c>
      <c r="N90">
        <v>43000</v>
      </c>
      <c r="O90">
        <v>22400</v>
      </c>
      <c r="P90">
        <v>44</v>
      </c>
      <c r="Q90">
        <v>17</v>
      </c>
      <c r="R90">
        <v>2.7500948529999998</v>
      </c>
      <c r="S90">
        <v>54.3</v>
      </c>
      <c r="T90">
        <v>54.3</v>
      </c>
      <c r="U90">
        <v>145</v>
      </c>
      <c r="X90" s="10" t="s">
        <v>219</v>
      </c>
      <c r="Y90" s="10" t="s">
        <v>317</v>
      </c>
      <c r="Z90" s="10" t="b">
        <f t="shared" si="5"/>
        <v>0</v>
      </c>
      <c r="AA90" s="10" t="s">
        <v>224</v>
      </c>
      <c r="AB90" s="10">
        <v>31</v>
      </c>
      <c r="AC90" s="10">
        <v>415.7</v>
      </c>
      <c r="AD90" s="10">
        <v>12.03</v>
      </c>
      <c r="AE90" s="10">
        <v>5.5</v>
      </c>
      <c r="AF90" s="10">
        <v>66.17</v>
      </c>
      <c r="AG90" s="10" t="s">
        <v>226</v>
      </c>
    </row>
    <row r="91" spans="11:33" x14ac:dyDescent="0.2">
      <c r="K91" s="10" t="s">
        <v>212</v>
      </c>
      <c r="L91" s="10" t="s">
        <v>47</v>
      </c>
      <c r="M91" s="10" t="b">
        <f t="shared" si="4"/>
        <v>1</v>
      </c>
      <c r="N91"/>
      <c r="O91"/>
      <c r="P91"/>
      <c r="Q91">
        <v>15.5</v>
      </c>
      <c r="R91"/>
      <c r="S91">
        <v>19.2</v>
      </c>
      <c r="T91">
        <v>16.75</v>
      </c>
      <c r="U91">
        <v>75.5</v>
      </c>
      <c r="X91" s="10" t="s">
        <v>219</v>
      </c>
      <c r="Y91" s="10" t="s">
        <v>318</v>
      </c>
      <c r="Z91" s="10" t="b">
        <f t="shared" si="5"/>
        <v>0</v>
      </c>
      <c r="AA91" s="10" t="s">
        <v>224</v>
      </c>
      <c r="AB91" s="10">
        <v>32</v>
      </c>
      <c r="AC91" s="10">
        <v>359.3</v>
      </c>
      <c r="AD91" s="10">
        <v>10.6</v>
      </c>
      <c r="AE91" s="10">
        <v>3</v>
      </c>
      <c r="AF91" s="10">
        <v>31.8</v>
      </c>
      <c r="AG91" s="10" t="s">
        <v>226</v>
      </c>
    </row>
    <row r="92" spans="11:33" x14ac:dyDescent="0.2">
      <c r="K92" s="10" t="s">
        <v>212</v>
      </c>
      <c r="L92" s="10" t="s">
        <v>487</v>
      </c>
      <c r="M92" s="10" t="b">
        <f t="shared" si="4"/>
        <v>0</v>
      </c>
      <c r="N92">
        <v>196</v>
      </c>
      <c r="O92">
        <v>196</v>
      </c>
      <c r="P92">
        <v>6.15</v>
      </c>
      <c r="Q92">
        <v>1</v>
      </c>
      <c r="R92"/>
      <c r="S92"/>
      <c r="T92"/>
      <c r="U92">
        <v>90</v>
      </c>
      <c r="X92" s="10" t="s">
        <v>219</v>
      </c>
      <c r="Y92" s="10" t="s">
        <v>319</v>
      </c>
      <c r="Z92" s="10" t="b">
        <f t="shared" si="5"/>
        <v>0</v>
      </c>
      <c r="AA92" s="10" t="s">
        <v>225</v>
      </c>
      <c r="AB92" s="10">
        <v>44</v>
      </c>
      <c r="AC92" s="10">
        <v>1136</v>
      </c>
      <c r="AD92" s="10">
        <v>9.76</v>
      </c>
      <c r="AE92" s="10">
        <v>10.5</v>
      </c>
      <c r="AF92" s="10">
        <v>102.5</v>
      </c>
      <c r="AG92" s="10" t="s">
        <v>226</v>
      </c>
    </row>
    <row r="93" spans="11:33" x14ac:dyDescent="0.2">
      <c r="K93" s="10" t="s">
        <v>212</v>
      </c>
      <c r="L93" s="10" t="s">
        <v>50</v>
      </c>
      <c r="M93" s="10" t="b">
        <f t="shared" si="4"/>
        <v>1</v>
      </c>
      <c r="N93">
        <v>196</v>
      </c>
      <c r="O93">
        <v>196</v>
      </c>
      <c r="P93">
        <v>6.15</v>
      </c>
      <c r="Q93">
        <v>1</v>
      </c>
      <c r="R93"/>
      <c r="S93"/>
      <c r="T93"/>
      <c r="U93">
        <v>90</v>
      </c>
      <c r="X93" s="10" t="s">
        <v>219</v>
      </c>
      <c r="Y93" s="10" t="s">
        <v>75</v>
      </c>
      <c r="Z93" s="10" t="b">
        <f t="shared" si="5"/>
        <v>1</v>
      </c>
      <c r="AA93" s="10" t="s">
        <v>225</v>
      </c>
      <c r="AB93" s="10">
        <v>44</v>
      </c>
      <c r="AC93" s="10">
        <v>1477</v>
      </c>
      <c r="AD93" s="10">
        <v>9.7799999999999994</v>
      </c>
      <c r="AE93" s="10">
        <v>14.1</v>
      </c>
      <c r="AF93" s="10">
        <v>137.9</v>
      </c>
      <c r="AG93" s="10" t="s">
        <v>228</v>
      </c>
    </row>
    <row r="94" spans="11:33" x14ac:dyDescent="0.2">
      <c r="K94" s="10" t="s">
        <v>212</v>
      </c>
      <c r="L94" s="10" t="s">
        <v>71</v>
      </c>
      <c r="M94" s="10" t="b">
        <f t="shared" si="4"/>
        <v>1</v>
      </c>
      <c r="N94">
        <v>968.2</v>
      </c>
      <c r="O94">
        <v>968.2</v>
      </c>
      <c r="P94">
        <v>13.49</v>
      </c>
      <c r="Q94">
        <v>8</v>
      </c>
      <c r="R94">
        <v>1.5</v>
      </c>
      <c r="S94">
        <v>60</v>
      </c>
      <c r="T94">
        <v>58</v>
      </c>
      <c r="U94">
        <v>67</v>
      </c>
      <c r="X94" s="10" t="s">
        <v>219</v>
      </c>
      <c r="Y94" s="10" t="s">
        <v>320</v>
      </c>
      <c r="Z94" s="10" t="b">
        <f t="shared" si="5"/>
        <v>0</v>
      </c>
      <c r="AA94" s="10" t="s">
        <v>224</v>
      </c>
      <c r="AB94" s="10">
        <v>31</v>
      </c>
      <c r="AC94" s="10">
        <v>1519</v>
      </c>
      <c r="AD94" s="10">
        <v>14.18</v>
      </c>
      <c r="AE94" s="10">
        <v>7.2</v>
      </c>
      <c r="AF94" s="10">
        <v>102.1</v>
      </c>
      <c r="AG94" s="10" t="s">
        <v>226</v>
      </c>
    </row>
    <row r="95" spans="11:33" x14ac:dyDescent="0.2">
      <c r="K95" s="10" t="s">
        <v>212</v>
      </c>
      <c r="L95" s="10" t="s">
        <v>72</v>
      </c>
      <c r="M95" s="10" t="b">
        <f t="shared" si="4"/>
        <v>1</v>
      </c>
      <c r="N95">
        <v>132.1</v>
      </c>
      <c r="O95">
        <v>132.1</v>
      </c>
      <c r="P95">
        <v>4.6399999999999997</v>
      </c>
      <c r="Q95">
        <v>3</v>
      </c>
      <c r="R95">
        <v>1</v>
      </c>
      <c r="S95">
        <v>40</v>
      </c>
      <c r="T95">
        <v>40</v>
      </c>
      <c r="U95">
        <v>56</v>
      </c>
      <c r="X95" s="10" t="s">
        <v>219</v>
      </c>
      <c r="Y95" s="10" t="s">
        <v>321</v>
      </c>
      <c r="Z95" s="10" t="b">
        <f t="shared" si="5"/>
        <v>0</v>
      </c>
      <c r="AA95" s="10" t="s">
        <v>224</v>
      </c>
      <c r="AB95" s="10">
        <v>29</v>
      </c>
      <c r="AC95" s="10">
        <v>886</v>
      </c>
      <c r="AD95" s="10">
        <v>12.48</v>
      </c>
      <c r="AE95" s="10">
        <v>6.7</v>
      </c>
      <c r="AF95" s="10">
        <v>83.62</v>
      </c>
      <c r="AG95" s="10" t="s">
        <v>226</v>
      </c>
    </row>
    <row r="96" spans="11:33" x14ac:dyDescent="0.2">
      <c r="K96" s="10" t="s">
        <v>212</v>
      </c>
      <c r="L96" s="10" t="s">
        <v>70</v>
      </c>
      <c r="M96" s="10" t="b">
        <f t="shared" si="4"/>
        <v>1</v>
      </c>
      <c r="N96">
        <v>2784</v>
      </c>
      <c r="O96">
        <v>2443</v>
      </c>
      <c r="P96">
        <v>35.950000000000003</v>
      </c>
      <c r="Q96">
        <v>5.8920972650000003</v>
      </c>
      <c r="R96">
        <v>2</v>
      </c>
      <c r="S96">
        <v>62.8</v>
      </c>
      <c r="T96">
        <v>40</v>
      </c>
      <c r="U96">
        <v>89</v>
      </c>
      <c r="X96" s="10" t="s">
        <v>219</v>
      </c>
      <c r="Y96" s="10" t="s">
        <v>322</v>
      </c>
      <c r="Z96" s="10" t="b">
        <f t="shared" si="5"/>
        <v>0</v>
      </c>
      <c r="AA96" s="10" t="s">
        <v>225</v>
      </c>
      <c r="AB96" s="10">
        <v>30</v>
      </c>
      <c r="AC96" s="10">
        <v>3920</v>
      </c>
      <c r="AD96" s="10">
        <v>13.09</v>
      </c>
      <c r="AE96" s="10">
        <v>16.8</v>
      </c>
      <c r="AF96" s="10">
        <v>219.9</v>
      </c>
      <c r="AG96" s="10" t="s">
        <v>228</v>
      </c>
    </row>
    <row r="97" spans="11:33" x14ac:dyDescent="0.2">
      <c r="K97" s="10" t="s">
        <v>212</v>
      </c>
      <c r="L97" s="10" t="s">
        <v>69</v>
      </c>
      <c r="M97" s="10" t="b">
        <f t="shared" si="4"/>
        <v>1</v>
      </c>
      <c r="N97">
        <v>1792</v>
      </c>
      <c r="O97">
        <v>1769.5</v>
      </c>
      <c r="P97">
        <v>33.9</v>
      </c>
      <c r="Q97">
        <v>2.8</v>
      </c>
      <c r="R97">
        <v>1</v>
      </c>
      <c r="S97">
        <v>60</v>
      </c>
      <c r="T97">
        <v>27.85</v>
      </c>
      <c r="U97">
        <v>91.32</v>
      </c>
      <c r="X97" s="10" t="s">
        <v>219</v>
      </c>
      <c r="Y97" s="10" t="s">
        <v>323</v>
      </c>
      <c r="Z97" s="10" t="b">
        <f t="shared" si="5"/>
        <v>0</v>
      </c>
      <c r="AA97" s="10" t="s">
        <v>225</v>
      </c>
      <c r="AB97" s="10">
        <v>33</v>
      </c>
      <c r="AC97" s="10">
        <v>2992</v>
      </c>
      <c r="AD97" s="10">
        <v>11.99</v>
      </c>
      <c r="AE97" s="10">
        <v>17</v>
      </c>
      <c r="AF97" s="10">
        <v>203.8</v>
      </c>
      <c r="AG97" s="10" t="s">
        <v>226</v>
      </c>
    </row>
    <row r="98" spans="11:33" x14ac:dyDescent="0.2">
      <c r="K98" s="10" t="s">
        <v>212</v>
      </c>
      <c r="L98" s="10" t="s">
        <v>179</v>
      </c>
      <c r="M98" s="10" t="b">
        <f t="shared" si="4"/>
        <v>0</v>
      </c>
      <c r="N98"/>
      <c r="O98"/>
      <c r="P98"/>
      <c r="Q98">
        <v>5.2</v>
      </c>
      <c r="R98">
        <v>1.3</v>
      </c>
      <c r="S98">
        <v>4.8</v>
      </c>
      <c r="T98">
        <v>4.8</v>
      </c>
      <c r="U98">
        <v>90</v>
      </c>
      <c r="X98" s="10" t="s">
        <v>219</v>
      </c>
      <c r="Y98" s="10" t="s">
        <v>324</v>
      </c>
      <c r="Z98" s="10" t="b">
        <f t="shared" ref="Z98:Z129" si="6">IF(ISERROR(VLOOKUP( LEFT(Y98, LEN(Y98) - IF(ISNUMBER(RIGHT(Y98, 1) * 1), 1, 0)),B$2:B$61,1,FALSE)),FALSE,TRUE)</f>
        <v>0</v>
      </c>
      <c r="AA98" s="10" t="s">
        <v>225</v>
      </c>
      <c r="AB98" s="10">
        <v>33</v>
      </c>
      <c r="AC98" s="10">
        <v>2211</v>
      </c>
      <c r="AD98" s="10">
        <v>11.49</v>
      </c>
      <c r="AE98" s="10">
        <v>11.5</v>
      </c>
      <c r="AF98" s="10">
        <v>132.1</v>
      </c>
      <c r="AG98" s="10" t="s">
        <v>226</v>
      </c>
    </row>
    <row r="99" spans="11:33" x14ac:dyDescent="0.2">
      <c r="K99" s="10" t="s">
        <v>212</v>
      </c>
      <c r="L99" s="10" t="s">
        <v>68</v>
      </c>
      <c r="M99" s="10" t="b">
        <f t="shared" si="4"/>
        <v>1</v>
      </c>
      <c r="N99">
        <v>4142</v>
      </c>
      <c r="O99">
        <v>2784</v>
      </c>
      <c r="P99">
        <v>40.950000000000003</v>
      </c>
      <c r="Q99">
        <v>6.6</v>
      </c>
      <c r="R99">
        <v>1</v>
      </c>
      <c r="S99">
        <v>60</v>
      </c>
      <c r="T99">
        <v>32.5</v>
      </c>
      <c r="U99">
        <v>90</v>
      </c>
      <c r="X99" s="10" t="s">
        <v>219</v>
      </c>
      <c r="Y99" s="10" t="s">
        <v>325</v>
      </c>
      <c r="Z99" s="10" t="b">
        <f t="shared" si="6"/>
        <v>0</v>
      </c>
      <c r="AA99" s="10" t="s">
        <v>225</v>
      </c>
      <c r="AB99" s="10">
        <v>30</v>
      </c>
      <c r="AC99" s="10">
        <v>4020</v>
      </c>
      <c r="AD99" s="10">
        <v>10.23</v>
      </c>
      <c r="AE99" s="10">
        <v>14.3</v>
      </c>
      <c r="AF99" s="10">
        <v>146.30000000000001</v>
      </c>
      <c r="AG99" s="10" t="s">
        <v>228</v>
      </c>
    </row>
    <row r="100" spans="11:33" x14ac:dyDescent="0.2">
      <c r="K100" s="10" t="s">
        <v>212</v>
      </c>
      <c r="L100" s="10" t="s">
        <v>316</v>
      </c>
      <c r="M100" s="10" t="b">
        <f t="shared" si="4"/>
        <v>0</v>
      </c>
      <c r="N100">
        <v>1256</v>
      </c>
      <c r="O100">
        <v>1256</v>
      </c>
      <c r="P100">
        <v>18.899999999999999</v>
      </c>
      <c r="Q100">
        <v>8.5</v>
      </c>
      <c r="R100">
        <v>4</v>
      </c>
      <c r="S100">
        <v>31.7</v>
      </c>
      <c r="T100">
        <v>18.75</v>
      </c>
      <c r="U100"/>
      <c r="X100" s="10" t="s">
        <v>219</v>
      </c>
      <c r="Y100" s="10" t="s">
        <v>326</v>
      </c>
      <c r="Z100" s="10" t="b">
        <f t="shared" si="6"/>
        <v>0</v>
      </c>
      <c r="AA100" s="10" t="s">
        <v>225</v>
      </c>
      <c r="AB100" s="10">
        <v>42</v>
      </c>
      <c r="AC100" s="10">
        <v>3477</v>
      </c>
      <c r="AD100" s="10">
        <v>11.9</v>
      </c>
      <c r="AE100" s="10">
        <v>17</v>
      </c>
      <c r="AF100" s="10">
        <v>202.3</v>
      </c>
      <c r="AG100" s="10" t="s">
        <v>228</v>
      </c>
    </row>
    <row r="101" spans="11:33" x14ac:dyDescent="0.2">
      <c r="K101" s="10" t="s">
        <v>212</v>
      </c>
      <c r="L101" s="10" t="s">
        <v>455</v>
      </c>
      <c r="M101" s="10" t="b">
        <f t="shared" si="4"/>
        <v>0</v>
      </c>
      <c r="N101"/>
      <c r="O101"/>
      <c r="P101"/>
      <c r="Q101">
        <v>3.5</v>
      </c>
      <c r="R101">
        <v>2</v>
      </c>
      <c r="S101">
        <v>14.5</v>
      </c>
      <c r="T101">
        <v>14.5</v>
      </c>
      <c r="U101"/>
      <c r="X101" s="10" t="s">
        <v>219</v>
      </c>
      <c r="Y101" s="10" t="s">
        <v>327</v>
      </c>
      <c r="Z101" s="10" t="b">
        <f t="shared" si="6"/>
        <v>0</v>
      </c>
      <c r="AA101" s="10" t="s">
        <v>224</v>
      </c>
      <c r="AB101" s="10">
        <v>33</v>
      </c>
      <c r="AC101" s="10">
        <v>372</v>
      </c>
      <c r="AD101" s="10">
        <v>9.02</v>
      </c>
      <c r="AE101" s="10">
        <v>3.4</v>
      </c>
      <c r="AF101" s="10">
        <v>30.7</v>
      </c>
      <c r="AG101" s="10" t="s">
        <v>226</v>
      </c>
    </row>
    <row r="102" spans="11:33" x14ac:dyDescent="0.2">
      <c r="K102" s="10" t="s">
        <v>212</v>
      </c>
      <c r="L102" s="10" t="s">
        <v>456</v>
      </c>
      <c r="M102" s="10" t="b">
        <f t="shared" si="4"/>
        <v>0</v>
      </c>
      <c r="N102"/>
      <c r="O102"/>
      <c r="P102"/>
      <c r="Q102">
        <v>7</v>
      </c>
      <c r="R102">
        <v>4</v>
      </c>
      <c r="S102"/>
      <c r="T102"/>
      <c r="U102"/>
      <c r="X102" s="10" t="s">
        <v>219</v>
      </c>
      <c r="Y102" s="10" t="s">
        <v>328</v>
      </c>
      <c r="Z102" s="10" t="b">
        <f t="shared" si="6"/>
        <v>0</v>
      </c>
      <c r="AA102" s="10" t="s">
        <v>224</v>
      </c>
      <c r="AB102" s="10">
        <v>39</v>
      </c>
      <c r="AC102" s="10">
        <v>630</v>
      </c>
      <c r="AD102" s="10">
        <v>9.36</v>
      </c>
      <c r="AE102" s="10">
        <v>6.67</v>
      </c>
      <c r="AF102" s="10">
        <v>62.4</v>
      </c>
      <c r="AG102" s="10" t="s">
        <v>329</v>
      </c>
    </row>
    <row r="103" spans="11:33" x14ac:dyDescent="0.2">
      <c r="K103" s="10" t="s">
        <v>212</v>
      </c>
      <c r="L103" s="10" t="s">
        <v>113</v>
      </c>
      <c r="M103" s="10" t="b">
        <f t="shared" si="4"/>
        <v>1</v>
      </c>
      <c r="N103">
        <v>918.15</v>
      </c>
      <c r="O103">
        <v>1130</v>
      </c>
      <c r="P103">
        <v>10.18</v>
      </c>
      <c r="Q103">
        <v>6</v>
      </c>
      <c r="R103">
        <v>2</v>
      </c>
      <c r="S103">
        <v>36.941666669999996</v>
      </c>
      <c r="T103">
        <v>32.5</v>
      </c>
      <c r="U103">
        <v>60</v>
      </c>
      <c r="X103" s="10" t="s">
        <v>219</v>
      </c>
      <c r="Y103" s="10" t="s">
        <v>330</v>
      </c>
      <c r="Z103" s="10" t="b">
        <f t="shared" si="6"/>
        <v>0</v>
      </c>
      <c r="AA103" s="10" t="s">
        <v>225</v>
      </c>
      <c r="AB103" s="10">
        <v>27</v>
      </c>
      <c r="AC103" s="10">
        <v>259.8</v>
      </c>
      <c r="AD103" s="10">
        <v>5.66</v>
      </c>
      <c r="AE103" s="10">
        <v>2.2999999999999998</v>
      </c>
      <c r="AF103" s="10">
        <v>13.02</v>
      </c>
      <c r="AG103" s="10" t="s">
        <v>226</v>
      </c>
    </row>
    <row r="104" spans="11:33" x14ac:dyDescent="0.2">
      <c r="K104" s="10" t="s">
        <v>212</v>
      </c>
      <c r="L104" s="10" t="s">
        <v>98</v>
      </c>
      <c r="M104" s="10" t="b">
        <f t="shared" si="4"/>
        <v>1</v>
      </c>
      <c r="N104">
        <v>1138</v>
      </c>
      <c r="O104">
        <v>1138</v>
      </c>
      <c r="P104">
        <v>11.23</v>
      </c>
      <c r="Q104">
        <v>12</v>
      </c>
      <c r="R104">
        <v>2</v>
      </c>
      <c r="S104">
        <v>19.966666669999999</v>
      </c>
      <c r="T104">
        <v>12.733333330000001</v>
      </c>
      <c r="U104">
        <v>75</v>
      </c>
      <c r="X104" s="10" t="s">
        <v>219</v>
      </c>
      <c r="Y104" s="10" t="s">
        <v>331</v>
      </c>
      <c r="Z104" s="10" t="b">
        <f t="shared" si="6"/>
        <v>0</v>
      </c>
      <c r="AA104" s="10" t="s">
        <v>225</v>
      </c>
      <c r="AB104" s="10">
        <v>22</v>
      </c>
      <c r="AC104" s="10">
        <v>372</v>
      </c>
      <c r="AD104" s="10">
        <v>18.46</v>
      </c>
      <c r="AE104" s="10">
        <v>2.7</v>
      </c>
      <c r="AF104" s="10">
        <v>49.9</v>
      </c>
      <c r="AG104" s="10" t="s">
        <v>226</v>
      </c>
    </row>
    <row r="105" spans="11:33" x14ac:dyDescent="0.2">
      <c r="K105" s="10" t="s">
        <v>212</v>
      </c>
      <c r="L105" s="10" t="s">
        <v>457</v>
      </c>
      <c r="M105" s="10" t="b">
        <f t="shared" si="4"/>
        <v>0</v>
      </c>
      <c r="N105">
        <v>1519</v>
      </c>
      <c r="O105">
        <v>2334.5</v>
      </c>
      <c r="P105">
        <v>14.18</v>
      </c>
      <c r="Q105">
        <v>6.5</v>
      </c>
      <c r="R105">
        <v>2</v>
      </c>
      <c r="S105">
        <v>19.966666669999999</v>
      </c>
      <c r="T105">
        <v>15.7</v>
      </c>
      <c r="U105">
        <v>76</v>
      </c>
      <c r="X105" s="10" t="s">
        <v>219</v>
      </c>
      <c r="Y105" s="10" t="s">
        <v>103</v>
      </c>
      <c r="Z105" s="10" t="b">
        <f t="shared" si="6"/>
        <v>1</v>
      </c>
      <c r="AA105" s="10" t="s">
        <v>224</v>
      </c>
      <c r="AB105" s="10">
        <v>39</v>
      </c>
      <c r="AC105" s="10">
        <v>391</v>
      </c>
      <c r="AD105" s="10">
        <v>10.09</v>
      </c>
      <c r="AE105" s="10">
        <v>4.7</v>
      </c>
      <c r="AF105" s="10">
        <v>47.4</v>
      </c>
      <c r="AG105" s="10" t="s">
        <v>228</v>
      </c>
    </row>
    <row r="106" spans="11:33" x14ac:dyDescent="0.2">
      <c r="K106" s="10" t="s">
        <v>212</v>
      </c>
      <c r="L106" s="10" t="s">
        <v>317</v>
      </c>
      <c r="M106" s="10" t="b">
        <f t="shared" si="4"/>
        <v>0</v>
      </c>
      <c r="N106">
        <v>415.7</v>
      </c>
      <c r="O106">
        <v>415.7</v>
      </c>
      <c r="P106">
        <v>10.6</v>
      </c>
      <c r="Q106">
        <v>5.75</v>
      </c>
      <c r="R106">
        <v>3</v>
      </c>
      <c r="S106">
        <v>36.941666669999996</v>
      </c>
      <c r="T106">
        <v>26.4</v>
      </c>
      <c r="U106">
        <v>72</v>
      </c>
      <c r="X106" s="10" t="s">
        <v>219</v>
      </c>
      <c r="Y106" s="10" t="s">
        <v>332</v>
      </c>
      <c r="Z106" s="10" t="b">
        <f t="shared" si="6"/>
        <v>0</v>
      </c>
      <c r="AA106" s="10" t="s">
        <v>225</v>
      </c>
      <c r="AB106" s="10">
        <v>18</v>
      </c>
      <c r="AC106" s="10">
        <v>2522</v>
      </c>
      <c r="AD106" s="10">
        <v>16.8</v>
      </c>
      <c r="AE106" s="10">
        <v>12</v>
      </c>
      <c r="AF106" s="10">
        <v>201.3</v>
      </c>
      <c r="AG106" s="10" t="s">
        <v>226</v>
      </c>
    </row>
    <row r="107" spans="11:33" x14ac:dyDescent="0.2">
      <c r="K107" s="10" t="s">
        <v>212</v>
      </c>
      <c r="L107" s="10" t="s">
        <v>318</v>
      </c>
      <c r="M107" s="10" t="b">
        <f t="shared" si="4"/>
        <v>0</v>
      </c>
      <c r="N107">
        <v>918.15</v>
      </c>
      <c r="O107">
        <v>918.15</v>
      </c>
      <c r="P107">
        <v>10.18</v>
      </c>
      <c r="Q107">
        <v>7.5</v>
      </c>
      <c r="R107">
        <v>2</v>
      </c>
      <c r="S107">
        <v>36.941666669999996</v>
      </c>
      <c r="T107">
        <v>32.5</v>
      </c>
      <c r="U107">
        <v>60</v>
      </c>
      <c r="X107" s="10" t="s">
        <v>219</v>
      </c>
      <c r="Y107" s="10" t="s">
        <v>333</v>
      </c>
      <c r="Z107" s="10" t="b">
        <f t="shared" si="6"/>
        <v>0</v>
      </c>
      <c r="AA107" s="10" t="s">
        <v>225</v>
      </c>
      <c r="AB107" s="10">
        <v>22</v>
      </c>
      <c r="AC107" s="10">
        <v>630.1</v>
      </c>
      <c r="AD107" s="10">
        <v>13.3</v>
      </c>
      <c r="AE107" s="10">
        <v>5</v>
      </c>
      <c r="AF107" s="10">
        <v>66.5</v>
      </c>
      <c r="AG107" s="10" t="s">
        <v>226</v>
      </c>
    </row>
    <row r="108" spans="11:33" x14ac:dyDescent="0.2">
      <c r="K108" s="10" t="s">
        <v>212</v>
      </c>
      <c r="L108" s="10" t="s">
        <v>319</v>
      </c>
      <c r="M108" s="10" t="b">
        <f t="shared" si="4"/>
        <v>0</v>
      </c>
      <c r="N108">
        <v>1306.5</v>
      </c>
      <c r="O108">
        <v>1306.5</v>
      </c>
      <c r="P108">
        <v>9.76</v>
      </c>
      <c r="Q108">
        <v>10.25</v>
      </c>
      <c r="R108">
        <v>3</v>
      </c>
      <c r="S108">
        <v>35.4</v>
      </c>
      <c r="T108">
        <v>32.5</v>
      </c>
      <c r="U108">
        <v>60</v>
      </c>
      <c r="X108" s="10" t="s">
        <v>219</v>
      </c>
      <c r="Y108" s="10" t="s">
        <v>334</v>
      </c>
      <c r="Z108" s="10" t="b">
        <f t="shared" si="6"/>
        <v>0</v>
      </c>
      <c r="AA108" s="10" t="s">
        <v>225</v>
      </c>
      <c r="AB108" s="10">
        <v>30</v>
      </c>
      <c r="AC108" s="10">
        <v>2497</v>
      </c>
      <c r="AD108" s="10">
        <v>18.399999999999999</v>
      </c>
      <c r="AE108" s="10">
        <v>14</v>
      </c>
      <c r="AF108" s="10">
        <v>257.39999999999998</v>
      </c>
      <c r="AG108" s="10" t="s">
        <v>226</v>
      </c>
    </row>
    <row r="109" spans="11:33" x14ac:dyDescent="0.2">
      <c r="K109" s="10" t="s">
        <v>212</v>
      </c>
      <c r="L109" s="10" t="s">
        <v>458</v>
      </c>
      <c r="M109" s="10" t="b">
        <f t="shared" si="4"/>
        <v>0</v>
      </c>
      <c r="N109"/>
      <c r="O109"/>
      <c r="P109"/>
      <c r="Q109">
        <v>6.4</v>
      </c>
      <c r="R109"/>
      <c r="S109"/>
      <c r="T109"/>
      <c r="U109"/>
      <c r="X109" s="10" t="s">
        <v>219</v>
      </c>
      <c r="Y109" s="10" t="s">
        <v>105</v>
      </c>
      <c r="Z109" s="10" t="b">
        <f t="shared" si="6"/>
        <v>1</v>
      </c>
      <c r="AA109" s="10" t="s">
        <v>224</v>
      </c>
      <c r="AB109" s="10">
        <v>33</v>
      </c>
      <c r="AC109" s="10">
        <v>1895</v>
      </c>
      <c r="AD109" s="10">
        <v>10.52</v>
      </c>
      <c r="AE109" s="10">
        <v>7.1</v>
      </c>
      <c r="AF109" s="10">
        <v>74.7</v>
      </c>
      <c r="AG109" s="10" t="s">
        <v>228</v>
      </c>
    </row>
    <row r="110" spans="11:33" x14ac:dyDescent="0.2">
      <c r="K110" s="10" t="s">
        <v>212</v>
      </c>
      <c r="L110" s="10" t="s">
        <v>75</v>
      </c>
      <c r="M110" s="10" t="b">
        <f t="shared" si="4"/>
        <v>1</v>
      </c>
      <c r="N110">
        <v>1477</v>
      </c>
      <c r="O110">
        <v>1477</v>
      </c>
      <c r="P110">
        <v>9.76</v>
      </c>
      <c r="Q110">
        <v>10.5</v>
      </c>
      <c r="R110">
        <v>3</v>
      </c>
      <c r="S110">
        <v>35.4</v>
      </c>
      <c r="T110">
        <v>33.720833329999998</v>
      </c>
      <c r="U110">
        <v>60</v>
      </c>
      <c r="X110" s="10" t="s">
        <v>219</v>
      </c>
      <c r="Y110" s="10" t="s">
        <v>106</v>
      </c>
      <c r="Z110" s="10" t="b">
        <f t="shared" si="6"/>
        <v>1</v>
      </c>
      <c r="AA110" s="10" t="s">
        <v>224</v>
      </c>
      <c r="AB110" s="10">
        <v>30</v>
      </c>
      <c r="AC110" s="10">
        <v>1950</v>
      </c>
      <c r="AD110" s="10">
        <v>10.99</v>
      </c>
      <c r="AE110" s="10">
        <v>9.6999999999999993</v>
      </c>
      <c r="AF110" s="10">
        <v>108.8</v>
      </c>
      <c r="AG110" s="10" t="s">
        <v>226</v>
      </c>
    </row>
    <row r="111" spans="11:33" x14ac:dyDescent="0.2">
      <c r="K111" s="10" t="s">
        <v>212</v>
      </c>
      <c r="L111" s="10" t="s">
        <v>320</v>
      </c>
      <c r="M111" s="10" t="b">
        <f t="shared" si="4"/>
        <v>0</v>
      </c>
      <c r="N111">
        <v>1519</v>
      </c>
      <c r="O111">
        <v>1519</v>
      </c>
      <c r="P111">
        <v>14.18</v>
      </c>
      <c r="Q111">
        <v>6</v>
      </c>
      <c r="R111">
        <v>2</v>
      </c>
      <c r="S111">
        <v>19.966666669999999</v>
      </c>
      <c r="T111">
        <v>15.7</v>
      </c>
      <c r="U111">
        <v>76</v>
      </c>
      <c r="X111" s="10" t="s">
        <v>219</v>
      </c>
      <c r="Y111" s="10" t="s">
        <v>335</v>
      </c>
      <c r="Z111" s="10" t="b">
        <f t="shared" si="6"/>
        <v>1</v>
      </c>
      <c r="AA111" s="10" t="s">
        <v>224</v>
      </c>
      <c r="AB111" s="10">
        <v>9</v>
      </c>
      <c r="AC111" s="10">
        <v>4000</v>
      </c>
      <c r="AD111" s="10">
        <v>20.66</v>
      </c>
      <c r="AE111" s="10">
        <v>17.399999999999999</v>
      </c>
      <c r="AF111" s="10">
        <v>359.5</v>
      </c>
      <c r="AG111" s="10" t="s">
        <v>228</v>
      </c>
    </row>
    <row r="112" spans="11:33" x14ac:dyDescent="0.2">
      <c r="K112" s="10" t="s">
        <v>212</v>
      </c>
      <c r="L112" s="10" t="s">
        <v>459</v>
      </c>
      <c r="M112" s="10" t="b">
        <f t="shared" si="4"/>
        <v>0</v>
      </c>
      <c r="N112">
        <v>1477</v>
      </c>
      <c r="O112">
        <v>1477</v>
      </c>
      <c r="P112">
        <v>9.76</v>
      </c>
      <c r="Q112">
        <v>8</v>
      </c>
      <c r="R112">
        <v>3</v>
      </c>
      <c r="S112">
        <v>35.4</v>
      </c>
      <c r="T112">
        <v>33.720833329999998</v>
      </c>
      <c r="U112">
        <v>60</v>
      </c>
      <c r="X112" s="10" t="s">
        <v>219</v>
      </c>
      <c r="Y112" s="10" t="s">
        <v>336</v>
      </c>
      <c r="Z112" s="10" t="b">
        <f t="shared" si="6"/>
        <v>1</v>
      </c>
      <c r="AA112" s="10" t="s">
        <v>224</v>
      </c>
      <c r="AB112" s="10">
        <v>39</v>
      </c>
      <c r="AC112" s="10">
        <v>1790</v>
      </c>
      <c r="AD112" s="10">
        <v>10.3</v>
      </c>
      <c r="AE112" s="10">
        <v>14</v>
      </c>
      <c r="AF112" s="10">
        <v>145.55000000000001</v>
      </c>
      <c r="AG112" s="10" t="s">
        <v>337</v>
      </c>
    </row>
    <row r="113" spans="11:33" x14ac:dyDescent="0.2">
      <c r="K113" s="10" t="s">
        <v>212</v>
      </c>
      <c r="L113" s="10" t="s">
        <v>488</v>
      </c>
      <c r="M113" s="10" t="b">
        <f t="shared" si="4"/>
        <v>0</v>
      </c>
      <c r="N113"/>
      <c r="O113"/>
      <c r="P113"/>
      <c r="Q113"/>
      <c r="R113"/>
      <c r="S113">
        <v>18</v>
      </c>
      <c r="T113">
        <v>18</v>
      </c>
      <c r="U113"/>
      <c r="X113" s="10" t="s">
        <v>219</v>
      </c>
      <c r="Y113" s="10" t="s">
        <v>338</v>
      </c>
      <c r="Z113" s="10" t="b">
        <f t="shared" si="6"/>
        <v>1</v>
      </c>
      <c r="AA113" s="10" t="s">
        <v>224</v>
      </c>
      <c r="AB113" s="10">
        <v>39</v>
      </c>
      <c r="AC113" s="10">
        <v>1800</v>
      </c>
      <c r="AD113" s="10">
        <v>11.65</v>
      </c>
      <c r="AE113" s="10">
        <v>13.2</v>
      </c>
      <c r="AF113" s="10">
        <v>147.80000000000001</v>
      </c>
      <c r="AG113" s="10" t="s">
        <v>337</v>
      </c>
    </row>
    <row r="114" spans="11:33" x14ac:dyDescent="0.2">
      <c r="K114" s="10" t="s">
        <v>212</v>
      </c>
      <c r="L114" s="10" t="s">
        <v>489</v>
      </c>
      <c r="M114" s="10" t="b">
        <f t="shared" si="4"/>
        <v>0</v>
      </c>
      <c r="N114"/>
      <c r="O114"/>
      <c r="P114"/>
      <c r="Q114"/>
      <c r="R114"/>
      <c r="S114">
        <v>9.3000000000000007</v>
      </c>
      <c r="T114">
        <v>9.3000000000000007</v>
      </c>
      <c r="U114"/>
      <c r="X114" s="10" t="s">
        <v>219</v>
      </c>
      <c r="Y114" s="10" t="s">
        <v>339</v>
      </c>
      <c r="Z114" s="10" t="b">
        <f t="shared" si="6"/>
        <v>0</v>
      </c>
      <c r="AA114" s="10" t="s">
        <v>224</v>
      </c>
      <c r="AB114" s="10">
        <v>18</v>
      </c>
      <c r="AC114" s="10">
        <v>200</v>
      </c>
      <c r="AD114" s="10">
        <v>3.5</v>
      </c>
      <c r="AE114" s="10">
        <v>4</v>
      </c>
      <c r="AF114" s="10">
        <v>14</v>
      </c>
      <c r="AG114" s="10" t="s">
        <v>226</v>
      </c>
    </row>
    <row r="115" spans="11:33" x14ac:dyDescent="0.2">
      <c r="K115" s="10" t="s">
        <v>212</v>
      </c>
      <c r="L115" s="10" t="s">
        <v>46</v>
      </c>
      <c r="M115" s="10" t="b">
        <f t="shared" si="4"/>
        <v>1</v>
      </c>
      <c r="N115"/>
      <c r="O115"/>
      <c r="P115"/>
      <c r="Q115">
        <v>5</v>
      </c>
      <c r="R115"/>
      <c r="S115">
        <v>29.6</v>
      </c>
      <c r="T115">
        <v>25</v>
      </c>
      <c r="U115">
        <v>122</v>
      </c>
      <c r="X115" s="10" t="s">
        <v>219</v>
      </c>
      <c r="Y115" s="10" t="s">
        <v>340</v>
      </c>
      <c r="Z115" s="10" t="b">
        <f t="shared" si="6"/>
        <v>0</v>
      </c>
      <c r="AA115" s="10" t="s">
        <v>224</v>
      </c>
      <c r="AB115" s="10">
        <v>19</v>
      </c>
      <c r="AC115" s="10">
        <v>220.34</v>
      </c>
      <c r="AD115" s="10">
        <v>6</v>
      </c>
      <c r="AE115" s="10">
        <v>2.5</v>
      </c>
      <c r="AF115" s="10">
        <v>14.4</v>
      </c>
      <c r="AG115" s="10" t="s">
        <v>341</v>
      </c>
    </row>
    <row r="116" spans="11:33" x14ac:dyDescent="0.2">
      <c r="K116" s="10" t="s">
        <v>212</v>
      </c>
      <c r="L116" s="10" t="s">
        <v>240</v>
      </c>
      <c r="M116" s="10" t="b">
        <f t="shared" si="4"/>
        <v>0</v>
      </c>
      <c r="N116">
        <v>950</v>
      </c>
      <c r="O116">
        <v>950</v>
      </c>
      <c r="P116">
        <v>29.7</v>
      </c>
      <c r="Q116">
        <v>1</v>
      </c>
      <c r="R116"/>
      <c r="S116">
        <v>22.9</v>
      </c>
      <c r="T116">
        <v>9.3000000000000007</v>
      </c>
      <c r="U116">
        <v>106</v>
      </c>
      <c r="X116" s="10" t="s">
        <v>219</v>
      </c>
      <c r="Y116" s="10" t="s">
        <v>342</v>
      </c>
      <c r="Z116" s="10" t="b">
        <f t="shared" si="6"/>
        <v>0</v>
      </c>
      <c r="AA116" s="10" t="s">
        <v>224</v>
      </c>
      <c r="AB116" s="10">
        <v>28</v>
      </c>
      <c r="AC116" s="10">
        <v>145</v>
      </c>
      <c r="AD116" s="10">
        <v>3.66</v>
      </c>
      <c r="AE116" s="10">
        <v>4</v>
      </c>
      <c r="AF116" s="10">
        <v>14.6</v>
      </c>
      <c r="AG116" s="10" t="s">
        <v>228</v>
      </c>
    </row>
    <row r="117" spans="11:33" x14ac:dyDescent="0.2">
      <c r="K117" s="10" t="s">
        <v>212</v>
      </c>
      <c r="L117" s="10" t="s">
        <v>180</v>
      </c>
      <c r="M117" s="10" t="b">
        <f t="shared" si="4"/>
        <v>0</v>
      </c>
      <c r="N117">
        <v>229.4</v>
      </c>
      <c r="O117">
        <v>289.39999999999998</v>
      </c>
      <c r="P117">
        <v>8.9700000000000006</v>
      </c>
      <c r="Q117">
        <v>2.877777778</v>
      </c>
      <c r="R117">
        <v>1</v>
      </c>
      <c r="S117">
        <v>28.6</v>
      </c>
      <c r="T117">
        <v>17.95</v>
      </c>
      <c r="U117">
        <v>107.5</v>
      </c>
      <c r="X117" s="10" t="s">
        <v>219</v>
      </c>
      <c r="Y117" s="10" t="s">
        <v>343</v>
      </c>
      <c r="Z117" s="10" t="b">
        <f t="shared" si="6"/>
        <v>0</v>
      </c>
      <c r="AA117" s="10" t="s">
        <v>224</v>
      </c>
      <c r="AB117" s="10">
        <v>10</v>
      </c>
      <c r="AC117" s="10">
        <v>201</v>
      </c>
      <c r="AD117" s="10">
        <v>11.94</v>
      </c>
      <c r="AE117" s="10">
        <v>1.5</v>
      </c>
      <c r="AF117" s="10">
        <v>17.91</v>
      </c>
      <c r="AG117" s="10" t="s">
        <v>226</v>
      </c>
    </row>
    <row r="118" spans="11:33" x14ac:dyDescent="0.2">
      <c r="K118" s="10" t="s">
        <v>212</v>
      </c>
      <c r="L118" s="10" t="s">
        <v>200</v>
      </c>
      <c r="M118" s="10" t="b">
        <f t="shared" si="4"/>
        <v>0</v>
      </c>
      <c r="N118">
        <v>177.1</v>
      </c>
      <c r="O118">
        <v>213</v>
      </c>
      <c r="P118">
        <v>10.895</v>
      </c>
      <c r="Q118">
        <v>1</v>
      </c>
      <c r="R118">
        <v>1</v>
      </c>
      <c r="S118"/>
      <c r="T118"/>
      <c r="U118"/>
      <c r="X118" s="10" t="s">
        <v>219</v>
      </c>
      <c r="Y118" s="10" t="s">
        <v>344</v>
      </c>
      <c r="Z118" s="10" t="b">
        <f t="shared" si="6"/>
        <v>0</v>
      </c>
      <c r="AA118" s="10" t="s">
        <v>225</v>
      </c>
      <c r="AB118" s="10">
        <v>30</v>
      </c>
      <c r="AC118" s="10">
        <v>143</v>
      </c>
      <c r="AD118" s="10">
        <v>2.5499999999999998</v>
      </c>
      <c r="AE118" s="10">
        <v>2.4500000000000002</v>
      </c>
      <c r="AF118" s="10">
        <v>11.35</v>
      </c>
      <c r="AG118" s="10" t="s">
        <v>226</v>
      </c>
    </row>
    <row r="119" spans="11:33" x14ac:dyDescent="0.2">
      <c r="K119" s="10" t="s">
        <v>212</v>
      </c>
      <c r="L119" s="10" t="s">
        <v>201</v>
      </c>
      <c r="M119" s="10" t="b">
        <f t="shared" si="4"/>
        <v>0</v>
      </c>
      <c r="N119">
        <v>393</v>
      </c>
      <c r="O119">
        <v>599</v>
      </c>
      <c r="P119">
        <v>9.9949999999999992</v>
      </c>
      <c r="Q119">
        <v>2</v>
      </c>
      <c r="R119">
        <v>1</v>
      </c>
      <c r="S119"/>
      <c r="T119"/>
      <c r="U119"/>
      <c r="X119" s="10" t="s">
        <v>219</v>
      </c>
      <c r="Y119" s="10" t="s">
        <v>345</v>
      </c>
      <c r="Z119" s="10" t="b">
        <f t="shared" si="6"/>
        <v>0</v>
      </c>
      <c r="AA119" s="10" t="s">
        <v>225</v>
      </c>
      <c r="AB119" s="10">
        <v>35</v>
      </c>
      <c r="AC119" s="10">
        <v>248</v>
      </c>
      <c r="AD119" s="10">
        <v>5.78</v>
      </c>
      <c r="AE119" s="10">
        <v>4.2</v>
      </c>
      <c r="AF119" s="10">
        <v>24.28</v>
      </c>
      <c r="AG119" s="10" t="s">
        <v>226</v>
      </c>
    </row>
    <row r="120" spans="11:33" x14ac:dyDescent="0.2">
      <c r="K120" s="10" t="s">
        <v>212</v>
      </c>
      <c r="L120" s="10" t="s">
        <v>202</v>
      </c>
      <c r="M120" s="10" t="b">
        <f t="shared" si="4"/>
        <v>0</v>
      </c>
      <c r="N120">
        <v>151.4</v>
      </c>
      <c r="O120"/>
      <c r="P120">
        <v>11.34</v>
      </c>
      <c r="Q120">
        <v>1</v>
      </c>
      <c r="R120">
        <v>1</v>
      </c>
      <c r="S120"/>
      <c r="T120"/>
      <c r="U120"/>
      <c r="X120" s="10" t="s">
        <v>219</v>
      </c>
      <c r="Y120" s="10" t="s">
        <v>346</v>
      </c>
      <c r="Z120" s="10" t="b">
        <f t="shared" si="6"/>
        <v>0</v>
      </c>
      <c r="AA120" s="10" t="s">
        <v>224</v>
      </c>
      <c r="AB120" s="10">
        <v>20</v>
      </c>
      <c r="AC120" s="10">
        <v>207</v>
      </c>
      <c r="AD120" s="10">
        <v>8.9</v>
      </c>
      <c r="AE120" s="10">
        <v>1</v>
      </c>
      <c r="AF120" s="10">
        <v>8.9</v>
      </c>
      <c r="AG120" s="10" t="s">
        <v>228</v>
      </c>
    </row>
    <row r="121" spans="11:33" x14ac:dyDescent="0.2">
      <c r="K121" s="10" t="s">
        <v>212</v>
      </c>
      <c r="L121" s="10" t="s">
        <v>99</v>
      </c>
      <c r="M121" s="10" t="b">
        <f t="shared" si="4"/>
        <v>1</v>
      </c>
      <c r="N121"/>
      <c r="O121"/>
      <c r="P121"/>
      <c r="Q121"/>
      <c r="R121"/>
      <c r="S121">
        <v>11.8</v>
      </c>
      <c r="T121">
        <v>11.8</v>
      </c>
      <c r="U121"/>
      <c r="X121" s="10" t="s">
        <v>219</v>
      </c>
      <c r="Y121" s="10" t="s">
        <v>347</v>
      </c>
      <c r="Z121" s="10" t="b">
        <f t="shared" si="6"/>
        <v>0</v>
      </c>
      <c r="AA121" s="10" t="s">
        <v>224</v>
      </c>
      <c r="AB121" s="10">
        <v>33</v>
      </c>
      <c r="AC121" s="10">
        <v>113</v>
      </c>
      <c r="AD121" s="10">
        <v>5.54</v>
      </c>
      <c r="AE121" s="10">
        <v>2.2000000000000002</v>
      </c>
      <c r="AF121" s="10">
        <v>12.19</v>
      </c>
      <c r="AG121" s="10" t="s">
        <v>226</v>
      </c>
    </row>
    <row r="122" spans="11:33" x14ac:dyDescent="0.2">
      <c r="K122" s="10" t="s">
        <v>212</v>
      </c>
      <c r="L122" s="10" t="s">
        <v>433</v>
      </c>
      <c r="M122" s="10" t="b">
        <f t="shared" si="4"/>
        <v>0</v>
      </c>
      <c r="N122"/>
      <c r="O122"/>
      <c r="P122"/>
      <c r="Q122">
        <v>4</v>
      </c>
      <c r="R122"/>
      <c r="S122">
        <v>8.8000000000000007</v>
      </c>
      <c r="T122">
        <v>8.8000000000000007</v>
      </c>
      <c r="U122">
        <v>107.5</v>
      </c>
      <c r="X122" s="10" t="s">
        <v>219</v>
      </c>
      <c r="Y122" s="10" t="s">
        <v>348</v>
      </c>
      <c r="Z122" s="10" t="b">
        <f t="shared" si="6"/>
        <v>0</v>
      </c>
      <c r="AA122" s="10" t="s">
        <v>224</v>
      </c>
      <c r="AB122" s="10">
        <v>5</v>
      </c>
      <c r="AC122" s="10">
        <v>496</v>
      </c>
      <c r="AD122" s="10">
        <v>15.98</v>
      </c>
      <c r="AE122" s="10">
        <v>2</v>
      </c>
      <c r="AF122" s="10">
        <v>31.96</v>
      </c>
      <c r="AG122" s="10" t="s">
        <v>226</v>
      </c>
    </row>
    <row r="123" spans="11:33" x14ac:dyDescent="0.2">
      <c r="K123" s="10" t="s">
        <v>212</v>
      </c>
      <c r="L123" s="10" t="s">
        <v>52</v>
      </c>
      <c r="M123" s="10" t="b">
        <f t="shared" si="4"/>
        <v>1</v>
      </c>
      <c r="N123">
        <v>1150</v>
      </c>
      <c r="O123">
        <v>255</v>
      </c>
      <c r="P123">
        <v>47</v>
      </c>
      <c r="Q123">
        <v>4</v>
      </c>
      <c r="R123">
        <v>2.4997497499999999</v>
      </c>
      <c r="S123">
        <v>14.1</v>
      </c>
      <c r="T123">
        <v>12.95</v>
      </c>
      <c r="U123">
        <v>150</v>
      </c>
      <c r="X123" s="10" t="s">
        <v>219</v>
      </c>
      <c r="Y123" s="10" t="s">
        <v>349</v>
      </c>
      <c r="Z123" s="10" t="b">
        <f t="shared" si="6"/>
        <v>0</v>
      </c>
      <c r="AA123" s="10" t="s">
        <v>225</v>
      </c>
      <c r="AB123" s="10">
        <v>42</v>
      </c>
      <c r="AC123" s="10">
        <v>271.3</v>
      </c>
      <c r="AD123" s="10">
        <v>4.25</v>
      </c>
      <c r="AE123" s="10">
        <v>6.5</v>
      </c>
      <c r="AF123" s="10">
        <v>27.6</v>
      </c>
      <c r="AG123" s="10" t="s">
        <v>226</v>
      </c>
    </row>
    <row r="124" spans="11:33" x14ac:dyDescent="0.2">
      <c r="K124" s="10" t="s">
        <v>212</v>
      </c>
      <c r="L124" s="10" t="s">
        <v>51</v>
      </c>
      <c r="M124" s="10" t="b">
        <f t="shared" si="4"/>
        <v>1</v>
      </c>
      <c r="N124">
        <v>1680</v>
      </c>
      <c r="O124">
        <v>967.5</v>
      </c>
      <c r="P124">
        <v>44.9</v>
      </c>
      <c r="Q124">
        <v>4</v>
      </c>
      <c r="R124">
        <v>2.4997497499999999</v>
      </c>
      <c r="S124">
        <v>32.9</v>
      </c>
      <c r="T124">
        <v>23.5</v>
      </c>
      <c r="U124">
        <v>150</v>
      </c>
      <c r="X124" s="10" t="s">
        <v>219</v>
      </c>
      <c r="Y124" s="10" t="s">
        <v>350</v>
      </c>
      <c r="Z124" s="10" t="b">
        <f t="shared" si="6"/>
        <v>0</v>
      </c>
      <c r="AA124" s="10" t="s">
        <v>225</v>
      </c>
      <c r="AB124" s="10">
        <v>34</v>
      </c>
      <c r="AC124" s="10">
        <v>223.2</v>
      </c>
      <c r="AD124" s="10">
        <v>4.84</v>
      </c>
      <c r="AE124" s="10">
        <v>4.8600000000000003</v>
      </c>
      <c r="AF124" s="10">
        <v>23.5</v>
      </c>
      <c r="AG124" s="10" t="s">
        <v>226</v>
      </c>
    </row>
    <row r="125" spans="11:33" x14ac:dyDescent="0.2">
      <c r="K125" s="10" t="s">
        <v>212</v>
      </c>
      <c r="L125" s="10" t="s">
        <v>181</v>
      </c>
      <c r="M125" s="10" t="b">
        <f t="shared" si="4"/>
        <v>0</v>
      </c>
      <c r="N125">
        <v>1150</v>
      </c>
      <c r="O125">
        <v>255</v>
      </c>
      <c r="P125">
        <v>47</v>
      </c>
      <c r="Q125">
        <v>4</v>
      </c>
      <c r="R125">
        <v>2.4997497499999999</v>
      </c>
      <c r="S125">
        <v>14.1</v>
      </c>
      <c r="T125">
        <v>11.8</v>
      </c>
      <c r="U125">
        <v>150</v>
      </c>
      <c r="X125" s="10" t="s">
        <v>219</v>
      </c>
      <c r="Y125" s="10" t="s">
        <v>351</v>
      </c>
      <c r="Z125" s="10" t="b">
        <f t="shared" si="6"/>
        <v>0</v>
      </c>
      <c r="AA125" s="10" t="s">
        <v>225</v>
      </c>
      <c r="AB125" s="10">
        <v>30</v>
      </c>
      <c r="AC125" s="10">
        <v>391</v>
      </c>
      <c r="AD125" s="10">
        <v>6.31</v>
      </c>
      <c r="AE125" s="10">
        <v>4.7</v>
      </c>
      <c r="AF125" s="10">
        <v>29.66</v>
      </c>
      <c r="AG125" s="10" t="s">
        <v>226</v>
      </c>
    </row>
    <row r="126" spans="11:33" x14ac:dyDescent="0.2">
      <c r="K126" s="10" t="s">
        <v>212</v>
      </c>
      <c r="L126" s="10" t="s">
        <v>59</v>
      </c>
      <c r="M126" s="10" t="b">
        <f t="shared" si="4"/>
        <v>1</v>
      </c>
      <c r="N126">
        <v>1202</v>
      </c>
      <c r="O126">
        <v>1202</v>
      </c>
      <c r="P126">
        <v>36.08</v>
      </c>
      <c r="Q126">
        <v>2.2999999999999998</v>
      </c>
      <c r="R126"/>
      <c r="S126">
        <v>26.5</v>
      </c>
      <c r="T126">
        <v>22</v>
      </c>
      <c r="U126">
        <v>121.5</v>
      </c>
      <c r="X126" s="10" t="s">
        <v>219</v>
      </c>
      <c r="Y126" s="10" t="s">
        <v>352</v>
      </c>
      <c r="Z126" s="10" t="b">
        <f t="shared" si="6"/>
        <v>0</v>
      </c>
      <c r="AA126" s="10" t="s">
        <v>225</v>
      </c>
      <c r="AB126" s="10">
        <v>32</v>
      </c>
      <c r="AC126" s="10">
        <v>319.7</v>
      </c>
      <c r="AD126" s="10">
        <v>4.8</v>
      </c>
      <c r="AE126" s="10">
        <v>4</v>
      </c>
      <c r="AF126" s="10">
        <v>19.2</v>
      </c>
      <c r="AG126" s="10" t="s">
        <v>353</v>
      </c>
    </row>
    <row r="127" spans="11:33" x14ac:dyDescent="0.2">
      <c r="K127" s="10" t="s">
        <v>212</v>
      </c>
      <c r="L127" s="10" t="s">
        <v>182</v>
      </c>
      <c r="M127" s="10" t="b">
        <f t="shared" si="4"/>
        <v>0</v>
      </c>
      <c r="N127"/>
      <c r="O127"/>
      <c r="P127"/>
      <c r="Q127">
        <v>2.5</v>
      </c>
      <c r="R127"/>
      <c r="S127">
        <v>24.8</v>
      </c>
      <c r="T127">
        <v>24.8</v>
      </c>
      <c r="U127"/>
      <c r="X127" s="10" t="s">
        <v>219</v>
      </c>
      <c r="Y127" s="10" t="s">
        <v>355</v>
      </c>
      <c r="Z127" s="10" t="b">
        <f t="shared" si="6"/>
        <v>0</v>
      </c>
      <c r="AA127" s="10" t="s">
        <v>224</v>
      </c>
      <c r="AB127" s="10">
        <v>23</v>
      </c>
      <c r="AC127" s="10">
        <v>486</v>
      </c>
      <c r="AD127" s="10">
        <v>6.95</v>
      </c>
      <c r="AE127" s="10">
        <v>2</v>
      </c>
      <c r="AF127" s="10">
        <v>13.9</v>
      </c>
      <c r="AG127" s="10" t="s">
        <v>226</v>
      </c>
    </row>
    <row r="128" spans="11:33" x14ac:dyDescent="0.2">
      <c r="K128" s="10" t="s">
        <v>212</v>
      </c>
      <c r="L128" s="10" t="s">
        <v>58</v>
      </c>
      <c r="M128" s="10" t="b">
        <f t="shared" si="4"/>
        <v>1</v>
      </c>
      <c r="N128"/>
      <c r="O128"/>
      <c r="P128"/>
      <c r="Q128">
        <v>3</v>
      </c>
      <c r="R128">
        <v>1.5</v>
      </c>
      <c r="S128"/>
      <c r="T128"/>
      <c r="U128">
        <v>95.5</v>
      </c>
      <c r="X128" s="10" t="s">
        <v>219</v>
      </c>
      <c r="Y128" s="10" t="s">
        <v>356</v>
      </c>
      <c r="Z128" s="10" t="b">
        <f t="shared" si="6"/>
        <v>0</v>
      </c>
      <c r="AA128" s="10" t="s">
        <v>224</v>
      </c>
      <c r="AB128" s="10">
        <v>30</v>
      </c>
      <c r="AC128" s="10">
        <v>202.6</v>
      </c>
      <c r="AD128" s="10">
        <v>4.82</v>
      </c>
      <c r="AE128" s="10">
        <v>3</v>
      </c>
      <c r="AF128" s="10">
        <v>14.5</v>
      </c>
      <c r="AG128" s="10" t="s">
        <v>226</v>
      </c>
    </row>
    <row r="129" spans="11:33" x14ac:dyDescent="0.2">
      <c r="K129" s="10" t="s">
        <v>212</v>
      </c>
      <c r="L129" s="10" t="s">
        <v>203</v>
      </c>
      <c r="M129" s="10" t="b">
        <f t="shared" si="4"/>
        <v>0</v>
      </c>
      <c r="N129">
        <v>1202</v>
      </c>
      <c r="O129">
        <v>1202</v>
      </c>
      <c r="P129">
        <v>36.08</v>
      </c>
      <c r="Q129">
        <v>2.2999999999999998</v>
      </c>
      <c r="R129"/>
      <c r="S129">
        <v>26.5</v>
      </c>
      <c r="T129">
        <v>22</v>
      </c>
      <c r="U129">
        <v>121.5</v>
      </c>
      <c r="X129" s="10" t="s">
        <v>219</v>
      </c>
      <c r="Y129" s="10" t="s">
        <v>357</v>
      </c>
      <c r="Z129" s="10" t="b">
        <f t="shared" si="6"/>
        <v>0</v>
      </c>
      <c r="AA129" s="10" t="s">
        <v>224</v>
      </c>
      <c r="AB129" s="10">
        <v>28</v>
      </c>
      <c r="AC129" s="10">
        <v>474.4</v>
      </c>
      <c r="AD129" s="10">
        <v>6.64</v>
      </c>
      <c r="AE129" s="10">
        <v>5</v>
      </c>
      <c r="AF129" s="10">
        <v>33.200000000000003</v>
      </c>
      <c r="AG129" s="10" t="s">
        <v>226</v>
      </c>
    </row>
    <row r="130" spans="11:33" x14ac:dyDescent="0.2">
      <c r="K130" s="10" t="s">
        <v>212</v>
      </c>
      <c r="L130" s="10" t="s">
        <v>204</v>
      </c>
      <c r="M130" s="10" t="b">
        <f t="shared" ref="M130:M193" si="7">IF(ISERROR(VLOOKUP(L130,B$2:B$61,1,FALSE)),FALSE,TRUE)</f>
        <v>0</v>
      </c>
      <c r="N130">
        <v>1202</v>
      </c>
      <c r="O130">
        <v>1202</v>
      </c>
      <c r="P130">
        <v>36.08</v>
      </c>
      <c r="Q130">
        <v>2.2999999999999998</v>
      </c>
      <c r="R130"/>
      <c r="S130">
        <v>26.5</v>
      </c>
      <c r="T130">
        <v>22</v>
      </c>
      <c r="U130">
        <v>121.5</v>
      </c>
      <c r="X130" s="10" t="s">
        <v>219</v>
      </c>
      <c r="Y130" s="10" t="s">
        <v>358</v>
      </c>
      <c r="Z130" s="10" t="b">
        <f t="shared" ref="Z130:Z161" si="8">IF(ISERROR(VLOOKUP( LEFT(Y130, LEN(Y130) - IF(ISNUMBER(RIGHT(Y130, 1) * 1), 1, 0)),B$2:B$61,1,FALSE)),FALSE,TRUE)</f>
        <v>0</v>
      </c>
      <c r="AA130" s="10" t="s">
        <v>224</v>
      </c>
      <c r="AB130" s="10">
        <v>9</v>
      </c>
      <c r="AC130" s="10">
        <v>373</v>
      </c>
      <c r="AD130" s="10">
        <v>9.1199999999999992</v>
      </c>
      <c r="AE130" s="10">
        <v>1</v>
      </c>
      <c r="AF130" s="10">
        <v>9.1199999999999992</v>
      </c>
      <c r="AG130" s="10" t="s">
        <v>226</v>
      </c>
    </row>
    <row r="131" spans="11:33" x14ac:dyDescent="0.2">
      <c r="K131" s="10" t="s">
        <v>212</v>
      </c>
      <c r="L131" s="10" t="s">
        <v>205</v>
      </c>
      <c r="M131" s="10" t="b">
        <f t="shared" si="7"/>
        <v>0</v>
      </c>
      <c r="N131">
        <v>1202</v>
      </c>
      <c r="O131">
        <v>1202</v>
      </c>
      <c r="P131">
        <v>36.08</v>
      </c>
      <c r="Q131">
        <v>2.2999999999999998</v>
      </c>
      <c r="R131"/>
      <c r="S131">
        <v>26.5</v>
      </c>
      <c r="T131">
        <v>22</v>
      </c>
      <c r="U131">
        <v>121.5</v>
      </c>
      <c r="X131" s="10" t="s">
        <v>219</v>
      </c>
      <c r="Y131" s="10" t="s">
        <v>359</v>
      </c>
      <c r="Z131" s="10" t="b">
        <f t="shared" si="8"/>
        <v>0</v>
      </c>
      <c r="AA131" s="10" t="s">
        <v>225</v>
      </c>
      <c r="AB131" s="10">
        <v>30</v>
      </c>
      <c r="AC131" s="10">
        <v>144</v>
      </c>
      <c r="AD131" s="10">
        <v>5.25</v>
      </c>
      <c r="AE131" s="10">
        <v>2.46</v>
      </c>
      <c r="AF131" s="10">
        <v>12.92</v>
      </c>
      <c r="AG131" s="10" t="s">
        <v>226</v>
      </c>
    </row>
    <row r="132" spans="11:33" x14ac:dyDescent="0.2">
      <c r="K132" s="10" t="s">
        <v>212</v>
      </c>
      <c r="L132" s="10" t="s">
        <v>206</v>
      </c>
      <c r="M132" s="10" t="b">
        <f t="shared" si="7"/>
        <v>0</v>
      </c>
      <c r="N132">
        <v>640</v>
      </c>
      <c r="O132"/>
      <c r="P132"/>
      <c r="Q132">
        <v>3.5</v>
      </c>
      <c r="R132"/>
      <c r="S132"/>
      <c r="T132"/>
      <c r="U132"/>
      <c r="X132" s="10" t="s">
        <v>219</v>
      </c>
      <c r="Y132" s="10" t="s">
        <v>360</v>
      </c>
      <c r="Z132" s="10" t="b">
        <f t="shared" si="8"/>
        <v>0</v>
      </c>
      <c r="AA132" s="10" t="s">
        <v>225</v>
      </c>
      <c r="AB132" s="10">
        <v>28</v>
      </c>
      <c r="AC132" s="10">
        <v>165</v>
      </c>
      <c r="AD132" s="10">
        <v>5.27</v>
      </c>
      <c r="AE132" s="10">
        <v>3</v>
      </c>
      <c r="AF132" s="10">
        <v>15.81</v>
      </c>
      <c r="AG132" s="10" t="s">
        <v>226</v>
      </c>
    </row>
    <row r="133" spans="11:33" x14ac:dyDescent="0.2">
      <c r="K133" s="10" t="s">
        <v>212</v>
      </c>
      <c r="L133" s="10" t="s">
        <v>207</v>
      </c>
      <c r="M133" s="10" t="b">
        <f t="shared" si="7"/>
        <v>0</v>
      </c>
      <c r="N133">
        <v>1202</v>
      </c>
      <c r="O133">
        <v>1202</v>
      </c>
      <c r="P133">
        <v>36.08</v>
      </c>
      <c r="Q133">
        <v>2.2999999999999998</v>
      </c>
      <c r="R133"/>
      <c r="S133">
        <v>26.5</v>
      </c>
      <c r="T133">
        <v>22</v>
      </c>
      <c r="U133">
        <v>121.5</v>
      </c>
      <c r="X133" s="10" t="s">
        <v>219</v>
      </c>
      <c r="Y133" s="10" t="s">
        <v>361</v>
      </c>
      <c r="Z133" s="10" t="b">
        <f t="shared" si="8"/>
        <v>0</v>
      </c>
      <c r="AA133" s="10" t="s">
        <v>225</v>
      </c>
      <c r="AB133" s="10">
        <v>38</v>
      </c>
      <c r="AC133" s="10">
        <v>94.8</v>
      </c>
      <c r="AD133" s="10">
        <v>2.66</v>
      </c>
      <c r="AE133" s="10">
        <v>3.05</v>
      </c>
      <c r="AF133" s="10">
        <v>8.11</v>
      </c>
      <c r="AG133" s="10" t="s">
        <v>226</v>
      </c>
    </row>
    <row r="134" spans="11:33" x14ac:dyDescent="0.2">
      <c r="K134" s="10" t="s">
        <v>212</v>
      </c>
      <c r="L134" s="10" t="s">
        <v>519</v>
      </c>
      <c r="M134" s="10" t="b">
        <f t="shared" si="7"/>
        <v>0</v>
      </c>
      <c r="N134">
        <v>145</v>
      </c>
      <c r="O134">
        <v>145</v>
      </c>
      <c r="P134">
        <v>3.66</v>
      </c>
      <c r="Q134">
        <v>4</v>
      </c>
      <c r="R134"/>
      <c r="S134"/>
      <c r="T134"/>
      <c r="U134"/>
      <c r="X134" s="10" t="s">
        <v>219</v>
      </c>
      <c r="Y134" s="10" t="s">
        <v>362</v>
      </c>
      <c r="Z134" s="10" t="b">
        <f t="shared" si="8"/>
        <v>0</v>
      </c>
      <c r="AA134" s="10" t="s">
        <v>225</v>
      </c>
      <c r="AB134" s="10">
        <v>33</v>
      </c>
      <c r="AC134" s="10">
        <v>181</v>
      </c>
      <c r="AD134" s="10">
        <v>4.04</v>
      </c>
      <c r="AE134" s="10">
        <v>4.5</v>
      </c>
      <c r="AF134" s="10">
        <v>18.399999999999999</v>
      </c>
      <c r="AG134" s="10" t="s">
        <v>226</v>
      </c>
    </row>
    <row r="135" spans="11:33" x14ac:dyDescent="0.2">
      <c r="K135" s="10" t="s">
        <v>212</v>
      </c>
      <c r="L135" s="10" t="s">
        <v>520</v>
      </c>
      <c r="M135" s="10" t="b">
        <f t="shared" si="7"/>
        <v>0</v>
      </c>
      <c r="N135">
        <v>331.15</v>
      </c>
      <c r="O135">
        <v>271.3</v>
      </c>
      <c r="P135">
        <v>4.84</v>
      </c>
      <c r="Q135">
        <v>4.7</v>
      </c>
      <c r="R135">
        <v>1</v>
      </c>
      <c r="S135">
        <v>39.933333330000004</v>
      </c>
      <c r="T135">
        <v>12.65</v>
      </c>
      <c r="U135">
        <v>117.5</v>
      </c>
      <c r="X135" s="10" t="s">
        <v>219</v>
      </c>
      <c r="Y135" s="10" t="s">
        <v>363</v>
      </c>
      <c r="Z135" s="10" t="b">
        <f t="shared" si="8"/>
        <v>0</v>
      </c>
      <c r="AA135" s="10" t="s">
        <v>224</v>
      </c>
      <c r="AB135" s="10">
        <v>10</v>
      </c>
      <c r="AC135" s="10">
        <v>266</v>
      </c>
      <c r="AD135" s="10">
        <v>7.03</v>
      </c>
      <c r="AE135" s="10">
        <v>3</v>
      </c>
      <c r="AF135" s="10">
        <v>21.1</v>
      </c>
      <c r="AG135" s="10" t="s">
        <v>226</v>
      </c>
    </row>
    <row r="136" spans="11:33" x14ac:dyDescent="0.2">
      <c r="K136" s="10" t="s">
        <v>212</v>
      </c>
      <c r="L136" s="10" t="s">
        <v>521</v>
      </c>
      <c r="M136" s="10" t="b">
        <f t="shared" si="7"/>
        <v>0</v>
      </c>
      <c r="N136">
        <v>143</v>
      </c>
      <c r="O136">
        <v>143</v>
      </c>
      <c r="P136">
        <v>4.45</v>
      </c>
      <c r="Q136">
        <v>2.5499999999999998</v>
      </c>
      <c r="R136">
        <v>3</v>
      </c>
      <c r="S136">
        <v>49.916666669999998</v>
      </c>
      <c r="T136">
        <v>49.6</v>
      </c>
      <c r="U136">
        <v>116</v>
      </c>
      <c r="X136" s="10" t="s">
        <v>219</v>
      </c>
      <c r="Y136" s="10" t="s">
        <v>364</v>
      </c>
      <c r="Z136" s="10" t="b">
        <f t="shared" si="8"/>
        <v>0</v>
      </c>
      <c r="AA136" s="10" t="s">
        <v>224</v>
      </c>
      <c r="AB136" s="10">
        <v>34</v>
      </c>
      <c r="AC136" s="10">
        <v>161</v>
      </c>
      <c r="AD136" s="10">
        <v>4.2</v>
      </c>
      <c r="AE136" s="10">
        <v>2.8</v>
      </c>
      <c r="AF136" s="10">
        <v>11.8</v>
      </c>
      <c r="AG136" s="10" t="s">
        <v>228</v>
      </c>
    </row>
    <row r="137" spans="11:33" x14ac:dyDescent="0.2">
      <c r="K137" s="10" t="s">
        <v>212</v>
      </c>
      <c r="L137" s="10" t="s">
        <v>522</v>
      </c>
      <c r="M137" s="10" t="b">
        <f t="shared" si="7"/>
        <v>0</v>
      </c>
      <c r="N137"/>
      <c r="O137"/>
      <c r="P137"/>
      <c r="Q137"/>
      <c r="R137"/>
      <c r="S137"/>
      <c r="T137"/>
      <c r="U137"/>
      <c r="X137" s="10" t="s">
        <v>219</v>
      </c>
      <c r="Y137" s="10" t="s">
        <v>365</v>
      </c>
      <c r="Z137" s="10" t="b">
        <f t="shared" si="8"/>
        <v>0</v>
      </c>
      <c r="AA137" s="10" t="s">
        <v>224</v>
      </c>
      <c r="AB137" s="10">
        <v>34</v>
      </c>
      <c r="AC137" s="10">
        <v>351</v>
      </c>
      <c r="AD137" s="10">
        <v>4.2</v>
      </c>
      <c r="AE137" s="10">
        <v>5.3</v>
      </c>
      <c r="AF137" s="10">
        <v>22.3</v>
      </c>
      <c r="AG137" s="10" t="s">
        <v>228</v>
      </c>
    </row>
    <row r="138" spans="11:33" x14ac:dyDescent="0.2">
      <c r="K138" s="10" t="s">
        <v>212</v>
      </c>
      <c r="L138" s="10" t="s">
        <v>523</v>
      </c>
      <c r="M138" s="10" t="b">
        <f t="shared" si="7"/>
        <v>0</v>
      </c>
      <c r="N138">
        <v>331.15</v>
      </c>
      <c r="O138">
        <v>271.3</v>
      </c>
      <c r="P138">
        <v>4.84</v>
      </c>
      <c r="Q138">
        <v>4.78</v>
      </c>
      <c r="R138">
        <v>1</v>
      </c>
      <c r="S138">
        <v>39.933333330000004</v>
      </c>
      <c r="T138">
        <v>12.65</v>
      </c>
      <c r="U138">
        <v>102</v>
      </c>
      <c r="X138" s="10" t="s">
        <v>219</v>
      </c>
      <c r="Y138" s="10" t="s">
        <v>366</v>
      </c>
      <c r="Z138" s="10" t="b">
        <f t="shared" si="8"/>
        <v>0</v>
      </c>
      <c r="AA138" s="10" t="s">
        <v>224</v>
      </c>
      <c r="AB138" s="10">
        <v>34</v>
      </c>
      <c r="AC138" s="10">
        <v>326</v>
      </c>
      <c r="AD138" s="10">
        <v>5.03</v>
      </c>
      <c r="AE138" s="10">
        <v>4.5</v>
      </c>
      <c r="AF138" s="10">
        <v>22.1</v>
      </c>
      <c r="AG138" s="10" t="s">
        <v>226</v>
      </c>
    </row>
    <row r="139" spans="11:33" x14ac:dyDescent="0.2">
      <c r="K139" s="10" t="s">
        <v>212</v>
      </c>
      <c r="L139" s="10" t="s">
        <v>100</v>
      </c>
      <c r="M139" s="10" t="b">
        <f t="shared" si="7"/>
        <v>1</v>
      </c>
      <c r="N139">
        <v>331.15</v>
      </c>
      <c r="O139">
        <v>271.3</v>
      </c>
      <c r="P139">
        <v>4.84</v>
      </c>
      <c r="Q139">
        <v>4.78</v>
      </c>
      <c r="R139">
        <v>1</v>
      </c>
      <c r="S139">
        <v>39.933333330000004</v>
      </c>
      <c r="T139">
        <v>12.65</v>
      </c>
      <c r="U139">
        <v>102</v>
      </c>
      <c r="X139" s="10" t="s">
        <v>219</v>
      </c>
      <c r="Y139" s="10" t="s">
        <v>367</v>
      </c>
      <c r="Z139" s="10" t="b">
        <f t="shared" si="8"/>
        <v>0</v>
      </c>
      <c r="AA139" s="10" t="s">
        <v>224</v>
      </c>
      <c r="AB139" s="10">
        <v>34</v>
      </c>
      <c r="AC139" s="10">
        <v>449</v>
      </c>
      <c r="AD139" s="10">
        <v>5.84</v>
      </c>
      <c r="AE139" s="10">
        <v>5.35</v>
      </c>
      <c r="AF139" s="10">
        <v>31.3</v>
      </c>
      <c r="AG139" s="10" t="s">
        <v>226</v>
      </c>
    </row>
    <row r="140" spans="11:33" x14ac:dyDescent="0.2">
      <c r="K140" s="10" t="s">
        <v>212</v>
      </c>
      <c r="L140" s="10" t="s">
        <v>524</v>
      </c>
      <c r="M140" s="10" t="b">
        <f t="shared" si="7"/>
        <v>0</v>
      </c>
      <c r="N140">
        <v>202.6</v>
      </c>
      <c r="O140">
        <v>202.6</v>
      </c>
      <c r="P140">
        <v>4.82</v>
      </c>
      <c r="Q140">
        <v>3.5</v>
      </c>
      <c r="R140">
        <v>4</v>
      </c>
      <c r="S140"/>
      <c r="T140"/>
      <c r="U140">
        <v>198.5</v>
      </c>
      <c r="X140" s="10" t="s">
        <v>219</v>
      </c>
      <c r="Y140" s="10" t="s">
        <v>368</v>
      </c>
      <c r="Z140" s="10" t="b">
        <f t="shared" si="8"/>
        <v>0</v>
      </c>
      <c r="AA140" s="10" t="s">
        <v>224</v>
      </c>
      <c r="AB140" s="10">
        <v>34</v>
      </c>
      <c r="AC140" s="10">
        <v>245</v>
      </c>
      <c r="AD140" s="10">
        <v>5.22</v>
      </c>
      <c r="AE140" s="10">
        <v>3.09</v>
      </c>
      <c r="AF140" s="10">
        <v>16.399999999999999</v>
      </c>
      <c r="AG140" s="10" t="s">
        <v>226</v>
      </c>
    </row>
    <row r="141" spans="11:33" x14ac:dyDescent="0.2">
      <c r="K141" s="10" t="s">
        <v>212</v>
      </c>
      <c r="L141" s="10" t="s">
        <v>525</v>
      </c>
      <c r="M141" s="10" t="b">
        <f t="shared" si="7"/>
        <v>0</v>
      </c>
      <c r="N141">
        <v>474.4</v>
      </c>
      <c r="O141">
        <v>474.4</v>
      </c>
      <c r="P141">
        <v>6.64</v>
      </c>
      <c r="Q141">
        <v>5</v>
      </c>
      <c r="R141">
        <v>3</v>
      </c>
      <c r="S141">
        <v>18.5</v>
      </c>
      <c r="T141">
        <v>18.5</v>
      </c>
      <c r="U141">
        <v>102</v>
      </c>
      <c r="X141" s="10" t="s">
        <v>219</v>
      </c>
      <c r="Y141" s="10" t="s">
        <v>369</v>
      </c>
      <c r="Z141" s="10" t="b">
        <f t="shared" si="8"/>
        <v>0</v>
      </c>
      <c r="AA141" s="10" t="s">
        <v>224</v>
      </c>
      <c r="AB141" s="10">
        <v>32</v>
      </c>
      <c r="AC141" s="10">
        <v>340</v>
      </c>
      <c r="AD141" s="10">
        <v>5.03</v>
      </c>
      <c r="AE141" s="10">
        <v>6.7</v>
      </c>
      <c r="AF141" s="10">
        <v>33.700000000000003</v>
      </c>
      <c r="AG141" s="10" t="s">
        <v>370</v>
      </c>
    </row>
    <row r="142" spans="11:33" x14ac:dyDescent="0.2">
      <c r="K142" s="10" t="s">
        <v>212</v>
      </c>
      <c r="L142" s="10" t="s">
        <v>526</v>
      </c>
      <c r="M142" s="10" t="b">
        <f t="shared" si="7"/>
        <v>0</v>
      </c>
      <c r="N142">
        <v>266</v>
      </c>
      <c r="O142">
        <v>266</v>
      </c>
      <c r="P142">
        <v>6.2649999999999997</v>
      </c>
      <c r="Q142">
        <v>3</v>
      </c>
      <c r="R142">
        <v>5</v>
      </c>
      <c r="S142">
        <v>44.7</v>
      </c>
      <c r="T142">
        <v>14</v>
      </c>
      <c r="U142">
        <v>130</v>
      </c>
      <c r="X142" s="10" t="s">
        <v>219</v>
      </c>
      <c r="Y142" s="10" t="s">
        <v>371</v>
      </c>
      <c r="Z142" s="10" t="b">
        <f t="shared" si="8"/>
        <v>0</v>
      </c>
      <c r="AA142" s="10" t="s">
        <v>225</v>
      </c>
      <c r="AB142" s="10">
        <v>34</v>
      </c>
      <c r="AC142" s="10">
        <v>164.7</v>
      </c>
      <c r="AD142" s="10">
        <v>4.25</v>
      </c>
      <c r="AE142" s="10">
        <v>3.1</v>
      </c>
      <c r="AF142" s="10">
        <v>13.17</v>
      </c>
      <c r="AG142" s="10" t="s">
        <v>226</v>
      </c>
    </row>
    <row r="143" spans="11:33" x14ac:dyDescent="0.2">
      <c r="K143" s="10" t="s">
        <v>212</v>
      </c>
      <c r="L143" s="10" t="s">
        <v>527</v>
      </c>
      <c r="M143" s="10" t="b">
        <f t="shared" si="7"/>
        <v>0</v>
      </c>
      <c r="N143">
        <v>326</v>
      </c>
      <c r="O143">
        <v>326</v>
      </c>
      <c r="P143">
        <v>5.22</v>
      </c>
      <c r="Q143">
        <v>4.9249999999999998</v>
      </c>
      <c r="R143">
        <v>3</v>
      </c>
      <c r="S143">
        <v>39.933333330000004</v>
      </c>
      <c r="T143">
        <v>32.225000000000001</v>
      </c>
      <c r="U143"/>
      <c r="X143" s="10" t="s">
        <v>219</v>
      </c>
      <c r="Y143" s="10" t="s">
        <v>372</v>
      </c>
      <c r="Z143" s="10" t="b">
        <f t="shared" si="8"/>
        <v>0</v>
      </c>
      <c r="AA143" s="10" t="s">
        <v>225</v>
      </c>
      <c r="AB143" s="10">
        <v>33</v>
      </c>
      <c r="AC143" s="10">
        <v>140</v>
      </c>
      <c r="AD143" s="10">
        <v>3.93</v>
      </c>
      <c r="AE143" s="10">
        <v>3.4</v>
      </c>
      <c r="AF143" s="10">
        <v>13.42</v>
      </c>
      <c r="AG143" s="10" t="s">
        <v>226</v>
      </c>
    </row>
    <row r="144" spans="11:33" x14ac:dyDescent="0.2">
      <c r="K144" s="10" t="s">
        <v>212</v>
      </c>
      <c r="L144" s="10" t="s">
        <v>528</v>
      </c>
      <c r="M144" s="10" t="b">
        <f t="shared" si="7"/>
        <v>0</v>
      </c>
      <c r="N144">
        <v>154.69999999999999</v>
      </c>
      <c r="O144">
        <v>152.35</v>
      </c>
      <c r="P144">
        <v>4.09</v>
      </c>
      <c r="Q144">
        <v>3</v>
      </c>
      <c r="R144">
        <v>1.1000000000000001</v>
      </c>
      <c r="S144">
        <v>45.924999999999997</v>
      </c>
      <c r="T144">
        <v>40</v>
      </c>
      <c r="U144">
        <v>90.66</v>
      </c>
      <c r="X144" s="10" t="s">
        <v>219</v>
      </c>
      <c r="Y144" s="10" t="s">
        <v>373</v>
      </c>
      <c r="Z144" s="10" t="b">
        <f t="shared" si="8"/>
        <v>0</v>
      </c>
      <c r="AA144" s="10" t="s">
        <v>224</v>
      </c>
      <c r="AB144" s="10">
        <v>17</v>
      </c>
      <c r="AC144" s="10">
        <v>900</v>
      </c>
      <c r="AD144" s="10">
        <v>10.57</v>
      </c>
      <c r="AE144" s="10">
        <v>5.36</v>
      </c>
      <c r="AF144" s="10">
        <v>56.66</v>
      </c>
      <c r="AG144" s="10" t="s">
        <v>226</v>
      </c>
    </row>
    <row r="145" spans="11:33" x14ac:dyDescent="0.2">
      <c r="K145" s="10" t="s">
        <v>212</v>
      </c>
      <c r="L145" s="10" t="s">
        <v>290</v>
      </c>
      <c r="M145" s="10" t="b">
        <f t="shared" si="7"/>
        <v>0</v>
      </c>
      <c r="N145">
        <v>50000</v>
      </c>
      <c r="O145">
        <v>92400</v>
      </c>
      <c r="P145">
        <v>33.9</v>
      </c>
      <c r="Q145">
        <v>110</v>
      </c>
      <c r="R145">
        <v>1.37</v>
      </c>
      <c r="S145">
        <v>76</v>
      </c>
      <c r="T145">
        <v>34.5</v>
      </c>
      <c r="U145">
        <v>55.1</v>
      </c>
      <c r="X145" s="10" t="s">
        <v>219</v>
      </c>
      <c r="Y145" s="10" t="s">
        <v>374</v>
      </c>
      <c r="Z145" s="10" t="b">
        <f t="shared" si="8"/>
        <v>0</v>
      </c>
      <c r="AA145" s="10" t="s">
        <v>224</v>
      </c>
      <c r="AB145" s="10">
        <v>18</v>
      </c>
      <c r="AC145" s="10">
        <v>4200</v>
      </c>
      <c r="AD145" s="10">
        <v>16.239999999999998</v>
      </c>
      <c r="AE145" s="10">
        <v>10.61</v>
      </c>
      <c r="AF145" s="10">
        <v>172.31</v>
      </c>
      <c r="AG145" s="10" t="s">
        <v>226</v>
      </c>
    </row>
    <row r="146" spans="11:33" x14ac:dyDescent="0.2">
      <c r="K146" s="10" t="s">
        <v>212</v>
      </c>
      <c r="L146" s="10" t="s">
        <v>291</v>
      </c>
      <c r="M146" s="10" t="b">
        <f t="shared" si="7"/>
        <v>0</v>
      </c>
      <c r="N146">
        <v>102000</v>
      </c>
      <c r="O146">
        <v>116300</v>
      </c>
      <c r="P146">
        <v>35.299999999999997</v>
      </c>
      <c r="Q146">
        <v>110.5</v>
      </c>
      <c r="R146">
        <v>1.34</v>
      </c>
      <c r="S146">
        <v>76</v>
      </c>
      <c r="T146">
        <v>36.5</v>
      </c>
      <c r="U146">
        <v>55.2</v>
      </c>
      <c r="X146" s="10" t="s">
        <v>219</v>
      </c>
      <c r="Y146" s="10" t="s">
        <v>82</v>
      </c>
      <c r="Z146" s="10" t="b">
        <f t="shared" si="8"/>
        <v>1</v>
      </c>
      <c r="AA146" s="10" t="s">
        <v>224</v>
      </c>
      <c r="AB146" s="10">
        <v>29.5</v>
      </c>
      <c r="AC146" s="10">
        <v>2273</v>
      </c>
      <c r="AD146" s="10">
        <v>12.38</v>
      </c>
      <c r="AE146" s="10">
        <v>36.5</v>
      </c>
      <c r="AF146" s="10">
        <v>451.9</v>
      </c>
      <c r="AG146" s="10" t="s">
        <v>226</v>
      </c>
    </row>
    <row r="147" spans="11:33" x14ac:dyDescent="0.2">
      <c r="K147" s="10" t="s">
        <v>212</v>
      </c>
      <c r="L147" s="10" t="s">
        <v>490</v>
      </c>
      <c r="M147" s="10" t="b">
        <f t="shared" si="7"/>
        <v>0</v>
      </c>
      <c r="N147"/>
      <c r="O147"/>
      <c r="P147"/>
      <c r="Q147">
        <v>1</v>
      </c>
      <c r="R147"/>
      <c r="S147"/>
      <c r="T147"/>
      <c r="U147"/>
      <c r="X147" s="10" t="s">
        <v>219</v>
      </c>
      <c r="Y147" s="10" t="s">
        <v>375</v>
      </c>
      <c r="Z147" s="10" t="b">
        <f t="shared" si="8"/>
        <v>0</v>
      </c>
      <c r="AA147" s="10" t="s">
        <v>224</v>
      </c>
      <c r="AB147" s="10">
        <v>27</v>
      </c>
      <c r="AC147" s="10">
        <v>800</v>
      </c>
      <c r="AD147" s="10">
        <v>8.83</v>
      </c>
      <c r="AE147" s="10">
        <v>25</v>
      </c>
      <c r="AF147" s="10">
        <v>220.8</v>
      </c>
      <c r="AG147" s="10" t="s">
        <v>226</v>
      </c>
    </row>
    <row r="148" spans="11:33" x14ac:dyDescent="0.2">
      <c r="K148" s="10" t="s">
        <v>212</v>
      </c>
      <c r="L148" s="10" t="s">
        <v>549</v>
      </c>
      <c r="M148" s="10" t="b">
        <f t="shared" si="7"/>
        <v>0</v>
      </c>
      <c r="N148">
        <v>1444.5</v>
      </c>
      <c r="O148">
        <v>1444.5</v>
      </c>
      <c r="P148">
        <v>10.885</v>
      </c>
      <c r="Q148">
        <v>10.5</v>
      </c>
      <c r="R148"/>
      <c r="S148">
        <v>17.8</v>
      </c>
      <c r="T148">
        <v>15.3</v>
      </c>
      <c r="U148">
        <v>57.5</v>
      </c>
      <c r="X148" s="10" t="s">
        <v>219</v>
      </c>
      <c r="Y148" s="10" t="s">
        <v>376</v>
      </c>
      <c r="Z148" s="10" t="b">
        <f t="shared" si="8"/>
        <v>0</v>
      </c>
      <c r="AA148" s="10" t="s">
        <v>224</v>
      </c>
      <c r="AB148" s="10">
        <v>27</v>
      </c>
      <c r="AC148" s="10">
        <v>900</v>
      </c>
      <c r="AD148" s="10">
        <v>9.48</v>
      </c>
      <c r="AE148" s="10">
        <v>12.5</v>
      </c>
      <c r="AF148" s="10">
        <v>118.5</v>
      </c>
      <c r="AG148" s="10" t="s">
        <v>226</v>
      </c>
    </row>
    <row r="149" spans="11:33" x14ac:dyDescent="0.2">
      <c r="K149" s="10" t="s">
        <v>212</v>
      </c>
      <c r="L149" s="10" t="s">
        <v>550</v>
      </c>
      <c r="M149" s="10" t="b">
        <f t="shared" si="7"/>
        <v>0</v>
      </c>
      <c r="N149">
        <v>1444.5</v>
      </c>
      <c r="O149">
        <v>1444.5</v>
      </c>
      <c r="P149">
        <v>10.885</v>
      </c>
      <c r="Q149">
        <v>10.5</v>
      </c>
      <c r="R149"/>
      <c r="S149">
        <v>17.8</v>
      </c>
      <c r="T149">
        <v>15.3</v>
      </c>
      <c r="U149">
        <v>57.5</v>
      </c>
      <c r="X149" s="10" t="s">
        <v>219</v>
      </c>
      <c r="Y149" s="10" t="s">
        <v>377</v>
      </c>
      <c r="Z149" s="10" t="b">
        <f t="shared" si="8"/>
        <v>0</v>
      </c>
      <c r="AA149" s="10" t="s">
        <v>225</v>
      </c>
      <c r="AB149" s="10">
        <v>5.5</v>
      </c>
      <c r="AC149" s="10">
        <v>3600</v>
      </c>
      <c r="AD149" s="10">
        <v>46.6</v>
      </c>
      <c r="AE149" s="10">
        <v>10.7</v>
      </c>
      <c r="AF149" s="10">
        <v>498.6</v>
      </c>
      <c r="AG149" s="10" t="s">
        <v>226</v>
      </c>
    </row>
    <row r="150" spans="11:33" x14ac:dyDescent="0.2">
      <c r="K150" s="10" t="s">
        <v>212</v>
      </c>
      <c r="L150" s="10" t="s">
        <v>76</v>
      </c>
      <c r="M150" s="10" t="b">
        <f t="shared" si="7"/>
        <v>1</v>
      </c>
      <c r="N150">
        <v>78900</v>
      </c>
      <c r="O150">
        <v>23500</v>
      </c>
      <c r="P150">
        <v>32.58</v>
      </c>
      <c r="Q150">
        <v>24.75</v>
      </c>
      <c r="R150">
        <v>1</v>
      </c>
      <c r="S150">
        <v>70.3</v>
      </c>
      <c r="T150">
        <v>58.8</v>
      </c>
      <c r="U150">
        <v>84</v>
      </c>
      <c r="X150" s="10" t="s">
        <v>219</v>
      </c>
      <c r="Y150" s="10" t="s">
        <v>378</v>
      </c>
      <c r="Z150" s="10" t="b">
        <f t="shared" si="8"/>
        <v>0</v>
      </c>
      <c r="AA150" s="10" t="s">
        <v>223</v>
      </c>
      <c r="AB150" s="10">
        <v>1.3</v>
      </c>
      <c r="AC150" s="10">
        <v>25800</v>
      </c>
      <c r="AD150" s="10">
        <v>32.6</v>
      </c>
      <c r="AE150" s="10">
        <v>91.5</v>
      </c>
      <c r="AF150" s="10">
        <v>3673</v>
      </c>
      <c r="AG150" s="10" t="s">
        <v>226</v>
      </c>
    </row>
    <row r="151" spans="11:33" x14ac:dyDescent="0.2">
      <c r="K151" s="10" t="s">
        <v>212</v>
      </c>
      <c r="L151" s="10" t="s">
        <v>321</v>
      </c>
      <c r="M151" s="10" t="b">
        <f t="shared" si="7"/>
        <v>0</v>
      </c>
      <c r="N151">
        <v>803</v>
      </c>
      <c r="O151">
        <v>886</v>
      </c>
      <c r="P151">
        <v>8.36</v>
      </c>
      <c r="Q151">
        <v>8.5</v>
      </c>
      <c r="R151">
        <v>1.5</v>
      </c>
      <c r="S151">
        <v>14.1</v>
      </c>
      <c r="T151">
        <v>11.7</v>
      </c>
      <c r="U151">
        <v>84.5</v>
      </c>
      <c r="X151" s="10" t="s">
        <v>219</v>
      </c>
      <c r="Y151" s="10" t="s">
        <v>379</v>
      </c>
      <c r="Z151" s="10" t="b">
        <f t="shared" si="8"/>
        <v>0</v>
      </c>
      <c r="AA151" s="10" t="s">
        <v>223</v>
      </c>
      <c r="AB151" s="10">
        <v>9</v>
      </c>
      <c r="AC151" s="10">
        <v>9599</v>
      </c>
      <c r="AD151" s="10">
        <v>23.1</v>
      </c>
      <c r="AE151" s="10">
        <v>16.5</v>
      </c>
      <c r="AF151" s="10">
        <v>381.2</v>
      </c>
      <c r="AG151" s="10" t="s">
        <v>226</v>
      </c>
    </row>
    <row r="152" spans="11:33" x14ac:dyDescent="0.2">
      <c r="K152" s="10" t="s">
        <v>212</v>
      </c>
      <c r="L152" s="10" t="s">
        <v>53</v>
      </c>
      <c r="M152" s="10" t="b">
        <f t="shared" si="7"/>
        <v>1</v>
      </c>
      <c r="N152">
        <v>391.25</v>
      </c>
      <c r="O152">
        <v>400</v>
      </c>
      <c r="P152">
        <v>18.88</v>
      </c>
      <c r="Q152">
        <v>1</v>
      </c>
      <c r="R152">
        <v>1</v>
      </c>
      <c r="S152">
        <v>25.9</v>
      </c>
      <c r="T152">
        <v>25.9</v>
      </c>
      <c r="U152">
        <v>152.19999999999999</v>
      </c>
      <c r="X152" s="10" t="s">
        <v>219</v>
      </c>
      <c r="Y152" s="10" t="s">
        <v>380</v>
      </c>
      <c r="Z152" s="10" t="b">
        <f t="shared" si="8"/>
        <v>0</v>
      </c>
      <c r="AA152" s="10" t="s">
        <v>223</v>
      </c>
      <c r="AB152" s="10">
        <v>5</v>
      </c>
      <c r="AC152" s="10">
        <v>2074.88</v>
      </c>
      <c r="AD152" s="10">
        <v>17.079999999999998</v>
      </c>
      <c r="AG152" s="10" t="s">
        <v>381</v>
      </c>
    </row>
    <row r="153" spans="11:33" x14ac:dyDescent="0.2">
      <c r="K153" s="10" t="s">
        <v>212</v>
      </c>
      <c r="L153" s="10" t="s">
        <v>491</v>
      </c>
      <c r="M153" s="10" t="b">
        <f t="shared" si="7"/>
        <v>0</v>
      </c>
      <c r="N153"/>
      <c r="O153"/>
      <c r="P153"/>
      <c r="Q153"/>
      <c r="R153"/>
      <c r="S153">
        <v>14.2</v>
      </c>
      <c r="T153">
        <v>14.2</v>
      </c>
      <c r="U153"/>
      <c r="X153" s="10" t="s">
        <v>219</v>
      </c>
      <c r="Y153" s="10" t="s">
        <v>84</v>
      </c>
      <c r="Z153" s="10" t="b">
        <f t="shared" si="8"/>
        <v>1</v>
      </c>
      <c r="AA153" s="10" t="s">
        <v>223</v>
      </c>
      <c r="AB153" s="10">
        <v>4</v>
      </c>
      <c r="AC153" s="10">
        <v>6380</v>
      </c>
      <c r="AD153" s="10">
        <v>24.4</v>
      </c>
      <c r="AE153" s="10">
        <v>27.3</v>
      </c>
      <c r="AF153" s="10">
        <v>666.1</v>
      </c>
      <c r="AG153" s="10" t="s">
        <v>226</v>
      </c>
    </row>
    <row r="154" spans="11:33" x14ac:dyDescent="0.2">
      <c r="K154" s="10" t="s">
        <v>212</v>
      </c>
      <c r="L154" s="10" t="s">
        <v>183</v>
      </c>
      <c r="M154" s="10" t="b">
        <f t="shared" si="7"/>
        <v>0</v>
      </c>
      <c r="N154">
        <v>26000</v>
      </c>
      <c r="O154"/>
      <c r="P154">
        <v>57</v>
      </c>
      <c r="Q154">
        <v>39</v>
      </c>
      <c r="R154">
        <v>1</v>
      </c>
      <c r="S154">
        <v>150</v>
      </c>
      <c r="T154">
        <v>19.899999999999999</v>
      </c>
      <c r="U154">
        <v>66</v>
      </c>
      <c r="X154" s="10" t="s">
        <v>219</v>
      </c>
      <c r="Y154" s="10" t="s">
        <v>382</v>
      </c>
      <c r="Z154" s="10" t="b">
        <f t="shared" si="8"/>
        <v>0</v>
      </c>
      <c r="AA154" s="10" t="s">
        <v>225</v>
      </c>
      <c r="AB154" s="10">
        <v>7.8</v>
      </c>
      <c r="AC154" s="10">
        <v>2013</v>
      </c>
      <c r="AD154" s="10">
        <v>18.420000000000002</v>
      </c>
      <c r="AE154" s="10">
        <v>13.5</v>
      </c>
      <c r="AF154" s="10">
        <v>248.7</v>
      </c>
      <c r="AG154" s="10" t="s">
        <v>226</v>
      </c>
    </row>
    <row r="155" spans="11:33" x14ac:dyDescent="0.2">
      <c r="K155" s="10" t="s">
        <v>212</v>
      </c>
      <c r="L155" s="10" t="s">
        <v>208</v>
      </c>
      <c r="M155" s="10" t="b">
        <f t="shared" si="7"/>
        <v>0</v>
      </c>
      <c r="N155"/>
      <c r="O155">
        <v>3200</v>
      </c>
      <c r="P155"/>
      <c r="Q155">
        <v>13.5</v>
      </c>
      <c r="R155"/>
      <c r="S155"/>
      <c r="T155"/>
      <c r="U155"/>
      <c r="X155" s="10" t="s">
        <v>219</v>
      </c>
      <c r="Y155" s="10" t="s">
        <v>383</v>
      </c>
      <c r="Z155" s="10" t="b">
        <f t="shared" si="8"/>
        <v>0</v>
      </c>
      <c r="AA155" s="10" t="s">
        <v>223</v>
      </c>
      <c r="AB155" s="10">
        <v>34</v>
      </c>
      <c r="AC155" s="10">
        <v>715</v>
      </c>
      <c r="AD155" s="10">
        <v>30</v>
      </c>
      <c r="AE155" s="10">
        <v>1.5</v>
      </c>
      <c r="AF155" s="10">
        <v>45</v>
      </c>
      <c r="AG155" s="10" t="s">
        <v>226</v>
      </c>
    </row>
    <row r="156" spans="11:33" x14ac:dyDescent="0.2">
      <c r="K156" s="10" t="s">
        <v>212</v>
      </c>
      <c r="L156" s="10" t="s">
        <v>492</v>
      </c>
      <c r="M156" s="10" t="b">
        <f t="shared" si="7"/>
        <v>0</v>
      </c>
      <c r="N156"/>
      <c r="O156"/>
      <c r="P156"/>
      <c r="Q156"/>
      <c r="R156"/>
      <c r="S156">
        <v>23.9</v>
      </c>
      <c r="T156">
        <v>23.9</v>
      </c>
      <c r="U156"/>
      <c r="X156" s="10" t="s">
        <v>219</v>
      </c>
      <c r="Y156" s="10" t="s">
        <v>384</v>
      </c>
      <c r="Z156" s="10" t="b">
        <f t="shared" si="8"/>
        <v>0</v>
      </c>
      <c r="AA156" s="10" t="s">
        <v>223</v>
      </c>
      <c r="AB156" s="10">
        <v>8</v>
      </c>
      <c r="AC156" s="10">
        <v>3356</v>
      </c>
      <c r="AD156" s="10">
        <v>50.2</v>
      </c>
      <c r="AE156" s="10">
        <v>4</v>
      </c>
      <c r="AF156" s="10">
        <v>200.8</v>
      </c>
      <c r="AG156" s="10" t="s">
        <v>226</v>
      </c>
    </row>
    <row r="157" spans="11:33" x14ac:dyDescent="0.2">
      <c r="K157" s="10" t="s">
        <v>212</v>
      </c>
      <c r="L157" s="10" t="s">
        <v>493</v>
      </c>
      <c r="M157" s="10" t="b">
        <f t="shared" si="7"/>
        <v>0</v>
      </c>
      <c r="N157"/>
      <c r="O157"/>
      <c r="P157"/>
      <c r="Q157">
        <v>12</v>
      </c>
      <c r="R157"/>
      <c r="S157">
        <v>17.600000000000001</v>
      </c>
      <c r="T157">
        <v>15.45</v>
      </c>
      <c r="U157">
        <v>95</v>
      </c>
      <c r="X157" s="10" t="s">
        <v>219</v>
      </c>
      <c r="Y157" s="10" t="s">
        <v>385</v>
      </c>
      <c r="Z157" s="10" t="b">
        <f t="shared" si="8"/>
        <v>0</v>
      </c>
      <c r="AA157" s="10" t="s">
        <v>223</v>
      </c>
      <c r="AB157" s="10">
        <v>28</v>
      </c>
      <c r="AC157" s="10">
        <v>3181</v>
      </c>
      <c r="AD157" s="10">
        <v>34.299999999999997</v>
      </c>
      <c r="AE157" s="10">
        <v>3</v>
      </c>
      <c r="AF157" s="10">
        <v>103.03</v>
      </c>
      <c r="AG157" s="10" t="s">
        <v>226</v>
      </c>
    </row>
    <row r="158" spans="11:33" x14ac:dyDescent="0.2">
      <c r="K158" s="10" t="s">
        <v>212</v>
      </c>
      <c r="L158" s="10" t="s">
        <v>248</v>
      </c>
      <c r="M158" s="10" t="b">
        <f t="shared" si="7"/>
        <v>0</v>
      </c>
      <c r="N158">
        <v>494.2</v>
      </c>
      <c r="O158">
        <v>494.2</v>
      </c>
      <c r="P158">
        <v>12.7</v>
      </c>
      <c r="Q158">
        <v>6</v>
      </c>
      <c r="R158"/>
      <c r="S158">
        <v>16.2</v>
      </c>
      <c r="T158">
        <v>16.2</v>
      </c>
      <c r="U158">
        <v>70</v>
      </c>
      <c r="X158" s="10" t="s">
        <v>219</v>
      </c>
      <c r="Y158" s="10" t="s">
        <v>386</v>
      </c>
      <c r="Z158" s="10" t="b">
        <f t="shared" si="8"/>
        <v>0</v>
      </c>
      <c r="AA158" s="10" t="s">
        <v>223</v>
      </c>
      <c r="AB158" s="10">
        <v>35</v>
      </c>
      <c r="AC158" s="10">
        <v>2173</v>
      </c>
      <c r="AD158" s="10">
        <v>51.63</v>
      </c>
      <c r="AE158" s="10">
        <v>4.5</v>
      </c>
      <c r="AF158" s="10">
        <v>232.34</v>
      </c>
      <c r="AG158" s="10" t="s">
        <v>387</v>
      </c>
    </row>
    <row r="159" spans="11:33" x14ac:dyDescent="0.2">
      <c r="K159" s="10" t="s">
        <v>212</v>
      </c>
      <c r="L159" s="10" t="s">
        <v>494</v>
      </c>
      <c r="M159" s="10" t="b">
        <f t="shared" si="7"/>
        <v>0</v>
      </c>
      <c r="N159">
        <v>608</v>
      </c>
      <c r="O159">
        <v>608</v>
      </c>
      <c r="P159">
        <v>8.33</v>
      </c>
      <c r="Q159">
        <v>8.9</v>
      </c>
      <c r="R159"/>
      <c r="S159">
        <v>24.5</v>
      </c>
      <c r="T159">
        <v>17.600000000000001</v>
      </c>
      <c r="U159">
        <v>93.5</v>
      </c>
      <c r="X159" s="10" t="s">
        <v>219</v>
      </c>
      <c r="Y159" s="10" t="s">
        <v>388</v>
      </c>
      <c r="Z159" s="10" t="b">
        <f t="shared" si="8"/>
        <v>0</v>
      </c>
      <c r="AA159" s="10" t="s">
        <v>223</v>
      </c>
      <c r="AB159" s="10">
        <v>9</v>
      </c>
      <c r="AC159" s="10">
        <v>46700</v>
      </c>
      <c r="AD159" s="10">
        <v>90</v>
      </c>
      <c r="AE159" s="10">
        <v>14</v>
      </c>
      <c r="AF159" s="10">
        <v>1260</v>
      </c>
      <c r="AG159" s="10" t="s">
        <v>228</v>
      </c>
    </row>
    <row r="160" spans="11:33" x14ac:dyDescent="0.2">
      <c r="K160" s="10" t="s">
        <v>212</v>
      </c>
      <c r="L160" s="10" t="s">
        <v>251</v>
      </c>
      <c r="M160" s="10" t="b">
        <f t="shared" si="7"/>
        <v>0</v>
      </c>
      <c r="N160">
        <v>319.5</v>
      </c>
      <c r="O160">
        <v>319.5</v>
      </c>
      <c r="P160">
        <v>94.3</v>
      </c>
      <c r="Q160">
        <v>1.5</v>
      </c>
      <c r="R160"/>
      <c r="S160">
        <v>22.1</v>
      </c>
      <c r="T160">
        <v>14.6</v>
      </c>
      <c r="U160">
        <v>79.5</v>
      </c>
      <c r="X160" s="10" t="s">
        <v>219</v>
      </c>
      <c r="Y160" s="10" t="s">
        <v>389</v>
      </c>
      <c r="Z160" s="10" t="b">
        <f t="shared" si="8"/>
        <v>0</v>
      </c>
      <c r="AA160" s="10" t="s">
        <v>223</v>
      </c>
      <c r="AB160" s="10">
        <v>9</v>
      </c>
      <c r="AC160" s="10">
        <v>19300</v>
      </c>
      <c r="AD160" s="10">
        <v>81.599999999999994</v>
      </c>
      <c r="AE160" s="10">
        <v>5.3</v>
      </c>
      <c r="AF160" s="10">
        <v>432.5</v>
      </c>
      <c r="AG160" s="10" t="s">
        <v>228</v>
      </c>
    </row>
    <row r="161" spans="11:33" x14ac:dyDescent="0.2">
      <c r="K161" s="10" t="s">
        <v>212</v>
      </c>
      <c r="L161" s="10" t="s">
        <v>495</v>
      </c>
      <c r="M161" s="10" t="b">
        <f t="shared" si="7"/>
        <v>0</v>
      </c>
      <c r="N161"/>
      <c r="O161"/>
      <c r="P161"/>
      <c r="Q161">
        <v>3.5</v>
      </c>
      <c r="R161"/>
      <c r="S161">
        <v>18</v>
      </c>
      <c r="T161">
        <v>18</v>
      </c>
      <c r="U161">
        <v>39.5</v>
      </c>
      <c r="X161" s="10" t="s">
        <v>219</v>
      </c>
      <c r="Y161" s="10" t="s">
        <v>390</v>
      </c>
      <c r="Z161" s="10" t="b">
        <f t="shared" si="8"/>
        <v>0</v>
      </c>
      <c r="AA161" s="10" t="s">
        <v>223</v>
      </c>
      <c r="AB161" s="10">
        <v>33</v>
      </c>
      <c r="AC161" s="10">
        <v>20000</v>
      </c>
      <c r="AD161" s="10">
        <v>59.58</v>
      </c>
      <c r="AE161" s="10">
        <v>8.67</v>
      </c>
      <c r="AF161" s="10">
        <v>516.6</v>
      </c>
      <c r="AG161" s="10" t="s">
        <v>226</v>
      </c>
    </row>
    <row r="162" spans="11:33" x14ac:dyDescent="0.2">
      <c r="K162" s="10" t="s">
        <v>212</v>
      </c>
      <c r="L162" s="10" t="s">
        <v>42</v>
      </c>
      <c r="M162" s="10" t="b">
        <f t="shared" si="7"/>
        <v>1</v>
      </c>
      <c r="N162">
        <v>858</v>
      </c>
      <c r="O162">
        <v>858</v>
      </c>
      <c r="P162">
        <v>13</v>
      </c>
      <c r="Q162">
        <v>4</v>
      </c>
      <c r="R162"/>
      <c r="S162">
        <v>24.3</v>
      </c>
      <c r="T162">
        <v>23.85</v>
      </c>
      <c r="U162">
        <v>55</v>
      </c>
      <c r="X162" s="10" t="s">
        <v>219</v>
      </c>
      <c r="Y162" s="10" t="s">
        <v>391</v>
      </c>
      <c r="Z162" s="10" t="b">
        <f t="shared" ref="Z162:Z193" si="9">IF(ISERROR(VLOOKUP( LEFT(Y162, LEN(Y162) - IF(ISNUMBER(RIGHT(Y162, 1) * 1), 1, 0)),B$2:B$61,1,FALSE)),FALSE,TRUE)</f>
        <v>0</v>
      </c>
      <c r="AA162" s="10" t="s">
        <v>223</v>
      </c>
      <c r="AB162" s="10">
        <v>24</v>
      </c>
      <c r="AC162" s="10">
        <v>7955</v>
      </c>
      <c r="AD162" s="10">
        <v>32.700000000000003</v>
      </c>
      <c r="AE162" s="10">
        <v>4.33</v>
      </c>
      <c r="AF162" s="10">
        <v>141.6</v>
      </c>
      <c r="AG162" s="10" t="s">
        <v>226</v>
      </c>
    </row>
    <row r="163" spans="11:33" x14ac:dyDescent="0.2">
      <c r="K163" s="10" t="s">
        <v>212</v>
      </c>
      <c r="L163" s="10" t="s">
        <v>101</v>
      </c>
      <c r="M163" s="10" t="b">
        <f t="shared" si="7"/>
        <v>1</v>
      </c>
      <c r="N163"/>
      <c r="O163"/>
      <c r="P163"/>
      <c r="Q163">
        <v>12</v>
      </c>
      <c r="R163"/>
      <c r="S163">
        <v>17.600000000000001</v>
      </c>
      <c r="T163">
        <v>15.45</v>
      </c>
      <c r="U163">
        <v>95</v>
      </c>
      <c r="X163" s="10" t="s">
        <v>219</v>
      </c>
      <c r="Y163" s="10" t="s">
        <v>199</v>
      </c>
      <c r="Z163" s="10" t="b">
        <f t="shared" si="9"/>
        <v>0</v>
      </c>
      <c r="AA163" s="10" t="s">
        <v>223</v>
      </c>
      <c r="AB163" s="10">
        <v>18</v>
      </c>
      <c r="AC163" s="10">
        <v>22400</v>
      </c>
      <c r="AD163" s="10">
        <v>40.299999999999997</v>
      </c>
      <c r="AE163" s="10">
        <v>17</v>
      </c>
      <c r="AF163" s="10">
        <v>685.1</v>
      </c>
      <c r="AG163" s="10" t="s">
        <v>226</v>
      </c>
    </row>
    <row r="164" spans="11:33" x14ac:dyDescent="0.2">
      <c r="K164" s="10" t="s">
        <v>212</v>
      </c>
      <c r="L164" s="10" t="s">
        <v>496</v>
      </c>
      <c r="M164" s="10" t="b">
        <f t="shared" si="7"/>
        <v>0</v>
      </c>
      <c r="N164">
        <v>1241</v>
      </c>
      <c r="O164">
        <v>1241</v>
      </c>
      <c r="P164">
        <v>14.7</v>
      </c>
      <c r="Q164">
        <v>4.5</v>
      </c>
      <c r="R164"/>
      <c r="S164">
        <v>22.8</v>
      </c>
      <c r="T164">
        <v>17.600000000000001</v>
      </c>
      <c r="U164"/>
      <c r="X164" s="10" t="s">
        <v>219</v>
      </c>
      <c r="Y164" s="10" t="s">
        <v>70</v>
      </c>
      <c r="Z164" s="10" t="b">
        <f t="shared" si="9"/>
        <v>1</v>
      </c>
      <c r="AA164" s="10" t="s">
        <v>223</v>
      </c>
      <c r="AB164" s="10">
        <v>35</v>
      </c>
      <c r="AC164" s="10">
        <v>2290</v>
      </c>
      <c r="AD164" s="10">
        <v>38.9</v>
      </c>
      <c r="AE164" s="10">
        <v>4.5</v>
      </c>
      <c r="AF164" s="10">
        <v>175.2</v>
      </c>
      <c r="AG164" s="10" t="s">
        <v>226</v>
      </c>
    </row>
    <row r="165" spans="11:33" x14ac:dyDescent="0.2">
      <c r="K165" s="10" t="s">
        <v>212</v>
      </c>
      <c r="L165" s="10" t="s">
        <v>497</v>
      </c>
      <c r="M165" s="10" t="b">
        <f t="shared" si="7"/>
        <v>0</v>
      </c>
      <c r="N165"/>
      <c r="O165"/>
      <c r="P165"/>
      <c r="Q165">
        <v>2</v>
      </c>
      <c r="R165"/>
      <c r="S165"/>
      <c r="T165"/>
      <c r="U165">
        <v>66</v>
      </c>
      <c r="X165" s="10" t="s">
        <v>219</v>
      </c>
      <c r="Y165" s="10" t="s">
        <v>69</v>
      </c>
      <c r="Z165" s="10" t="b">
        <f t="shared" si="9"/>
        <v>1</v>
      </c>
      <c r="AA165" s="10" t="s">
        <v>223</v>
      </c>
      <c r="AB165" s="10">
        <v>27</v>
      </c>
      <c r="AC165" s="10">
        <v>755</v>
      </c>
      <c r="AD165" s="10">
        <v>26.9</v>
      </c>
      <c r="AE165" s="10">
        <v>2.6</v>
      </c>
      <c r="AF165" s="10">
        <v>69.94</v>
      </c>
      <c r="AG165" s="10" t="s">
        <v>226</v>
      </c>
    </row>
    <row r="166" spans="11:33" x14ac:dyDescent="0.2">
      <c r="K166" s="10" t="s">
        <v>212</v>
      </c>
      <c r="L166" s="10" t="s">
        <v>252</v>
      </c>
      <c r="M166" s="10" t="b">
        <f t="shared" si="7"/>
        <v>0</v>
      </c>
      <c r="N166">
        <v>760</v>
      </c>
      <c r="O166">
        <v>760</v>
      </c>
      <c r="P166">
        <v>48.7</v>
      </c>
      <c r="Q166">
        <v>4.5</v>
      </c>
      <c r="R166"/>
      <c r="S166">
        <v>40</v>
      </c>
      <c r="T166">
        <v>40</v>
      </c>
      <c r="U166">
        <v>125</v>
      </c>
      <c r="X166" s="10" t="s">
        <v>219</v>
      </c>
      <c r="Y166" s="10" t="s">
        <v>68</v>
      </c>
      <c r="Z166" s="10" t="b">
        <f t="shared" si="9"/>
        <v>1</v>
      </c>
      <c r="AA166" s="10" t="s">
        <v>223</v>
      </c>
      <c r="AB166" s="10">
        <v>30</v>
      </c>
      <c r="AC166" s="10">
        <v>2784</v>
      </c>
      <c r="AD166" s="10">
        <v>40.9</v>
      </c>
      <c r="AE166" s="10">
        <v>5.2</v>
      </c>
      <c r="AF166" s="10">
        <v>212.7</v>
      </c>
      <c r="AG166" s="10" t="s">
        <v>228</v>
      </c>
    </row>
    <row r="167" spans="11:33" x14ac:dyDescent="0.2">
      <c r="K167" s="10" t="s">
        <v>212</v>
      </c>
      <c r="L167" s="10" t="s">
        <v>434</v>
      </c>
      <c r="M167" s="10" t="b">
        <f t="shared" si="7"/>
        <v>0</v>
      </c>
      <c r="N167">
        <v>777</v>
      </c>
      <c r="O167">
        <v>777</v>
      </c>
      <c r="P167">
        <v>15.16</v>
      </c>
      <c r="Q167">
        <v>4</v>
      </c>
      <c r="R167"/>
      <c r="S167">
        <v>27.4</v>
      </c>
      <c r="T167">
        <v>16.149999999999999</v>
      </c>
      <c r="U167"/>
      <c r="X167" s="10" t="s">
        <v>219</v>
      </c>
      <c r="Y167" s="10" t="s">
        <v>180</v>
      </c>
      <c r="Z167" s="10" t="b">
        <f t="shared" si="9"/>
        <v>0</v>
      </c>
      <c r="AA167" s="10" t="s">
        <v>223</v>
      </c>
      <c r="AB167" s="10">
        <v>34</v>
      </c>
      <c r="AC167" s="10">
        <v>289.39999999999998</v>
      </c>
      <c r="AD167" s="10">
        <v>8.15</v>
      </c>
      <c r="AE167" s="10">
        <v>3</v>
      </c>
      <c r="AF167" s="10">
        <v>24.45</v>
      </c>
      <c r="AG167" s="10" t="s">
        <v>226</v>
      </c>
    </row>
    <row r="168" spans="11:33" x14ac:dyDescent="0.2">
      <c r="K168" s="10" t="s">
        <v>212</v>
      </c>
      <c r="L168" s="10" t="s">
        <v>435</v>
      </c>
      <c r="M168" s="10" t="b">
        <f t="shared" si="7"/>
        <v>0</v>
      </c>
      <c r="N168">
        <v>706.8</v>
      </c>
      <c r="O168">
        <v>706.8</v>
      </c>
      <c r="P168">
        <v>25.88</v>
      </c>
      <c r="Q168">
        <v>3</v>
      </c>
      <c r="R168"/>
      <c r="S168">
        <v>6.3</v>
      </c>
      <c r="T168">
        <v>6.3</v>
      </c>
      <c r="U168">
        <v>160</v>
      </c>
      <c r="X168" s="10" t="s">
        <v>219</v>
      </c>
      <c r="Y168" s="10" t="s">
        <v>200</v>
      </c>
      <c r="Z168" s="10" t="b">
        <f t="shared" si="9"/>
        <v>0</v>
      </c>
      <c r="AA168" s="10" t="s">
        <v>223</v>
      </c>
      <c r="AB168" s="10">
        <v>32</v>
      </c>
      <c r="AC168" s="10">
        <v>213</v>
      </c>
      <c r="AD168" s="10">
        <v>10.199999999999999</v>
      </c>
      <c r="AE168" s="10">
        <v>1</v>
      </c>
      <c r="AF168" s="10">
        <v>10.199999999999999</v>
      </c>
      <c r="AG168" s="10" t="s">
        <v>226</v>
      </c>
    </row>
    <row r="169" spans="11:33" x14ac:dyDescent="0.2">
      <c r="K169" s="10" t="s">
        <v>212</v>
      </c>
      <c r="L169" s="10" t="s">
        <v>436</v>
      </c>
      <c r="M169" s="10" t="b">
        <f t="shared" si="7"/>
        <v>0</v>
      </c>
      <c r="N169"/>
      <c r="O169"/>
      <c r="P169"/>
      <c r="Q169">
        <v>5.5</v>
      </c>
      <c r="R169"/>
      <c r="S169">
        <v>13.5</v>
      </c>
      <c r="T169">
        <v>13.5</v>
      </c>
      <c r="U169">
        <v>135</v>
      </c>
      <c r="X169" s="10" t="s">
        <v>219</v>
      </c>
      <c r="Y169" s="10" t="s">
        <v>201</v>
      </c>
      <c r="Z169" s="10" t="b">
        <f t="shared" si="9"/>
        <v>0</v>
      </c>
      <c r="AA169" s="10" t="s">
        <v>223</v>
      </c>
      <c r="AB169" s="10">
        <v>31</v>
      </c>
      <c r="AC169" s="10">
        <v>599</v>
      </c>
      <c r="AD169" s="10">
        <v>12.99</v>
      </c>
      <c r="AE169" s="10">
        <v>1.5</v>
      </c>
      <c r="AF169" s="10">
        <v>19.489999999999998</v>
      </c>
      <c r="AG169" s="10" t="s">
        <v>226</v>
      </c>
    </row>
    <row r="170" spans="11:33" x14ac:dyDescent="0.2">
      <c r="K170" s="10" t="s">
        <v>212</v>
      </c>
      <c r="L170" s="10" t="s">
        <v>437</v>
      </c>
      <c r="M170" s="10" t="b">
        <f t="shared" si="7"/>
        <v>0</v>
      </c>
      <c r="N170"/>
      <c r="O170"/>
      <c r="P170"/>
      <c r="Q170">
        <v>6.5</v>
      </c>
      <c r="R170"/>
      <c r="S170"/>
      <c r="T170"/>
      <c r="U170">
        <v>185</v>
      </c>
      <c r="X170" s="10" t="s">
        <v>219</v>
      </c>
      <c r="Y170" s="10" t="s">
        <v>52</v>
      </c>
      <c r="Z170" s="10" t="b">
        <f t="shared" si="9"/>
        <v>1</v>
      </c>
      <c r="AA170" s="10" t="s">
        <v>223</v>
      </c>
      <c r="AB170" s="10">
        <v>23</v>
      </c>
      <c r="AC170" s="10">
        <v>2551</v>
      </c>
      <c r="AD170" s="10">
        <v>42.8</v>
      </c>
      <c r="AE170" s="10">
        <v>4</v>
      </c>
      <c r="AF170" s="10">
        <v>171.2</v>
      </c>
      <c r="AG170" s="10" t="s">
        <v>226</v>
      </c>
    </row>
    <row r="171" spans="11:33" x14ac:dyDescent="0.2">
      <c r="K171" s="10" t="s">
        <v>212</v>
      </c>
      <c r="L171" s="10" t="s">
        <v>438</v>
      </c>
      <c r="M171" s="10" t="b">
        <f t="shared" si="7"/>
        <v>0</v>
      </c>
      <c r="N171"/>
      <c r="O171"/>
      <c r="P171"/>
      <c r="Q171">
        <v>4</v>
      </c>
      <c r="R171"/>
      <c r="S171"/>
      <c r="T171"/>
      <c r="U171">
        <v>185</v>
      </c>
      <c r="X171" s="10" t="s">
        <v>219</v>
      </c>
      <c r="Y171" s="10" t="s">
        <v>392</v>
      </c>
      <c r="Z171" s="10" t="b">
        <f t="shared" si="9"/>
        <v>1</v>
      </c>
      <c r="AA171" s="10" t="s">
        <v>223</v>
      </c>
      <c r="AB171" s="10">
        <v>11</v>
      </c>
      <c r="AC171" s="10">
        <v>1680</v>
      </c>
      <c r="AD171" s="10">
        <v>15.7</v>
      </c>
      <c r="AE171" s="10">
        <v>3</v>
      </c>
      <c r="AF171" s="10">
        <v>47.1</v>
      </c>
      <c r="AG171" s="10" t="s">
        <v>285</v>
      </c>
    </row>
    <row r="172" spans="11:33" x14ac:dyDescent="0.2">
      <c r="K172" s="10" t="s">
        <v>212</v>
      </c>
      <c r="L172" s="10" t="s">
        <v>439</v>
      </c>
      <c r="M172" s="10" t="b">
        <f t="shared" si="7"/>
        <v>0</v>
      </c>
      <c r="N172">
        <v>1983</v>
      </c>
      <c r="O172">
        <v>1983</v>
      </c>
      <c r="P172">
        <v>18.3</v>
      </c>
      <c r="Q172">
        <v>7</v>
      </c>
      <c r="R172"/>
      <c r="S172"/>
      <c r="T172"/>
      <c r="U172"/>
      <c r="X172" s="10" t="s">
        <v>219</v>
      </c>
      <c r="Y172" s="10" t="s">
        <v>393</v>
      </c>
      <c r="Z172" s="10" t="b">
        <f t="shared" si="9"/>
        <v>1</v>
      </c>
      <c r="AA172" s="10" t="s">
        <v>223</v>
      </c>
      <c r="AB172" s="10">
        <v>11</v>
      </c>
      <c r="AC172" s="10">
        <v>2900</v>
      </c>
      <c r="AD172" s="10">
        <v>65</v>
      </c>
      <c r="AE172" s="10">
        <v>1.55</v>
      </c>
      <c r="AF172" s="10">
        <v>100.69</v>
      </c>
      <c r="AG172" s="10" t="s">
        <v>394</v>
      </c>
    </row>
    <row r="173" spans="11:33" x14ac:dyDescent="0.2">
      <c r="K173" s="10" t="s">
        <v>212</v>
      </c>
      <c r="L173" s="10" t="s">
        <v>440</v>
      </c>
      <c r="M173" s="10" t="b">
        <f t="shared" si="7"/>
        <v>0</v>
      </c>
      <c r="N173"/>
      <c r="O173"/>
      <c r="P173"/>
      <c r="Q173">
        <v>15.5</v>
      </c>
      <c r="R173"/>
      <c r="S173">
        <v>26.5</v>
      </c>
      <c r="T173">
        <v>26.5</v>
      </c>
      <c r="U173">
        <v>69</v>
      </c>
      <c r="X173" s="10" t="s">
        <v>219</v>
      </c>
      <c r="Y173" s="10" t="s">
        <v>59</v>
      </c>
      <c r="Z173" s="10" t="b">
        <f t="shared" si="9"/>
        <v>1</v>
      </c>
      <c r="AA173" s="10" t="s">
        <v>225</v>
      </c>
      <c r="AB173" s="10">
        <v>8</v>
      </c>
      <c r="AC173" s="10">
        <v>1202</v>
      </c>
      <c r="AD173" s="10">
        <v>36.08</v>
      </c>
      <c r="AE173" s="10">
        <v>2.2999999999999998</v>
      </c>
      <c r="AF173" s="10">
        <v>82.98</v>
      </c>
      <c r="AG173" s="10" t="s">
        <v>226</v>
      </c>
    </row>
    <row r="174" spans="11:33" x14ac:dyDescent="0.2">
      <c r="K174" s="10" t="s">
        <v>212</v>
      </c>
      <c r="L174" s="10" t="s">
        <v>441</v>
      </c>
      <c r="M174" s="10" t="b">
        <f t="shared" si="7"/>
        <v>0</v>
      </c>
      <c r="N174"/>
      <c r="O174"/>
      <c r="P174"/>
      <c r="Q174">
        <v>15.5</v>
      </c>
      <c r="R174"/>
      <c r="S174">
        <v>26.5</v>
      </c>
      <c r="T174">
        <v>26.5</v>
      </c>
      <c r="U174">
        <v>69</v>
      </c>
      <c r="X174" s="10" t="s">
        <v>219</v>
      </c>
      <c r="Y174" s="10" t="s">
        <v>395</v>
      </c>
      <c r="Z174" s="10" t="b">
        <f t="shared" si="9"/>
        <v>0</v>
      </c>
      <c r="AA174" s="10" t="s">
        <v>223</v>
      </c>
      <c r="AB174" s="10">
        <v>4</v>
      </c>
      <c r="AC174" s="10">
        <v>400</v>
      </c>
      <c r="AD174" s="10">
        <v>21.8</v>
      </c>
      <c r="AE174" s="10">
        <v>2.4</v>
      </c>
      <c r="AF174" s="10">
        <v>52.32</v>
      </c>
      <c r="AG174" s="10" t="s">
        <v>226</v>
      </c>
    </row>
    <row r="175" spans="11:33" x14ac:dyDescent="0.2">
      <c r="K175" s="10" t="s">
        <v>212</v>
      </c>
      <c r="L175" s="10" t="s">
        <v>442</v>
      </c>
      <c r="M175" s="10" t="b">
        <f t="shared" si="7"/>
        <v>0</v>
      </c>
      <c r="N175">
        <v>1377</v>
      </c>
      <c r="O175">
        <v>1377</v>
      </c>
      <c r="P175">
        <v>12.05</v>
      </c>
      <c r="Q175">
        <v>17</v>
      </c>
      <c r="R175"/>
      <c r="S175">
        <v>26.5</v>
      </c>
      <c r="T175">
        <v>16.149999999999999</v>
      </c>
      <c r="U175">
        <v>69</v>
      </c>
      <c r="X175" s="10" t="s">
        <v>219</v>
      </c>
      <c r="Y175" s="10" t="s">
        <v>209</v>
      </c>
      <c r="Z175" s="10" t="b">
        <f t="shared" si="9"/>
        <v>0</v>
      </c>
      <c r="AA175" s="10" t="s">
        <v>223</v>
      </c>
      <c r="AB175" s="10">
        <v>34</v>
      </c>
      <c r="AC175" s="10">
        <v>413.6</v>
      </c>
      <c r="AD175" s="10">
        <v>11.2</v>
      </c>
      <c r="AE175" s="10">
        <v>3</v>
      </c>
      <c r="AF175" s="10">
        <v>33.57</v>
      </c>
      <c r="AG175" s="10" t="s">
        <v>226</v>
      </c>
    </row>
    <row r="176" spans="11:33" x14ac:dyDescent="0.2">
      <c r="K176" s="10" t="s">
        <v>212</v>
      </c>
      <c r="L176" s="10" t="s">
        <v>448</v>
      </c>
      <c r="M176" s="10" t="b">
        <f t="shared" si="7"/>
        <v>0</v>
      </c>
      <c r="N176">
        <v>74400</v>
      </c>
      <c r="O176">
        <v>74400</v>
      </c>
      <c r="P176">
        <v>75.25</v>
      </c>
      <c r="Q176">
        <v>52.8</v>
      </c>
      <c r="R176">
        <v>2.42</v>
      </c>
      <c r="S176"/>
      <c r="T176"/>
      <c r="U176">
        <v>50.1</v>
      </c>
      <c r="X176" s="10" t="s">
        <v>219</v>
      </c>
      <c r="Y176" s="10" t="s">
        <v>211</v>
      </c>
      <c r="Z176" s="10" t="b">
        <f t="shared" si="9"/>
        <v>0</v>
      </c>
      <c r="AA176" s="10" t="s">
        <v>223</v>
      </c>
      <c r="AB176" s="10">
        <v>33</v>
      </c>
      <c r="AC176" s="10">
        <v>423</v>
      </c>
      <c r="AD176" s="10">
        <v>8.08</v>
      </c>
      <c r="AE176" s="10">
        <v>2.5</v>
      </c>
      <c r="AF176" s="10">
        <v>20.2</v>
      </c>
      <c r="AG176" s="10" t="s">
        <v>226</v>
      </c>
    </row>
    <row r="177" spans="11:33" x14ac:dyDescent="0.2">
      <c r="K177" s="10" t="s">
        <v>212</v>
      </c>
      <c r="L177" s="10" t="s">
        <v>551</v>
      </c>
      <c r="M177" s="10" t="b">
        <f t="shared" si="7"/>
        <v>0</v>
      </c>
      <c r="N177">
        <v>19000</v>
      </c>
      <c r="O177">
        <v>19000</v>
      </c>
      <c r="P177">
        <v>25.3</v>
      </c>
      <c r="Q177">
        <v>30.2</v>
      </c>
      <c r="R177"/>
      <c r="S177">
        <v>14</v>
      </c>
      <c r="T177">
        <v>14</v>
      </c>
      <c r="U177"/>
      <c r="X177" s="10" t="s">
        <v>219</v>
      </c>
      <c r="Y177" s="10" t="s">
        <v>56</v>
      </c>
      <c r="Z177" s="10" t="b">
        <f t="shared" si="9"/>
        <v>1</v>
      </c>
      <c r="AA177" s="10" t="s">
        <v>223</v>
      </c>
      <c r="AB177" s="10">
        <v>40</v>
      </c>
      <c r="AC177" s="10">
        <v>1430</v>
      </c>
      <c r="AD177" s="10">
        <v>17.5</v>
      </c>
      <c r="AE177" s="10">
        <v>4.5</v>
      </c>
      <c r="AF177" s="10">
        <v>82</v>
      </c>
      <c r="AG177" s="10" t="s">
        <v>228</v>
      </c>
    </row>
    <row r="178" spans="11:33" x14ac:dyDescent="0.2">
      <c r="K178" s="10" t="s">
        <v>212</v>
      </c>
      <c r="L178" s="10" t="s">
        <v>552</v>
      </c>
      <c r="M178" s="10" t="b">
        <f t="shared" si="7"/>
        <v>0</v>
      </c>
      <c r="N178">
        <v>6971</v>
      </c>
      <c r="O178">
        <v>6971</v>
      </c>
      <c r="P178">
        <v>26</v>
      </c>
      <c r="Q178">
        <v>20.2</v>
      </c>
      <c r="R178"/>
      <c r="S178"/>
      <c r="T178"/>
      <c r="U178"/>
      <c r="X178" s="10" t="s">
        <v>219</v>
      </c>
      <c r="Y178" s="10" t="s">
        <v>413</v>
      </c>
      <c r="Z178" s="10" t="b">
        <f t="shared" si="9"/>
        <v>0</v>
      </c>
      <c r="AA178" s="10" t="s">
        <v>223</v>
      </c>
      <c r="AB178" s="10">
        <v>40</v>
      </c>
      <c r="AC178" s="10">
        <v>870</v>
      </c>
      <c r="AD178" s="10">
        <v>15.8</v>
      </c>
      <c r="AE178" s="10">
        <v>3.6</v>
      </c>
      <c r="AF178" s="10">
        <v>58</v>
      </c>
      <c r="AG178" s="10" t="s">
        <v>228</v>
      </c>
    </row>
    <row r="179" spans="11:33" x14ac:dyDescent="0.2">
      <c r="K179" s="10" t="s">
        <v>212</v>
      </c>
      <c r="L179" s="10" t="s">
        <v>498</v>
      </c>
      <c r="M179" s="10" t="b">
        <f t="shared" si="7"/>
        <v>0</v>
      </c>
      <c r="N179"/>
      <c r="O179"/>
      <c r="P179"/>
      <c r="Q179"/>
      <c r="R179"/>
      <c r="S179">
        <v>18.8</v>
      </c>
      <c r="T179">
        <v>11.8</v>
      </c>
      <c r="U179"/>
      <c r="X179" s="10" t="s">
        <v>219</v>
      </c>
      <c r="Y179" s="10" t="s">
        <v>414</v>
      </c>
      <c r="Z179" s="10" t="b">
        <f t="shared" si="9"/>
        <v>0</v>
      </c>
      <c r="AA179" s="10" t="s">
        <v>223</v>
      </c>
      <c r="AB179" s="10">
        <v>40</v>
      </c>
      <c r="AC179" s="10">
        <v>1130</v>
      </c>
      <c r="AD179" s="10">
        <v>18</v>
      </c>
      <c r="AE179" s="10">
        <v>4.0999999999999996</v>
      </c>
      <c r="AF179" s="10">
        <v>74</v>
      </c>
      <c r="AG179" s="10" t="s">
        <v>228</v>
      </c>
    </row>
    <row r="180" spans="11:33" x14ac:dyDescent="0.2">
      <c r="K180" s="10" t="s">
        <v>212</v>
      </c>
      <c r="L180" s="10" t="s">
        <v>499</v>
      </c>
      <c r="M180" s="10" t="b">
        <f t="shared" si="7"/>
        <v>0</v>
      </c>
      <c r="N180">
        <v>12400</v>
      </c>
      <c r="O180">
        <v>12400</v>
      </c>
      <c r="P180">
        <v>28.5</v>
      </c>
      <c r="Q180">
        <v>12</v>
      </c>
      <c r="R180"/>
      <c r="S180"/>
      <c r="T180"/>
      <c r="U180">
        <v>151</v>
      </c>
      <c r="X180" s="10" t="s">
        <v>219</v>
      </c>
      <c r="Y180" s="10" t="s">
        <v>396</v>
      </c>
      <c r="Z180" s="10" t="b">
        <f t="shared" si="9"/>
        <v>0</v>
      </c>
      <c r="AA180" s="10" t="s">
        <v>223</v>
      </c>
      <c r="AB180" s="10">
        <v>40</v>
      </c>
      <c r="AC180" s="10">
        <v>1610</v>
      </c>
      <c r="AD180" s="10">
        <v>17.899999999999999</v>
      </c>
      <c r="AE180" s="10">
        <v>6</v>
      </c>
      <c r="AF180" s="10">
        <v>107</v>
      </c>
      <c r="AG180" s="10" t="s">
        <v>228</v>
      </c>
    </row>
    <row r="181" spans="11:33" x14ac:dyDescent="0.2">
      <c r="K181" s="10" t="s">
        <v>212</v>
      </c>
      <c r="L181" s="10" t="s">
        <v>553</v>
      </c>
      <c r="M181" s="10" t="b">
        <f t="shared" si="7"/>
        <v>0</v>
      </c>
      <c r="N181"/>
      <c r="O181"/>
      <c r="P181"/>
      <c r="Q181">
        <v>15.5</v>
      </c>
      <c r="R181"/>
      <c r="S181">
        <v>41</v>
      </c>
      <c r="T181">
        <v>41</v>
      </c>
      <c r="U181"/>
      <c r="X181" s="10" t="s">
        <v>219</v>
      </c>
      <c r="Y181" s="10" t="s">
        <v>54</v>
      </c>
      <c r="Z181" s="10" t="b">
        <f t="shared" si="9"/>
        <v>1</v>
      </c>
      <c r="AA181" s="10" t="s">
        <v>223</v>
      </c>
      <c r="AB181" s="10">
        <v>40</v>
      </c>
      <c r="AC181" s="10">
        <v>2080</v>
      </c>
      <c r="AD181" s="10">
        <v>17.3</v>
      </c>
      <c r="AE181" s="10">
        <v>5.6</v>
      </c>
      <c r="AF181" s="10">
        <v>97</v>
      </c>
      <c r="AG181" s="10" t="s">
        <v>285</v>
      </c>
    </row>
    <row r="182" spans="11:33" x14ac:dyDescent="0.2">
      <c r="K182" s="10" t="s">
        <v>212</v>
      </c>
      <c r="L182" s="10" t="s">
        <v>500</v>
      </c>
      <c r="M182" s="10" t="b">
        <f t="shared" si="7"/>
        <v>0</v>
      </c>
      <c r="N182">
        <v>919</v>
      </c>
      <c r="O182">
        <v>919</v>
      </c>
      <c r="P182">
        <v>12.41</v>
      </c>
      <c r="Q182">
        <v>6.7</v>
      </c>
      <c r="R182"/>
      <c r="S182">
        <v>13.8</v>
      </c>
      <c r="T182">
        <v>11.8</v>
      </c>
      <c r="U182">
        <v>148</v>
      </c>
      <c r="X182" s="10" t="s">
        <v>219</v>
      </c>
      <c r="Y182" s="10" t="s">
        <v>397</v>
      </c>
      <c r="Z182" s="10" t="b">
        <f t="shared" si="9"/>
        <v>1</v>
      </c>
      <c r="AA182" s="10" t="s">
        <v>224</v>
      </c>
      <c r="AB182" s="10">
        <v>29</v>
      </c>
      <c r="AC182" s="10">
        <v>3326</v>
      </c>
      <c r="AD182" s="10">
        <v>12.08</v>
      </c>
      <c r="AE182" s="10">
        <v>16.14</v>
      </c>
      <c r="AF182" s="10">
        <v>194.9</v>
      </c>
      <c r="AG182" s="10" t="s">
        <v>226</v>
      </c>
    </row>
    <row r="183" spans="11:33" x14ac:dyDescent="0.2">
      <c r="K183" s="10" t="s">
        <v>212</v>
      </c>
      <c r="L183" s="10" t="s">
        <v>501</v>
      </c>
      <c r="M183" s="10" t="b">
        <f t="shared" si="7"/>
        <v>0</v>
      </c>
      <c r="N183"/>
      <c r="O183"/>
      <c r="P183"/>
      <c r="Q183">
        <v>9</v>
      </c>
      <c r="R183"/>
      <c r="S183"/>
      <c r="T183"/>
      <c r="U183"/>
      <c r="X183" s="10" t="s">
        <v>219</v>
      </c>
      <c r="Y183" s="10" t="s">
        <v>398</v>
      </c>
      <c r="Z183" s="10" t="b">
        <f t="shared" si="9"/>
        <v>1</v>
      </c>
      <c r="AA183" s="10" t="s">
        <v>224</v>
      </c>
      <c r="AB183" s="10">
        <v>26</v>
      </c>
      <c r="AC183" s="10">
        <v>6630</v>
      </c>
      <c r="AD183" s="10">
        <v>12.3</v>
      </c>
      <c r="AE183" s="10">
        <v>20.6</v>
      </c>
      <c r="AF183" s="10">
        <v>290.3</v>
      </c>
      <c r="AG183" s="10" t="s">
        <v>399</v>
      </c>
    </row>
    <row r="184" spans="11:33" x14ac:dyDescent="0.2">
      <c r="K184" s="10" t="s">
        <v>212</v>
      </c>
      <c r="L184" s="10" t="s">
        <v>502</v>
      </c>
      <c r="M184" s="10" t="b">
        <f t="shared" si="7"/>
        <v>0</v>
      </c>
      <c r="N184"/>
      <c r="O184"/>
      <c r="P184"/>
      <c r="Q184">
        <v>7.5</v>
      </c>
      <c r="R184"/>
      <c r="S184">
        <v>11</v>
      </c>
      <c r="T184">
        <v>11</v>
      </c>
      <c r="U184">
        <v>70</v>
      </c>
      <c r="X184" s="10" t="s">
        <v>219</v>
      </c>
      <c r="Y184" s="10" t="s">
        <v>400</v>
      </c>
      <c r="Z184" s="10" t="b">
        <f t="shared" si="9"/>
        <v>0</v>
      </c>
      <c r="AA184" s="10" t="s">
        <v>224</v>
      </c>
      <c r="AB184" s="10">
        <v>39</v>
      </c>
      <c r="AC184" s="10">
        <v>819</v>
      </c>
      <c r="AD184" s="10">
        <v>6.72</v>
      </c>
      <c r="AE184" s="10">
        <v>10.4</v>
      </c>
      <c r="AF184" s="10">
        <v>69.900000000000006</v>
      </c>
      <c r="AG184" s="10" t="s">
        <v>226</v>
      </c>
    </row>
    <row r="185" spans="11:33" x14ac:dyDescent="0.2">
      <c r="K185" s="10" t="s">
        <v>212</v>
      </c>
      <c r="L185" s="10" t="s">
        <v>503</v>
      </c>
      <c r="M185" s="10" t="b">
        <f t="shared" si="7"/>
        <v>0</v>
      </c>
      <c r="N185">
        <v>1184</v>
      </c>
      <c r="O185">
        <v>1184</v>
      </c>
      <c r="P185">
        <v>20</v>
      </c>
      <c r="Q185">
        <v>6.25</v>
      </c>
      <c r="R185"/>
      <c r="S185">
        <v>11</v>
      </c>
      <c r="T185">
        <v>11</v>
      </c>
      <c r="U185">
        <v>70</v>
      </c>
      <c r="X185" s="10" t="s">
        <v>219</v>
      </c>
      <c r="Y185" s="10" t="s">
        <v>401</v>
      </c>
      <c r="Z185" s="10" t="b">
        <f t="shared" si="9"/>
        <v>1</v>
      </c>
      <c r="AA185" s="10" t="s">
        <v>224</v>
      </c>
      <c r="AB185" s="10">
        <v>42</v>
      </c>
      <c r="AC185" s="10">
        <v>4765</v>
      </c>
      <c r="AD185" s="10">
        <v>9.32</v>
      </c>
      <c r="AE185" s="10">
        <v>31.5</v>
      </c>
      <c r="AF185" s="10">
        <v>293.60000000000002</v>
      </c>
      <c r="AG185" s="10" t="s">
        <v>226</v>
      </c>
    </row>
    <row r="186" spans="11:33" x14ac:dyDescent="0.2">
      <c r="K186" s="10" t="s">
        <v>212</v>
      </c>
      <c r="L186" s="10" t="s">
        <v>409</v>
      </c>
      <c r="M186" s="10" t="b">
        <f t="shared" si="7"/>
        <v>0</v>
      </c>
      <c r="N186"/>
      <c r="O186"/>
      <c r="P186"/>
      <c r="Q186">
        <v>26</v>
      </c>
      <c r="R186"/>
      <c r="S186">
        <v>10.1</v>
      </c>
      <c r="T186">
        <v>10.1</v>
      </c>
      <c r="U186"/>
      <c r="X186" s="10" t="s">
        <v>219</v>
      </c>
      <c r="Y186" s="10" t="s">
        <v>402</v>
      </c>
      <c r="Z186" s="10" t="b">
        <f t="shared" si="9"/>
        <v>1</v>
      </c>
      <c r="AA186" s="10" t="s">
        <v>224</v>
      </c>
      <c r="AB186" s="10">
        <v>44.6</v>
      </c>
      <c r="AC186" s="10">
        <v>2555.6999999999998</v>
      </c>
      <c r="AD186" s="10">
        <v>9.3800000000000008</v>
      </c>
      <c r="AE186" s="10">
        <v>16.2</v>
      </c>
      <c r="AF186" s="10">
        <v>151.96</v>
      </c>
      <c r="AG186" s="10" t="s">
        <v>403</v>
      </c>
    </row>
    <row r="187" spans="11:33" x14ac:dyDescent="0.2">
      <c r="K187" s="10" t="s">
        <v>212</v>
      </c>
      <c r="L187" s="10" t="s">
        <v>81</v>
      </c>
      <c r="M187" s="10" t="b">
        <f t="shared" si="7"/>
        <v>1</v>
      </c>
      <c r="N187">
        <v>2327.5</v>
      </c>
      <c r="O187">
        <v>2327.5</v>
      </c>
      <c r="P187">
        <v>5.4</v>
      </c>
      <c r="Q187">
        <v>14.5</v>
      </c>
      <c r="R187"/>
      <c r="S187">
        <v>7.3</v>
      </c>
      <c r="T187">
        <v>7.3</v>
      </c>
      <c r="U187">
        <v>61.5</v>
      </c>
      <c r="X187" s="10" t="s">
        <v>219</v>
      </c>
      <c r="Y187" s="10" t="s">
        <v>404</v>
      </c>
      <c r="Z187" s="10" t="b">
        <f t="shared" si="9"/>
        <v>0</v>
      </c>
      <c r="AA187" s="10" t="s">
        <v>225</v>
      </c>
      <c r="AB187" s="10">
        <v>23</v>
      </c>
      <c r="AC187" s="10">
        <v>19000</v>
      </c>
      <c r="AD187" s="10">
        <v>25.3</v>
      </c>
      <c r="AE187" s="10">
        <v>30.2</v>
      </c>
      <c r="AF187" s="10">
        <v>764.1</v>
      </c>
      <c r="AG187" s="10" t="s">
        <v>226</v>
      </c>
    </row>
    <row r="188" spans="11:33" x14ac:dyDescent="0.2">
      <c r="K188" s="10" t="s">
        <v>212</v>
      </c>
      <c r="L188" s="10" t="s">
        <v>82</v>
      </c>
      <c r="M188" s="10" t="b">
        <f t="shared" si="7"/>
        <v>1</v>
      </c>
      <c r="N188">
        <v>2273</v>
      </c>
      <c r="O188">
        <v>2273</v>
      </c>
      <c r="P188">
        <v>12.38</v>
      </c>
      <c r="Q188">
        <v>15</v>
      </c>
      <c r="R188"/>
      <c r="S188">
        <v>20.100000000000001</v>
      </c>
      <c r="T188">
        <v>16.399999999999999</v>
      </c>
      <c r="U188">
        <v>40</v>
      </c>
      <c r="X188" s="10" t="s">
        <v>219</v>
      </c>
      <c r="Y188" s="10" t="s">
        <v>405</v>
      </c>
      <c r="Z188" s="10" t="b">
        <f t="shared" si="9"/>
        <v>0</v>
      </c>
      <c r="AA188" s="10" t="s">
        <v>224</v>
      </c>
      <c r="AB188" s="10">
        <v>22</v>
      </c>
      <c r="AC188" s="10">
        <v>6971</v>
      </c>
      <c r="AD188" s="10">
        <v>26</v>
      </c>
      <c r="AE188" s="10">
        <v>20.2</v>
      </c>
      <c r="AF188" s="10">
        <v>525.20000000000005</v>
      </c>
      <c r="AG188" s="10" t="s">
        <v>226</v>
      </c>
    </row>
    <row r="189" spans="11:33" x14ac:dyDescent="0.2">
      <c r="K189" s="10" t="s">
        <v>212</v>
      </c>
      <c r="L189" s="10" t="s">
        <v>377</v>
      </c>
      <c r="M189" s="10" t="b">
        <f t="shared" si="7"/>
        <v>0</v>
      </c>
      <c r="N189">
        <v>3600</v>
      </c>
      <c r="O189">
        <v>3600</v>
      </c>
      <c r="P189">
        <v>46.6</v>
      </c>
      <c r="Q189">
        <v>10.7</v>
      </c>
      <c r="R189"/>
      <c r="S189"/>
      <c r="T189"/>
      <c r="U189">
        <v>117</v>
      </c>
      <c r="X189" s="10" t="s">
        <v>219</v>
      </c>
      <c r="Y189" s="10" t="s">
        <v>406</v>
      </c>
      <c r="Z189" s="10" t="b">
        <f t="shared" si="9"/>
        <v>0</v>
      </c>
      <c r="AA189" s="10" t="s">
        <v>225</v>
      </c>
      <c r="AB189" s="10">
        <v>24</v>
      </c>
      <c r="AC189" s="10">
        <v>108000</v>
      </c>
      <c r="AD189" s="10">
        <v>20</v>
      </c>
      <c r="AE189" s="10">
        <v>102</v>
      </c>
      <c r="AF189" s="10">
        <v>2140</v>
      </c>
      <c r="AG189" s="10" t="s">
        <v>399</v>
      </c>
    </row>
    <row r="190" spans="11:33" x14ac:dyDescent="0.2">
      <c r="K190" s="10" t="s">
        <v>212</v>
      </c>
      <c r="L190" s="10" t="s">
        <v>533</v>
      </c>
      <c r="M190" s="10" t="b">
        <f t="shared" si="7"/>
        <v>0</v>
      </c>
      <c r="N190"/>
      <c r="O190"/>
      <c r="P190"/>
      <c r="Q190">
        <v>7</v>
      </c>
      <c r="R190"/>
      <c r="S190">
        <v>4.7</v>
      </c>
      <c r="T190">
        <v>4.7</v>
      </c>
      <c r="U190"/>
      <c r="X190" s="10" t="s">
        <v>219</v>
      </c>
      <c r="Y190" s="10" t="s">
        <v>407</v>
      </c>
      <c r="Z190" s="10" t="b">
        <f t="shared" si="9"/>
        <v>0</v>
      </c>
      <c r="AA190" s="10" t="s">
        <v>224</v>
      </c>
      <c r="AB190" s="10">
        <v>12</v>
      </c>
      <c r="AC190" s="10">
        <v>14591</v>
      </c>
      <c r="AD190" s="10">
        <v>17.95</v>
      </c>
      <c r="AE190" s="10">
        <v>18</v>
      </c>
      <c r="AF190" s="10">
        <v>323.10000000000002</v>
      </c>
      <c r="AG190" s="10" t="s">
        <v>226</v>
      </c>
    </row>
    <row r="191" spans="11:33" x14ac:dyDescent="0.2">
      <c r="K191" s="10" t="s">
        <v>212</v>
      </c>
      <c r="L191" s="10" t="s">
        <v>534</v>
      </c>
      <c r="M191" s="10" t="b">
        <f t="shared" si="7"/>
        <v>0</v>
      </c>
      <c r="N191"/>
      <c r="O191"/>
      <c r="P191"/>
      <c r="Q191">
        <v>34.5</v>
      </c>
      <c r="R191"/>
      <c r="S191"/>
      <c r="T191"/>
      <c r="U191"/>
      <c r="X191" s="10" t="s">
        <v>219</v>
      </c>
      <c r="Y191" s="10" t="s">
        <v>408</v>
      </c>
      <c r="Z191" s="10" t="b">
        <f t="shared" si="9"/>
        <v>0</v>
      </c>
      <c r="AA191" s="10" t="s">
        <v>225</v>
      </c>
      <c r="AB191" s="10">
        <v>13</v>
      </c>
      <c r="AC191" s="10">
        <v>1149</v>
      </c>
      <c r="AD191" s="10">
        <v>11.35</v>
      </c>
      <c r="AE191" s="10">
        <v>5.83</v>
      </c>
      <c r="AF191" s="10">
        <v>66.17</v>
      </c>
      <c r="AG191" s="10" t="s">
        <v>226</v>
      </c>
    </row>
    <row r="192" spans="11:33" x14ac:dyDescent="0.2">
      <c r="K192" s="10" t="s">
        <v>212</v>
      </c>
      <c r="L192" s="10" t="s">
        <v>83</v>
      </c>
      <c r="M192" s="10" t="b">
        <f t="shared" si="7"/>
        <v>1</v>
      </c>
      <c r="N192"/>
      <c r="O192"/>
      <c r="P192">
        <v>12.9</v>
      </c>
      <c r="Q192">
        <v>12</v>
      </c>
      <c r="R192"/>
      <c r="S192">
        <v>47</v>
      </c>
      <c r="T192">
        <v>29.3</v>
      </c>
      <c r="U192">
        <v>57</v>
      </c>
      <c r="X192" s="10" t="s">
        <v>219</v>
      </c>
      <c r="Y192" s="10" t="s">
        <v>409</v>
      </c>
      <c r="Z192" s="10" t="b">
        <f t="shared" si="9"/>
        <v>0</v>
      </c>
      <c r="AA192" s="10" t="s">
        <v>225</v>
      </c>
      <c r="AB192" s="10">
        <v>9</v>
      </c>
      <c r="AC192" s="10">
        <v>30844.28</v>
      </c>
      <c r="AD192" s="10">
        <v>30.9</v>
      </c>
      <c r="AE192" s="10">
        <v>27</v>
      </c>
      <c r="AF192" s="10">
        <v>834.3</v>
      </c>
      <c r="AG192" s="10" t="s">
        <v>410</v>
      </c>
    </row>
    <row r="193" spans="11:33" x14ac:dyDescent="0.2">
      <c r="K193" s="10" t="s">
        <v>212</v>
      </c>
      <c r="L193" s="10" t="s">
        <v>375</v>
      </c>
      <c r="M193" s="10" t="b">
        <f t="shared" si="7"/>
        <v>0</v>
      </c>
      <c r="N193">
        <v>800</v>
      </c>
      <c r="O193">
        <v>800</v>
      </c>
      <c r="P193">
        <v>10.85</v>
      </c>
      <c r="Q193">
        <v>18</v>
      </c>
      <c r="R193"/>
      <c r="S193">
        <v>47</v>
      </c>
      <c r="T193">
        <v>29.3</v>
      </c>
      <c r="U193">
        <v>57</v>
      </c>
      <c r="X193" s="10" t="s">
        <v>219</v>
      </c>
      <c r="Y193" s="10" t="s">
        <v>81</v>
      </c>
      <c r="Z193" s="10" t="b">
        <f t="shared" si="9"/>
        <v>1</v>
      </c>
      <c r="AA193" s="10" t="s">
        <v>224</v>
      </c>
      <c r="AB193" s="10">
        <v>35</v>
      </c>
      <c r="AC193" s="10">
        <v>2327.5</v>
      </c>
      <c r="AD193" s="10">
        <v>5.4</v>
      </c>
      <c r="AE193" s="10">
        <v>14.5</v>
      </c>
      <c r="AF193" s="10">
        <v>78.33</v>
      </c>
      <c r="AG193" s="10" t="s">
        <v>226</v>
      </c>
    </row>
    <row r="194" spans="11:33" x14ac:dyDescent="0.2">
      <c r="K194" s="10" t="s">
        <v>212</v>
      </c>
      <c r="L194" s="10" t="s">
        <v>535</v>
      </c>
      <c r="M194" s="10" t="b">
        <f t="shared" ref="M194:M257" si="10">IF(ISERROR(VLOOKUP(L194,B$2:B$61,1,FALSE)),FALSE,TRUE)</f>
        <v>0</v>
      </c>
      <c r="N194"/>
      <c r="O194"/>
      <c r="P194">
        <v>12.9</v>
      </c>
      <c r="Q194">
        <v>12</v>
      </c>
      <c r="R194"/>
      <c r="S194">
        <v>47</v>
      </c>
      <c r="T194">
        <v>29.3</v>
      </c>
      <c r="U194">
        <v>57</v>
      </c>
      <c r="X194" s="10" t="s">
        <v>219</v>
      </c>
      <c r="Y194" s="10" t="s">
        <v>411</v>
      </c>
      <c r="Z194" s="10" t="b">
        <f t="shared" ref="Z194" si="11">IF(ISERROR(VLOOKUP( LEFT(Y194, LEN(Y194) - IF(ISNUMBER(RIGHT(Y194, 1) * 1), 1, 0)),B$2:B$61,1,FALSE)),FALSE,TRUE)</f>
        <v>0</v>
      </c>
      <c r="AA194" s="10" t="s">
        <v>225</v>
      </c>
      <c r="AB194" s="10">
        <v>32</v>
      </c>
      <c r="AC194" s="10">
        <v>10818</v>
      </c>
      <c r="AD194" s="10">
        <v>17.82</v>
      </c>
      <c r="AE194" s="10">
        <v>40</v>
      </c>
      <c r="AF194" s="10">
        <v>712.8</v>
      </c>
      <c r="AG194" s="10" t="s">
        <v>226</v>
      </c>
    </row>
    <row r="195" spans="11:33" x14ac:dyDescent="0.2">
      <c r="K195" s="10" t="s">
        <v>212</v>
      </c>
      <c r="L195" s="10" t="s">
        <v>536</v>
      </c>
      <c r="M195" s="10" t="b">
        <f t="shared" si="10"/>
        <v>0</v>
      </c>
      <c r="N195"/>
      <c r="O195"/>
      <c r="P195"/>
      <c r="Q195">
        <v>5</v>
      </c>
      <c r="R195"/>
      <c r="S195"/>
      <c r="T195"/>
      <c r="U195">
        <v>67</v>
      </c>
    </row>
    <row r="196" spans="11:33" x14ac:dyDescent="0.2">
      <c r="K196" s="10" t="s">
        <v>212</v>
      </c>
      <c r="L196" s="10" t="s">
        <v>537</v>
      </c>
      <c r="M196" s="10" t="b">
        <f t="shared" si="10"/>
        <v>0</v>
      </c>
      <c r="N196"/>
      <c r="O196"/>
      <c r="P196"/>
      <c r="Q196">
        <v>11</v>
      </c>
      <c r="R196"/>
      <c r="S196">
        <v>14.7</v>
      </c>
      <c r="T196">
        <v>10.25</v>
      </c>
      <c r="U196">
        <v>65</v>
      </c>
    </row>
    <row r="197" spans="11:33" x14ac:dyDescent="0.2">
      <c r="K197" s="10" t="s">
        <v>212</v>
      </c>
      <c r="L197" s="10" t="s">
        <v>376</v>
      </c>
      <c r="M197" s="10" t="b">
        <f t="shared" si="10"/>
        <v>0</v>
      </c>
      <c r="N197">
        <v>900</v>
      </c>
      <c r="O197">
        <v>900</v>
      </c>
      <c r="P197">
        <v>11.15</v>
      </c>
      <c r="Q197">
        <v>12.5</v>
      </c>
      <c r="R197"/>
      <c r="S197">
        <v>47</v>
      </c>
      <c r="T197">
        <v>29.3</v>
      </c>
      <c r="U197">
        <v>57</v>
      </c>
    </row>
    <row r="198" spans="11:33" x14ac:dyDescent="0.2">
      <c r="K198" s="10" t="s">
        <v>212</v>
      </c>
      <c r="L198" s="10" t="s">
        <v>538</v>
      </c>
      <c r="M198" s="10" t="b">
        <f t="shared" si="10"/>
        <v>0</v>
      </c>
      <c r="N198"/>
      <c r="O198"/>
      <c r="P198"/>
      <c r="Q198">
        <v>23.5</v>
      </c>
      <c r="R198"/>
      <c r="S198">
        <v>8.1999999999999993</v>
      </c>
      <c r="T198">
        <v>7.15</v>
      </c>
      <c r="U198">
        <v>56.5</v>
      </c>
    </row>
    <row r="199" spans="11:33" x14ac:dyDescent="0.2">
      <c r="K199" s="10" t="s">
        <v>212</v>
      </c>
      <c r="L199" s="10" t="s">
        <v>539</v>
      </c>
      <c r="M199" s="10" t="b">
        <f t="shared" si="10"/>
        <v>0</v>
      </c>
      <c r="N199"/>
      <c r="O199"/>
      <c r="P199">
        <v>12.9</v>
      </c>
      <c r="Q199">
        <v>12</v>
      </c>
      <c r="R199"/>
      <c r="S199">
        <v>47</v>
      </c>
      <c r="T199">
        <v>29.3</v>
      </c>
      <c r="U199">
        <v>57</v>
      </c>
    </row>
    <row r="200" spans="11:33" x14ac:dyDescent="0.2">
      <c r="K200" s="10" t="s">
        <v>212</v>
      </c>
      <c r="L200" s="10" t="s">
        <v>540</v>
      </c>
      <c r="M200" s="10" t="b">
        <f t="shared" si="10"/>
        <v>0</v>
      </c>
      <c r="N200"/>
      <c r="O200"/>
      <c r="P200"/>
      <c r="Q200">
        <v>34.5</v>
      </c>
      <c r="R200"/>
      <c r="S200"/>
      <c r="T200"/>
      <c r="U200"/>
    </row>
    <row r="201" spans="11:33" x14ac:dyDescent="0.2">
      <c r="K201" s="10" t="s">
        <v>212</v>
      </c>
      <c r="L201" s="10" t="s">
        <v>541</v>
      </c>
      <c r="M201" s="10" t="b">
        <f t="shared" si="10"/>
        <v>0</v>
      </c>
      <c r="N201"/>
      <c r="O201"/>
      <c r="P201"/>
      <c r="Q201">
        <v>12.5</v>
      </c>
      <c r="R201"/>
      <c r="S201"/>
      <c r="T201"/>
      <c r="U201">
        <v>71.5</v>
      </c>
    </row>
    <row r="202" spans="11:33" x14ac:dyDescent="0.2">
      <c r="K202" s="10" t="s">
        <v>212</v>
      </c>
      <c r="L202" s="10" t="s">
        <v>443</v>
      </c>
      <c r="M202" s="10" t="b">
        <f t="shared" si="10"/>
        <v>0</v>
      </c>
      <c r="N202"/>
      <c r="O202"/>
      <c r="P202"/>
      <c r="Q202">
        <v>12.5</v>
      </c>
      <c r="R202"/>
      <c r="S202">
        <v>37.5</v>
      </c>
      <c r="T202">
        <v>34.799999999999997</v>
      </c>
      <c r="U202">
        <v>129.5</v>
      </c>
    </row>
    <row r="203" spans="11:33" x14ac:dyDescent="0.2">
      <c r="K203" s="10" t="s">
        <v>212</v>
      </c>
      <c r="L203" s="10" t="s">
        <v>281</v>
      </c>
      <c r="M203" s="10" t="b">
        <f t="shared" si="10"/>
        <v>0</v>
      </c>
      <c r="N203">
        <v>2380</v>
      </c>
      <c r="O203">
        <v>2380</v>
      </c>
      <c r="P203">
        <v>18</v>
      </c>
      <c r="Q203">
        <v>18</v>
      </c>
      <c r="R203"/>
      <c r="S203">
        <v>37.5</v>
      </c>
      <c r="T203">
        <v>34.799999999999997</v>
      </c>
      <c r="U203">
        <v>83.5</v>
      </c>
    </row>
    <row r="204" spans="11:33" x14ac:dyDescent="0.2">
      <c r="K204" s="10" t="s">
        <v>212</v>
      </c>
      <c r="L204" s="10" t="s">
        <v>444</v>
      </c>
      <c r="M204" s="10" t="b">
        <f t="shared" si="10"/>
        <v>0</v>
      </c>
      <c r="N204"/>
      <c r="O204"/>
      <c r="P204"/>
      <c r="Q204">
        <v>12.5</v>
      </c>
      <c r="R204"/>
      <c r="S204">
        <v>37.5</v>
      </c>
      <c r="T204">
        <v>34.799999999999997</v>
      </c>
      <c r="U204">
        <v>129.5</v>
      </c>
    </row>
    <row r="205" spans="11:33" x14ac:dyDescent="0.2">
      <c r="K205" s="10" t="s">
        <v>212</v>
      </c>
      <c r="L205" s="10" t="s">
        <v>445</v>
      </c>
      <c r="M205" s="10" t="b">
        <f t="shared" si="10"/>
        <v>0</v>
      </c>
      <c r="N205"/>
      <c r="O205"/>
      <c r="P205"/>
      <c r="Q205">
        <v>9</v>
      </c>
      <c r="R205"/>
      <c r="S205"/>
      <c r="T205"/>
      <c r="U205"/>
    </row>
    <row r="206" spans="11:33" x14ac:dyDescent="0.2">
      <c r="K206" s="10" t="s">
        <v>212</v>
      </c>
      <c r="L206" s="10" t="s">
        <v>88</v>
      </c>
      <c r="M206" s="10" t="b">
        <f t="shared" si="10"/>
        <v>1</v>
      </c>
      <c r="N206">
        <v>325</v>
      </c>
      <c r="O206">
        <v>325</v>
      </c>
      <c r="P206">
        <v>27</v>
      </c>
      <c r="Q206">
        <v>1</v>
      </c>
      <c r="R206"/>
      <c r="S206">
        <v>20</v>
      </c>
      <c r="T206">
        <v>19.850000000000001</v>
      </c>
      <c r="U206">
        <v>148</v>
      </c>
    </row>
    <row r="207" spans="11:33" x14ac:dyDescent="0.2">
      <c r="K207" s="10" t="s">
        <v>212</v>
      </c>
      <c r="L207" s="10" t="s">
        <v>542</v>
      </c>
      <c r="M207" s="10" t="b">
        <f t="shared" si="10"/>
        <v>0</v>
      </c>
      <c r="N207"/>
      <c r="O207"/>
      <c r="P207"/>
      <c r="Q207">
        <v>2.5</v>
      </c>
      <c r="R207"/>
      <c r="S207">
        <v>27</v>
      </c>
      <c r="T207">
        <v>21</v>
      </c>
      <c r="U207"/>
    </row>
    <row r="208" spans="11:33" x14ac:dyDescent="0.2">
      <c r="K208" s="10" t="s">
        <v>212</v>
      </c>
      <c r="L208" s="10" t="s">
        <v>544</v>
      </c>
      <c r="M208" s="10" t="b">
        <f t="shared" si="10"/>
        <v>0</v>
      </c>
      <c r="N208"/>
      <c r="O208"/>
      <c r="P208"/>
      <c r="Q208">
        <v>7.85</v>
      </c>
      <c r="R208"/>
      <c r="S208">
        <v>18</v>
      </c>
      <c r="T208">
        <v>18</v>
      </c>
      <c r="U208">
        <v>66.8</v>
      </c>
    </row>
    <row r="209" spans="11:21" x14ac:dyDescent="0.2">
      <c r="K209" s="10" t="s">
        <v>212</v>
      </c>
      <c r="L209" s="10" t="s">
        <v>378</v>
      </c>
      <c r="M209" s="10" t="b">
        <f t="shared" si="10"/>
        <v>0</v>
      </c>
      <c r="N209">
        <v>25800</v>
      </c>
      <c r="O209">
        <v>25800</v>
      </c>
      <c r="P209">
        <v>37.200000000000003</v>
      </c>
      <c r="Q209">
        <v>91.5</v>
      </c>
      <c r="R209">
        <v>1</v>
      </c>
      <c r="S209">
        <v>50</v>
      </c>
      <c r="T209">
        <v>32.65</v>
      </c>
      <c r="U209"/>
    </row>
    <row r="210" spans="11:21" x14ac:dyDescent="0.2">
      <c r="K210" s="10" t="s">
        <v>212</v>
      </c>
      <c r="L210" s="10" t="s">
        <v>379</v>
      </c>
      <c r="M210" s="10" t="b">
        <f t="shared" si="10"/>
        <v>0</v>
      </c>
      <c r="N210">
        <v>9599</v>
      </c>
      <c r="O210">
        <v>9599</v>
      </c>
      <c r="P210">
        <v>23.1</v>
      </c>
      <c r="Q210">
        <v>16.5</v>
      </c>
      <c r="R210"/>
      <c r="S210"/>
      <c r="T210"/>
      <c r="U210"/>
    </row>
    <row r="211" spans="11:21" x14ac:dyDescent="0.2">
      <c r="K211" s="10" t="s">
        <v>212</v>
      </c>
      <c r="L211" s="10" t="s">
        <v>380</v>
      </c>
      <c r="M211" s="10" t="b">
        <f t="shared" si="10"/>
        <v>0</v>
      </c>
      <c r="N211">
        <v>14.3</v>
      </c>
      <c r="O211">
        <v>25800</v>
      </c>
      <c r="P211">
        <v>37.200000000000003</v>
      </c>
      <c r="Q211">
        <v>37.5</v>
      </c>
      <c r="R211">
        <v>1</v>
      </c>
      <c r="S211">
        <v>50</v>
      </c>
      <c r="T211">
        <v>25.3</v>
      </c>
      <c r="U211">
        <v>88</v>
      </c>
    </row>
    <row r="212" spans="11:21" x14ac:dyDescent="0.2">
      <c r="K212" s="10" t="s">
        <v>212</v>
      </c>
      <c r="L212" s="10" t="s">
        <v>84</v>
      </c>
      <c r="M212" s="10" t="b">
        <f t="shared" si="10"/>
        <v>1</v>
      </c>
      <c r="N212">
        <v>4500</v>
      </c>
      <c r="O212">
        <v>6380</v>
      </c>
      <c r="P212">
        <v>24.4</v>
      </c>
      <c r="Q212">
        <v>24</v>
      </c>
      <c r="R212"/>
      <c r="S212">
        <v>70</v>
      </c>
      <c r="T212">
        <v>39.4</v>
      </c>
      <c r="U212">
        <v>68.25</v>
      </c>
    </row>
    <row r="213" spans="11:21" x14ac:dyDescent="0.2">
      <c r="K213" s="10" t="s">
        <v>212</v>
      </c>
      <c r="L213" s="10" t="s">
        <v>382</v>
      </c>
      <c r="M213" s="10" t="b">
        <f t="shared" si="10"/>
        <v>0</v>
      </c>
      <c r="N213">
        <v>2013</v>
      </c>
      <c r="O213">
        <v>2013</v>
      </c>
      <c r="P213">
        <v>18.420000000000002</v>
      </c>
      <c r="Q213">
        <v>13.5</v>
      </c>
      <c r="R213"/>
      <c r="S213"/>
      <c r="T213"/>
      <c r="U213">
        <v>125</v>
      </c>
    </row>
    <row r="214" spans="11:21" x14ac:dyDescent="0.2">
      <c r="K214" s="10" t="s">
        <v>212</v>
      </c>
      <c r="L214" s="10" t="s">
        <v>209</v>
      </c>
      <c r="M214" s="10" t="b">
        <f t="shared" si="10"/>
        <v>0</v>
      </c>
      <c r="N214">
        <v>443.75</v>
      </c>
      <c r="O214">
        <v>366.8</v>
      </c>
      <c r="P214">
        <v>10.26</v>
      </c>
      <c r="Q214">
        <v>3.5</v>
      </c>
      <c r="R214">
        <v>1</v>
      </c>
      <c r="S214">
        <v>30</v>
      </c>
      <c r="T214">
        <v>30</v>
      </c>
      <c r="U214"/>
    </row>
    <row r="215" spans="11:21" x14ac:dyDescent="0.2">
      <c r="K215" s="10" t="s">
        <v>212</v>
      </c>
      <c r="L215" s="10" t="s">
        <v>210</v>
      </c>
      <c r="M215" s="10" t="b">
        <f t="shared" si="10"/>
        <v>0</v>
      </c>
      <c r="N215">
        <v>317.89999999999998</v>
      </c>
      <c r="O215"/>
      <c r="P215">
        <v>16.43</v>
      </c>
      <c r="Q215">
        <v>1</v>
      </c>
      <c r="R215">
        <v>1</v>
      </c>
      <c r="S215"/>
      <c r="T215"/>
      <c r="U215"/>
    </row>
    <row r="216" spans="11:21" x14ac:dyDescent="0.2">
      <c r="K216" s="10" t="s">
        <v>212</v>
      </c>
      <c r="L216" s="10" t="s">
        <v>211</v>
      </c>
      <c r="M216" s="10" t="b">
        <f t="shared" si="10"/>
        <v>0</v>
      </c>
      <c r="N216">
        <v>423</v>
      </c>
      <c r="O216">
        <v>423</v>
      </c>
      <c r="P216">
        <v>10.605</v>
      </c>
      <c r="Q216">
        <v>1.3769230770000001</v>
      </c>
      <c r="R216">
        <v>1</v>
      </c>
      <c r="S216"/>
      <c r="T216"/>
      <c r="U216"/>
    </row>
    <row r="217" spans="11:21" x14ac:dyDescent="0.2">
      <c r="K217" s="10" t="s">
        <v>212</v>
      </c>
      <c r="L217" s="10" t="s">
        <v>283</v>
      </c>
      <c r="M217" s="10" t="b">
        <f t="shared" si="10"/>
        <v>0</v>
      </c>
      <c r="N217">
        <v>324.10000000000002</v>
      </c>
      <c r="O217">
        <v>324.10000000000002</v>
      </c>
      <c r="P217">
        <v>8.6</v>
      </c>
      <c r="Q217">
        <v>4.5</v>
      </c>
      <c r="R217"/>
      <c r="S217"/>
      <c r="T217"/>
      <c r="U217">
        <v>180</v>
      </c>
    </row>
    <row r="218" spans="11:21" x14ac:dyDescent="0.2">
      <c r="K218" s="10" t="s">
        <v>212</v>
      </c>
      <c r="L218" s="10" t="s">
        <v>460</v>
      </c>
      <c r="M218" s="10" t="b">
        <f t="shared" si="10"/>
        <v>0</v>
      </c>
      <c r="N218">
        <v>3477</v>
      </c>
      <c r="O218">
        <v>3238.5</v>
      </c>
      <c r="P218">
        <v>11.9</v>
      </c>
      <c r="Q218">
        <v>12</v>
      </c>
      <c r="R218">
        <v>2</v>
      </c>
      <c r="S218">
        <v>4.3</v>
      </c>
      <c r="T218">
        <v>4.3</v>
      </c>
      <c r="U218">
        <v>72.5</v>
      </c>
    </row>
    <row r="219" spans="11:21" x14ac:dyDescent="0.2">
      <c r="K219" s="10" t="s">
        <v>212</v>
      </c>
      <c r="L219" s="10" t="s">
        <v>461</v>
      </c>
      <c r="M219" s="10" t="b">
        <f t="shared" si="10"/>
        <v>0</v>
      </c>
      <c r="N219">
        <v>2992</v>
      </c>
      <c r="O219">
        <v>2992</v>
      </c>
      <c r="P219">
        <v>12.095000000000001</v>
      </c>
      <c r="Q219">
        <v>16.8</v>
      </c>
      <c r="R219">
        <v>2</v>
      </c>
      <c r="S219">
        <v>44</v>
      </c>
      <c r="T219">
        <v>40.316666669999996</v>
      </c>
      <c r="U219">
        <v>83</v>
      </c>
    </row>
    <row r="220" spans="11:21" x14ac:dyDescent="0.2">
      <c r="K220" s="10" t="s">
        <v>212</v>
      </c>
      <c r="L220" s="10" t="s">
        <v>462</v>
      </c>
      <c r="M220" s="10" t="b">
        <f t="shared" si="10"/>
        <v>0</v>
      </c>
      <c r="N220">
        <v>2992</v>
      </c>
      <c r="O220">
        <v>2992</v>
      </c>
      <c r="P220">
        <v>12.095000000000001</v>
      </c>
      <c r="Q220">
        <v>15</v>
      </c>
      <c r="R220">
        <v>2</v>
      </c>
      <c r="S220">
        <v>44</v>
      </c>
      <c r="T220">
        <v>40.316666669999996</v>
      </c>
      <c r="U220">
        <v>83</v>
      </c>
    </row>
    <row r="221" spans="11:21" x14ac:dyDescent="0.2">
      <c r="K221" s="10" t="s">
        <v>212</v>
      </c>
      <c r="L221" s="10" t="s">
        <v>325</v>
      </c>
      <c r="M221" s="10" t="b">
        <f t="shared" si="10"/>
        <v>0</v>
      </c>
      <c r="N221">
        <v>3748.5</v>
      </c>
      <c r="O221">
        <v>3738.5</v>
      </c>
      <c r="P221">
        <v>11.065</v>
      </c>
      <c r="Q221">
        <v>14.5</v>
      </c>
      <c r="R221">
        <v>3</v>
      </c>
      <c r="S221">
        <v>26.1</v>
      </c>
      <c r="T221">
        <v>15.8</v>
      </c>
      <c r="U221">
        <v>72.5</v>
      </c>
    </row>
    <row r="222" spans="11:21" x14ac:dyDescent="0.2">
      <c r="K222" s="10" t="s">
        <v>212</v>
      </c>
      <c r="L222" s="10" t="s">
        <v>463</v>
      </c>
      <c r="M222" s="10" t="b">
        <f t="shared" si="10"/>
        <v>0</v>
      </c>
      <c r="N222">
        <v>3065.5</v>
      </c>
      <c r="O222">
        <v>3065.5</v>
      </c>
      <c r="P222">
        <v>12.29</v>
      </c>
      <c r="Q222">
        <v>15</v>
      </c>
      <c r="R222">
        <v>2</v>
      </c>
      <c r="S222">
        <v>12.5</v>
      </c>
      <c r="T222">
        <v>12.5</v>
      </c>
      <c r="U222">
        <v>90</v>
      </c>
    </row>
    <row r="223" spans="11:21" x14ac:dyDescent="0.2">
      <c r="K223" s="10" t="s">
        <v>212</v>
      </c>
      <c r="L223" s="10" t="s">
        <v>326</v>
      </c>
      <c r="M223" s="10" t="b">
        <f t="shared" si="10"/>
        <v>0</v>
      </c>
      <c r="N223">
        <v>3477</v>
      </c>
      <c r="O223">
        <v>3238.5</v>
      </c>
      <c r="P223">
        <v>11.9</v>
      </c>
      <c r="Q223">
        <v>14.5</v>
      </c>
      <c r="R223">
        <v>2</v>
      </c>
      <c r="S223">
        <v>4.3</v>
      </c>
      <c r="T223">
        <v>4.3</v>
      </c>
      <c r="U223">
        <v>72.5</v>
      </c>
    </row>
    <row r="224" spans="11:21" x14ac:dyDescent="0.2">
      <c r="K224" s="10" t="s">
        <v>212</v>
      </c>
      <c r="L224" s="10" t="s">
        <v>102</v>
      </c>
      <c r="M224" s="10" t="b">
        <f t="shared" si="10"/>
        <v>1</v>
      </c>
      <c r="N224">
        <v>2992</v>
      </c>
      <c r="O224">
        <v>2992</v>
      </c>
      <c r="P224">
        <v>12.095000000000001</v>
      </c>
      <c r="Q224">
        <v>13.25</v>
      </c>
      <c r="R224">
        <v>2</v>
      </c>
      <c r="S224">
        <v>44</v>
      </c>
      <c r="T224">
        <v>40.316666669999996</v>
      </c>
      <c r="U224">
        <v>83</v>
      </c>
    </row>
    <row r="225" spans="11:21" x14ac:dyDescent="0.2">
      <c r="K225" s="10" t="s">
        <v>212</v>
      </c>
      <c r="L225" s="10" t="s">
        <v>65</v>
      </c>
      <c r="M225" s="10" t="b">
        <f t="shared" si="10"/>
        <v>1</v>
      </c>
      <c r="N225">
        <v>301.2</v>
      </c>
      <c r="O225"/>
      <c r="P225">
        <v>13.46</v>
      </c>
      <c r="Q225">
        <v>1</v>
      </c>
      <c r="R225">
        <v>1</v>
      </c>
      <c r="S225"/>
      <c r="T225"/>
      <c r="U225">
        <v>235</v>
      </c>
    </row>
    <row r="226" spans="11:21" x14ac:dyDescent="0.2">
      <c r="K226" s="10" t="s">
        <v>212</v>
      </c>
      <c r="L226" s="10" t="s">
        <v>66</v>
      </c>
      <c r="M226" s="10" t="b">
        <f t="shared" si="10"/>
        <v>1</v>
      </c>
      <c r="N226">
        <v>573</v>
      </c>
      <c r="O226"/>
      <c r="P226">
        <v>17.75</v>
      </c>
      <c r="Q226">
        <v>1.165714286</v>
      </c>
      <c r="R226">
        <v>3</v>
      </c>
      <c r="S226"/>
      <c r="T226"/>
      <c r="U226">
        <v>295</v>
      </c>
    </row>
    <row r="227" spans="11:21" x14ac:dyDescent="0.2">
      <c r="K227" s="10" t="s">
        <v>212</v>
      </c>
      <c r="L227" s="10" t="s">
        <v>284</v>
      </c>
      <c r="M227" s="10" t="b">
        <f t="shared" si="10"/>
        <v>0</v>
      </c>
      <c r="N227">
        <v>1691</v>
      </c>
      <c r="O227">
        <v>1691</v>
      </c>
      <c r="P227">
        <v>7.5</v>
      </c>
      <c r="Q227">
        <v>18.8</v>
      </c>
      <c r="R227"/>
      <c r="S227"/>
      <c r="T227"/>
      <c r="U227">
        <v>47</v>
      </c>
    </row>
    <row r="228" spans="11:21" x14ac:dyDescent="0.2">
      <c r="K228" s="10" t="s">
        <v>212</v>
      </c>
      <c r="L228" s="10" t="s">
        <v>446</v>
      </c>
      <c r="M228" s="10" t="b">
        <f t="shared" si="10"/>
        <v>0</v>
      </c>
      <c r="N228"/>
      <c r="O228"/>
      <c r="P228"/>
      <c r="Q228">
        <v>7.5</v>
      </c>
      <c r="R228"/>
      <c r="S228"/>
      <c r="T228"/>
      <c r="U228"/>
    </row>
    <row r="229" spans="11:21" x14ac:dyDescent="0.2">
      <c r="K229" s="10" t="s">
        <v>212</v>
      </c>
      <c r="L229" s="10" t="s">
        <v>504</v>
      </c>
      <c r="M229" s="10" t="b">
        <f t="shared" si="10"/>
        <v>0</v>
      </c>
      <c r="N229"/>
      <c r="O229"/>
      <c r="P229"/>
      <c r="Q229">
        <v>1.5</v>
      </c>
      <c r="R229"/>
      <c r="S229"/>
      <c r="T229"/>
      <c r="U229"/>
    </row>
    <row r="230" spans="11:21" x14ac:dyDescent="0.2">
      <c r="K230" s="10" t="s">
        <v>212</v>
      </c>
      <c r="L230" s="10" t="s">
        <v>257</v>
      </c>
      <c r="M230" s="10" t="b">
        <f t="shared" si="10"/>
        <v>0</v>
      </c>
      <c r="N230">
        <v>731.5</v>
      </c>
      <c r="O230">
        <v>731.5</v>
      </c>
      <c r="P230">
        <v>39.549999999999997</v>
      </c>
      <c r="Q230">
        <v>1.5</v>
      </c>
      <c r="R230">
        <v>3.5</v>
      </c>
      <c r="S230">
        <v>19.3</v>
      </c>
      <c r="T230">
        <v>19.3</v>
      </c>
      <c r="U230">
        <v>68.5</v>
      </c>
    </row>
    <row r="231" spans="11:21" x14ac:dyDescent="0.2">
      <c r="K231" s="10" t="s">
        <v>212</v>
      </c>
      <c r="L231" s="10" t="s">
        <v>258</v>
      </c>
      <c r="M231" s="10" t="b">
        <f t="shared" si="10"/>
        <v>0</v>
      </c>
      <c r="N231">
        <v>1126</v>
      </c>
      <c r="O231">
        <v>1126</v>
      </c>
      <c r="P231">
        <v>47.2</v>
      </c>
      <c r="Q231">
        <v>2</v>
      </c>
      <c r="R231"/>
      <c r="S231">
        <v>5.8</v>
      </c>
      <c r="T231">
        <v>5.8</v>
      </c>
      <c r="U231">
        <v>90</v>
      </c>
    </row>
    <row r="232" spans="11:21" x14ac:dyDescent="0.2">
      <c r="K232" s="10" t="s">
        <v>212</v>
      </c>
      <c r="L232" s="10" t="s">
        <v>259</v>
      </c>
      <c r="M232" s="10" t="b">
        <f t="shared" si="10"/>
        <v>0</v>
      </c>
      <c r="N232">
        <v>946</v>
      </c>
      <c r="O232">
        <v>946</v>
      </c>
      <c r="P232">
        <v>15</v>
      </c>
      <c r="Q232">
        <v>3.1</v>
      </c>
      <c r="R232"/>
      <c r="S232"/>
      <c r="T232"/>
      <c r="U232"/>
    </row>
    <row r="233" spans="11:21" x14ac:dyDescent="0.2">
      <c r="K233" s="10" t="s">
        <v>212</v>
      </c>
      <c r="L233" s="10" t="s">
        <v>505</v>
      </c>
      <c r="M233" s="10" t="b">
        <f t="shared" si="10"/>
        <v>0</v>
      </c>
      <c r="N233">
        <v>2700</v>
      </c>
      <c r="O233">
        <v>2700</v>
      </c>
      <c r="P233">
        <v>37.4</v>
      </c>
      <c r="Q233">
        <v>2</v>
      </c>
      <c r="R233"/>
      <c r="S233">
        <v>5.8</v>
      </c>
      <c r="T233">
        <v>5.8</v>
      </c>
      <c r="U233">
        <v>86.5</v>
      </c>
    </row>
    <row r="234" spans="11:21" x14ac:dyDescent="0.2">
      <c r="K234" s="10" t="s">
        <v>212</v>
      </c>
      <c r="L234" s="10" t="s">
        <v>261</v>
      </c>
      <c r="M234" s="10" t="b">
        <f t="shared" si="10"/>
        <v>0</v>
      </c>
      <c r="N234">
        <v>1284</v>
      </c>
      <c r="O234">
        <v>1284</v>
      </c>
      <c r="P234">
        <v>52.7</v>
      </c>
      <c r="Q234">
        <v>1</v>
      </c>
      <c r="R234"/>
      <c r="S234"/>
      <c r="T234"/>
      <c r="U234"/>
    </row>
    <row r="235" spans="11:21" x14ac:dyDescent="0.2">
      <c r="K235" s="10" t="s">
        <v>212</v>
      </c>
      <c r="L235" s="10" t="s">
        <v>506</v>
      </c>
      <c r="M235" s="10" t="b">
        <f t="shared" si="10"/>
        <v>0</v>
      </c>
      <c r="N235"/>
      <c r="O235"/>
      <c r="P235"/>
      <c r="Q235">
        <v>3</v>
      </c>
      <c r="R235"/>
      <c r="S235">
        <v>20.399999999999999</v>
      </c>
      <c r="T235">
        <v>20.399999999999999</v>
      </c>
      <c r="U235">
        <v>123.5</v>
      </c>
    </row>
    <row r="236" spans="11:21" x14ac:dyDescent="0.2">
      <c r="K236" s="10" t="s">
        <v>212</v>
      </c>
      <c r="L236" s="10" t="s">
        <v>507</v>
      </c>
      <c r="M236" s="10" t="b">
        <f t="shared" si="10"/>
        <v>0</v>
      </c>
      <c r="N236"/>
      <c r="O236"/>
      <c r="P236"/>
      <c r="Q236">
        <v>1.5</v>
      </c>
      <c r="R236"/>
      <c r="S236">
        <v>5.8</v>
      </c>
      <c r="T236">
        <v>5.8</v>
      </c>
      <c r="U236">
        <v>90</v>
      </c>
    </row>
    <row r="237" spans="11:21" x14ac:dyDescent="0.2">
      <c r="K237" s="10" t="s">
        <v>212</v>
      </c>
      <c r="L237" s="10" t="s">
        <v>508</v>
      </c>
      <c r="M237" s="10" t="b">
        <f t="shared" si="10"/>
        <v>0</v>
      </c>
      <c r="N237"/>
      <c r="O237"/>
      <c r="P237"/>
      <c r="Q237">
        <v>1.5</v>
      </c>
      <c r="R237"/>
      <c r="S237">
        <v>11.8</v>
      </c>
      <c r="T237">
        <v>11.8</v>
      </c>
      <c r="U237">
        <v>84</v>
      </c>
    </row>
    <row r="238" spans="11:21" x14ac:dyDescent="0.2">
      <c r="K238" s="10" t="s">
        <v>212</v>
      </c>
      <c r="L238" s="10" t="s">
        <v>509</v>
      </c>
      <c r="M238" s="10" t="b">
        <f t="shared" si="10"/>
        <v>0</v>
      </c>
      <c r="N238"/>
      <c r="O238"/>
      <c r="P238"/>
      <c r="Q238">
        <v>3.5</v>
      </c>
      <c r="R238"/>
      <c r="S238">
        <v>27.3</v>
      </c>
      <c r="T238">
        <v>27.3</v>
      </c>
      <c r="U238">
        <v>72</v>
      </c>
    </row>
    <row r="239" spans="11:21" x14ac:dyDescent="0.2">
      <c r="K239" s="10" t="s">
        <v>212</v>
      </c>
      <c r="L239" s="10" t="s">
        <v>510</v>
      </c>
      <c r="M239" s="10" t="b">
        <f t="shared" si="10"/>
        <v>0</v>
      </c>
      <c r="N239"/>
      <c r="O239"/>
      <c r="P239"/>
      <c r="Q239">
        <v>2</v>
      </c>
      <c r="R239"/>
      <c r="S239"/>
      <c r="T239"/>
      <c r="U239">
        <v>73</v>
      </c>
    </row>
    <row r="240" spans="11:21" x14ac:dyDescent="0.2">
      <c r="K240" s="10" t="s">
        <v>212</v>
      </c>
      <c r="L240" s="10" t="s">
        <v>49</v>
      </c>
      <c r="M240" s="10" t="b">
        <f t="shared" si="10"/>
        <v>1</v>
      </c>
      <c r="N240">
        <v>940</v>
      </c>
      <c r="O240">
        <v>940</v>
      </c>
      <c r="P240">
        <v>19.2</v>
      </c>
      <c r="Q240">
        <v>1.3</v>
      </c>
      <c r="R240"/>
      <c r="S240">
        <v>16.7</v>
      </c>
      <c r="T240">
        <v>16.7</v>
      </c>
      <c r="U240">
        <v>71.900000000000006</v>
      </c>
    </row>
    <row r="241" spans="11:21" x14ac:dyDescent="0.2">
      <c r="K241" s="10" t="s">
        <v>212</v>
      </c>
      <c r="L241" s="10" t="s">
        <v>373</v>
      </c>
      <c r="M241" s="10" t="b">
        <f t="shared" si="10"/>
        <v>0</v>
      </c>
      <c r="N241">
        <v>900</v>
      </c>
      <c r="O241">
        <v>900</v>
      </c>
      <c r="P241">
        <v>10.57</v>
      </c>
      <c r="Q241">
        <v>5.36</v>
      </c>
      <c r="R241"/>
      <c r="S241">
        <v>26.3</v>
      </c>
      <c r="T241">
        <v>19</v>
      </c>
      <c r="U241">
        <v>163.5</v>
      </c>
    </row>
    <row r="242" spans="11:21" x14ac:dyDescent="0.2">
      <c r="K242" s="10" t="s">
        <v>212</v>
      </c>
      <c r="L242" s="10" t="s">
        <v>529</v>
      </c>
      <c r="M242" s="10" t="b">
        <f t="shared" si="10"/>
        <v>0</v>
      </c>
      <c r="N242">
        <v>4200</v>
      </c>
      <c r="O242">
        <v>4200</v>
      </c>
      <c r="P242">
        <v>16.239999999999998</v>
      </c>
      <c r="Q242">
        <v>10</v>
      </c>
      <c r="R242"/>
      <c r="S242">
        <v>33.5</v>
      </c>
      <c r="T242">
        <v>26.65</v>
      </c>
      <c r="U242">
        <v>114</v>
      </c>
    </row>
    <row r="243" spans="11:21" x14ac:dyDescent="0.2">
      <c r="K243" s="10" t="s">
        <v>212</v>
      </c>
      <c r="L243" s="10" t="s">
        <v>530</v>
      </c>
      <c r="M243" s="10" t="b">
        <f t="shared" si="10"/>
        <v>0</v>
      </c>
      <c r="N243">
        <v>248</v>
      </c>
      <c r="O243">
        <v>248</v>
      </c>
      <c r="P243">
        <v>5.78</v>
      </c>
      <c r="Q243">
        <v>4.2</v>
      </c>
      <c r="R243">
        <v>2.5</v>
      </c>
      <c r="S243">
        <v>29.3</v>
      </c>
      <c r="T243">
        <v>21.4</v>
      </c>
      <c r="U243">
        <v>109</v>
      </c>
    </row>
    <row r="244" spans="11:21" x14ac:dyDescent="0.2">
      <c r="K244" s="10" t="s">
        <v>212</v>
      </c>
      <c r="L244" s="10" t="s">
        <v>531</v>
      </c>
      <c r="M244" s="10" t="b">
        <f t="shared" si="10"/>
        <v>0</v>
      </c>
      <c r="N244">
        <v>144</v>
      </c>
      <c r="O244">
        <v>144</v>
      </c>
      <c r="P244">
        <v>5.27</v>
      </c>
      <c r="Q244">
        <v>2.73</v>
      </c>
      <c r="R244">
        <v>3</v>
      </c>
      <c r="S244">
        <v>60</v>
      </c>
      <c r="T244">
        <v>23.9</v>
      </c>
      <c r="U244">
        <v>106</v>
      </c>
    </row>
    <row r="245" spans="11:21" x14ac:dyDescent="0.2">
      <c r="K245" s="10" t="s">
        <v>212</v>
      </c>
      <c r="L245" s="10" t="s">
        <v>532</v>
      </c>
      <c r="M245" s="10" t="b">
        <f t="shared" si="10"/>
        <v>0</v>
      </c>
      <c r="N245">
        <v>154.5</v>
      </c>
      <c r="O245">
        <v>154.5</v>
      </c>
      <c r="P245">
        <v>5.2350000000000003</v>
      </c>
      <c r="Q245">
        <v>3</v>
      </c>
      <c r="R245">
        <v>3</v>
      </c>
      <c r="S245">
        <v>23.9</v>
      </c>
      <c r="T245">
        <v>23.9</v>
      </c>
      <c r="U245">
        <v>106</v>
      </c>
    </row>
    <row r="246" spans="11:21" x14ac:dyDescent="0.2">
      <c r="K246" s="10" t="s">
        <v>212</v>
      </c>
      <c r="L246" s="10" t="s">
        <v>77</v>
      </c>
      <c r="M246" s="10" t="b">
        <f t="shared" si="10"/>
        <v>1</v>
      </c>
      <c r="N246">
        <v>137.9</v>
      </c>
      <c r="O246">
        <v>137.9</v>
      </c>
      <c r="P246">
        <v>3.35</v>
      </c>
      <c r="Q246">
        <v>3.0249999999999999</v>
      </c>
      <c r="R246">
        <v>3.5</v>
      </c>
      <c r="S246">
        <v>54.908333329999998</v>
      </c>
      <c r="T246">
        <v>54.8</v>
      </c>
      <c r="U246">
        <v>62</v>
      </c>
    </row>
    <row r="247" spans="11:21" x14ac:dyDescent="0.2">
      <c r="K247" s="10" t="s">
        <v>212</v>
      </c>
      <c r="L247" s="10" t="s">
        <v>63</v>
      </c>
      <c r="M247" s="10" t="b">
        <f t="shared" si="10"/>
        <v>1</v>
      </c>
      <c r="N247">
        <v>20000</v>
      </c>
      <c r="O247">
        <v>20000</v>
      </c>
      <c r="P247">
        <v>59.58</v>
      </c>
      <c r="Q247">
        <v>8.67</v>
      </c>
      <c r="R247"/>
      <c r="S247">
        <v>100</v>
      </c>
      <c r="T247">
        <v>30</v>
      </c>
      <c r="U247">
        <v>160</v>
      </c>
    </row>
    <row r="248" spans="11:21" x14ac:dyDescent="0.2">
      <c r="K248" s="10" t="s">
        <v>212</v>
      </c>
      <c r="L248" s="10" t="s">
        <v>464</v>
      </c>
      <c r="M248" s="10" t="b">
        <f t="shared" si="10"/>
        <v>0</v>
      </c>
      <c r="N248">
        <v>372</v>
      </c>
      <c r="O248">
        <v>372</v>
      </c>
      <c r="P248">
        <v>9.91</v>
      </c>
      <c r="Q248">
        <v>4</v>
      </c>
      <c r="R248">
        <v>1</v>
      </c>
      <c r="S248">
        <v>138</v>
      </c>
      <c r="T248">
        <v>50</v>
      </c>
      <c r="U248">
        <v>55</v>
      </c>
    </row>
    <row r="249" spans="11:21" x14ac:dyDescent="0.2">
      <c r="K249" s="10" t="s">
        <v>212</v>
      </c>
      <c r="L249" s="10" t="s">
        <v>330</v>
      </c>
      <c r="M249" s="10" t="b">
        <f t="shared" si="10"/>
        <v>0</v>
      </c>
      <c r="N249">
        <v>259.8</v>
      </c>
      <c r="O249">
        <v>259.8</v>
      </c>
      <c r="P249">
        <v>5.68</v>
      </c>
      <c r="Q249">
        <v>3.8</v>
      </c>
      <c r="R249">
        <v>2</v>
      </c>
      <c r="S249">
        <v>18.8</v>
      </c>
      <c r="T249">
        <v>18.8</v>
      </c>
      <c r="U249">
        <v>52</v>
      </c>
    </row>
    <row r="250" spans="11:21" x14ac:dyDescent="0.2">
      <c r="K250" s="10" t="s">
        <v>212</v>
      </c>
      <c r="L250" s="10" t="s">
        <v>465</v>
      </c>
      <c r="M250" s="10" t="b">
        <f t="shared" si="10"/>
        <v>0</v>
      </c>
      <c r="N250">
        <v>855.5</v>
      </c>
      <c r="O250">
        <v>372</v>
      </c>
      <c r="P250">
        <v>9.91</v>
      </c>
      <c r="Q250">
        <v>4</v>
      </c>
      <c r="R250">
        <v>1</v>
      </c>
      <c r="S250">
        <v>138</v>
      </c>
      <c r="T250">
        <v>50</v>
      </c>
      <c r="U250">
        <v>55</v>
      </c>
    </row>
    <row r="251" spans="11:21" x14ac:dyDescent="0.2">
      <c r="K251" s="10" t="s">
        <v>212</v>
      </c>
      <c r="L251" s="10" t="s">
        <v>331</v>
      </c>
      <c r="M251" s="10" t="b">
        <f t="shared" si="10"/>
        <v>0</v>
      </c>
      <c r="N251">
        <v>372</v>
      </c>
      <c r="O251">
        <v>372</v>
      </c>
      <c r="P251">
        <v>18.46</v>
      </c>
      <c r="Q251">
        <v>2.7</v>
      </c>
      <c r="R251"/>
      <c r="S251">
        <v>24.9</v>
      </c>
      <c r="T251">
        <v>24.9</v>
      </c>
      <c r="U251"/>
    </row>
    <row r="252" spans="11:21" x14ac:dyDescent="0.2">
      <c r="K252" s="10" t="s">
        <v>212</v>
      </c>
      <c r="L252" s="10" t="s">
        <v>103</v>
      </c>
      <c r="M252" s="10" t="b">
        <f t="shared" si="10"/>
        <v>1</v>
      </c>
      <c r="N252">
        <v>394.5</v>
      </c>
      <c r="O252">
        <v>391</v>
      </c>
      <c r="P252">
        <v>10.295</v>
      </c>
      <c r="Q252">
        <v>4</v>
      </c>
      <c r="R252">
        <v>1.5</v>
      </c>
      <c r="S252">
        <v>80</v>
      </c>
      <c r="T252">
        <v>31</v>
      </c>
      <c r="U252">
        <v>60</v>
      </c>
    </row>
    <row r="253" spans="11:21" x14ac:dyDescent="0.2">
      <c r="K253" s="10" t="s">
        <v>212</v>
      </c>
      <c r="L253" s="10" t="s">
        <v>56</v>
      </c>
      <c r="M253" s="10" t="b">
        <f t="shared" si="10"/>
        <v>1</v>
      </c>
      <c r="N253">
        <v>1430</v>
      </c>
      <c r="O253">
        <v>1430</v>
      </c>
      <c r="P253">
        <v>14.2</v>
      </c>
      <c r="Q253">
        <v>5</v>
      </c>
      <c r="R253">
        <v>3.2009925560000001</v>
      </c>
      <c r="S253">
        <v>127</v>
      </c>
      <c r="T253">
        <v>127</v>
      </c>
      <c r="U253">
        <v>78</v>
      </c>
    </row>
    <row r="254" spans="11:21" x14ac:dyDescent="0.2">
      <c r="K254" s="10" t="s">
        <v>212</v>
      </c>
      <c r="L254" s="10" t="s">
        <v>116</v>
      </c>
      <c r="M254" s="10" t="b">
        <f t="shared" si="10"/>
        <v>1</v>
      </c>
      <c r="N254">
        <v>1249</v>
      </c>
      <c r="O254">
        <v>1280</v>
      </c>
      <c r="P254">
        <v>14.4</v>
      </c>
      <c r="Q254">
        <v>4.5</v>
      </c>
      <c r="R254">
        <v>1.666118421</v>
      </c>
      <c r="S254">
        <v>127</v>
      </c>
      <c r="T254">
        <v>40</v>
      </c>
      <c r="U254">
        <v>68</v>
      </c>
    </row>
    <row r="255" spans="11:21" x14ac:dyDescent="0.2">
      <c r="K255" s="10" t="s">
        <v>212</v>
      </c>
      <c r="L255" s="10" t="s">
        <v>57</v>
      </c>
      <c r="M255" s="10" t="b">
        <f t="shared" si="10"/>
        <v>1</v>
      </c>
      <c r="N255">
        <v>1018</v>
      </c>
      <c r="O255"/>
      <c r="P255">
        <v>17.75</v>
      </c>
      <c r="Q255">
        <v>4</v>
      </c>
      <c r="R255">
        <v>3</v>
      </c>
      <c r="S255"/>
      <c r="T255"/>
      <c r="U255">
        <v>75.5</v>
      </c>
    </row>
    <row r="256" spans="11:21" x14ac:dyDescent="0.2">
      <c r="K256" s="10" t="s">
        <v>212</v>
      </c>
      <c r="L256" s="10" t="s">
        <v>55</v>
      </c>
      <c r="M256" s="10" t="b">
        <f t="shared" si="10"/>
        <v>1</v>
      </c>
      <c r="N256">
        <v>440</v>
      </c>
      <c r="O256"/>
      <c r="P256">
        <v>11.2</v>
      </c>
      <c r="Q256">
        <v>1.6666666670000001</v>
      </c>
      <c r="R256">
        <v>3</v>
      </c>
      <c r="S256">
        <v>40</v>
      </c>
      <c r="T256">
        <v>28</v>
      </c>
      <c r="U256">
        <v>101</v>
      </c>
    </row>
    <row r="257" spans="11:21" x14ac:dyDescent="0.2">
      <c r="K257" s="10" t="s">
        <v>212</v>
      </c>
      <c r="L257" s="10" t="s">
        <v>54</v>
      </c>
      <c r="M257" s="10" t="b">
        <f t="shared" si="10"/>
        <v>1</v>
      </c>
      <c r="N257">
        <v>1918</v>
      </c>
      <c r="O257">
        <v>2080</v>
      </c>
      <c r="P257">
        <v>17.7</v>
      </c>
      <c r="Q257">
        <v>6.5</v>
      </c>
      <c r="R257">
        <v>2.3990963860000001</v>
      </c>
      <c r="S257">
        <v>21.2</v>
      </c>
      <c r="T257">
        <v>21.2</v>
      </c>
      <c r="U257">
        <v>79</v>
      </c>
    </row>
    <row r="258" spans="11:21" x14ac:dyDescent="0.2">
      <c r="K258" s="10" t="s">
        <v>212</v>
      </c>
      <c r="L258" s="10" t="s">
        <v>74</v>
      </c>
      <c r="M258" s="10" t="b">
        <f t="shared" ref="M258:M274" si="12">IF(ISERROR(VLOOKUP(L258,B$2:B$61,1,FALSE)),FALSE,TRUE)</f>
        <v>1</v>
      </c>
      <c r="N258">
        <v>1895</v>
      </c>
      <c r="O258">
        <v>1854</v>
      </c>
      <c r="P258">
        <v>11.44</v>
      </c>
      <c r="Q258">
        <v>9.6999999999999993</v>
      </c>
      <c r="R258">
        <v>2</v>
      </c>
      <c r="S258">
        <v>75</v>
      </c>
      <c r="T258">
        <v>27.625</v>
      </c>
      <c r="U258">
        <v>65.430000000000007</v>
      </c>
    </row>
    <row r="259" spans="11:21" x14ac:dyDescent="0.2">
      <c r="K259" s="10" t="s">
        <v>212</v>
      </c>
      <c r="L259" s="10" t="s">
        <v>332</v>
      </c>
      <c r="M259" s="10" t="b">
        <f t="shared" si="12"/>
        <v>0</v>
      </c>
      <c r="N259">
        <v>2522</v>
      </c>
      <c r="O259">
        <v>2522</v>
      </c>
      <c r="P259">
        <v>16</v>
      </c>
      <c r="Q259">
        <v>12</v>
      </c>
      <c r="R259"/>
      <c r="S259"/>
      <c r="T259"/>
      <c r="U259">
        <v>70.5</v>
      </c>
    </row>
    <row r="260" spans="11:21" x14ac:dyDescent="0.2">
      <c r="K260" s="10" t="s">
        <v>212</v>
      </c>
      <c r="L260" s="10" t="s">
        <v>333</v>
      </c>
      <c r="M260" s="10" t="b">
        <f t="shared" si="12"/>
        <v>0</v>
      </c>
      <c r="N260">
        <v>630.1</v>
      </c>
      <c r="O260">
        <v>630.1</v>
      </c>
      <c r="P260">
        <v>13.3</v>
      </c>
      <c r="Q260">
        <v>5</v>
      </c>
      <c r="R260"/>
      <c r="S260"/>
      <c r="T260"/>
      <c r="U260"/>
    </row>
    <row r="261" spans="11:21" x14ac:dyDescent="0.2">
      <c r="K261" s="10" t="s">
        <v>212</v>
      </c>
      <c r="L261" s="10" t="s">
        <v>334</v>
      </c>
      <c r="M261" s="10" t="b">
        <f t="shared" si="12"/>
        <v>0</v>
      </c>
      <c r="N261">
        <v>1895</v>
      </c>
      <c r="O261">
        <v>1854</v>
      </c>
      <c r="P261">
        <v>11.44</v>
      </c>
      <c r="Q261">
        <v>9.6999999999999993</v>
      </c>
      <c r="R261">
        <v>2</v>
      </c>
      <c r="S261">
        <v>75</v>
      </c>
      <c r="T261">
        <v>29.95</v>
      </c>
      <c r="U261">
        <v>67.930000000000007</v>
      </c>
    </row>
    <row r="262" spans="11:21" x14ac:dyDescent="0.2">
      <c r="K262" s="10" t="s">
        <v>212</v>
      </c>
      <c r="L262" s="10" t="s">
        <v>466</v>
      </c>
      <c r="M262" s="10" t="b">
        <f t="shared" si="12"/>
        <v>0</v>
      </c>
      <c r="N262">
        <v>1854</v>
      </c>
      <c r="O262">
        <v>1813</v>
      </c>
      <c r="P262">
        <v>11.1</v>
      </c>
      <c r="Q262">
        <v>9.35</v>
      </c>
      <c r="R262">
        <v>2</v>
      </c>
      <c r="S262">
        <v>75</v>
      </c>
      <c r="T262">
        <v>27.625</v>
      </c>
      <c r="U262">
        <v>65.430000000000007</v>
      </c>
    </row>
    <row r="263" spans="11:21" x14ac:dyDescent="0.2">
      <c r="K263" s="10" t="s">
        <v>212</v>
      </c>
      <c r="L263" s="10" t="s">
        <v>467</v>
      </c>
      <c r="M263" s="10" t="b">
        <f t="shared" si="12"/>
        <v>0</v>
      </c>
      <c r="N263">
        <v>1895</v>
      </c>
      <c r="O263">
        <v>1854</v>
      </c>
      <c r="P263">
        <v>11.44</v>
      </c>
      <c r="Q263">
        <v>9.85</v>
      </c>
      <c r="R263">
        <v>2</v>
      </c>
      <c r="S263">
        <v>75</v>
      </c>
      <c r="T263">
        <v>29.975000000000001</v>
      </c>
      <c r="U263">
        <v>60.43</v>
      </c>
    </row>
    <row r="264" spans="11:21" x14ac:dyDescent="0.2">
      <c r="K264" s="10" t="s">
        <v>212</v>
      </c>
      <c r="L264" s="10" t="s">
        <v>468</v>
      </c>
      <c r="M264" s="10" t="b">
        <f t="shared" si="12"/>
        <v>0</v>
      </c>
      <c r="N264">
        <v>1854</v>
      </c>
      <c r="O264">
        <v>1813</v>
      </c>
      <c r="P264">
        <v>11.1</v>
      </c>
      <c r="Q264">
        <v>9.35</v>
      </c>
      <c r="R264">
        <v>2</v>
      </c>
      <c r="S264">
        <v>75</v>
      </c>
      <c r="T264">
        <v>27.625</v>
      </c>
      <c r="U264">
        <v>65.430000000000007</v>
      </c>
    </row>
    <row r="265" spans="11:21" x14ac:dyDescent="0.2">
      <c r="K265" s="10" t="s">
        <v>212</v>
      </c>
      <c r="L265" s="10" t="s">
        <v>469</v>
      </c>
      <c r="M265" s="10" t="b">
        <f t="shared" si="12"/>
        <v>0</v>
      </c>
      <c r="N265">
        <v>1895</v>
      </c>
      <c r="O265">
        <v>1854</v>
      </c>
      <c r="P265">
        <v>11.44</v>
      </c>
      <c r="Q265">
        <v>9.85</v>
      </c>
      <c r="R265">
        <v>2</v>
      </c>
      <c r="S265">
        <v>75</v>
      </c>
      <c r="T265">
        <v>30</v>
      </c>
      <c r="U265">
        <v>67.930000000000007</v>
      </c>
    </row>
    <row r="266" spans="11:21" x14ac:dyDescent="0.2">
      <c r="K266" s="10" t="s">
        <v>212</v>
      </c>
      <c r="L266" s="10" t="s">
        <v>470</v>
      </c>
      <c r="M266" s="10" t="b">
        <f t="shared" si="12"/>
        <v>0</v>
      </c>
      <c r="N266">
        <v>1854</v>
      </c>
      <c r="O266">
        <v>1813</v>
      </c>
      <c r="P266">
        <v>11.1</v>
      </c>
      <c r="Q266">
        <v>8.4</v>
      </c>
      <c r="R266">
        <v>2</v>
      </c>
      <c r="S266">
        <v>75</v>
      </c>
      <c r="T266">
        <v>27.625</v>
      </c>
      <c r="U266">
        <v>60.43</v>
      </c>
    </row>
    <row r="267" spans="11:21" x14ac:dyDescent="0.2">
      <c r="K267" s="10" t="s">
        <v>212</v>
      </c>
      <c r="L267" s="10" t="s">
        <v>112</v>
      </c>
      <c r="M267" s="10" t="b">
        <f t="shared" si="12"/>
        <v>1</v>
      </c>
      <c r="N267">
        <v>1854</v>
      </c>
      <c r="O267">
        <v>1813</v>
      </c>
      <c r="P267">
        <v>11.1</v>
      </c>
      <c r="Q267">
        <v>8.4</v>
      </c>
      <c r="R267">
        <v>2</v>
      </c>
      <c r="S267">
        <v>75</v>
      </c>
      <c r="T267">
        <v>29.95</v>
      </c>
      <c r="U267">
        <v>67.930000000000007</v>
      </c>
    </row>
    <row r="268" spans="11:21" x14ac:dyDescent="0.2">
      <c r="K268" s="10" t="s">
        <v>212</v>
      </c>
      <c r="L268" s="10" t="s">
        <v>471</v>
      </c>
      <c r="M268" s="10" t="b">
        <f t="shared" si="12"/>
        <v>0</v>
      </c>
      <c r="N268"/>
      <c r="O268"/>
      <c r="P268"/>
      <c r="Q268">
        <v>8.5</v>
      </c>
      <c r="R268"/>
      <c r="S268">
        <v>8.1</v>
      </c>
      <c r="T268">
        <v>8.1</v>
      </c>
      <c r="U268">
        <v>68</v>
      </c>
    </row>
    <row r="269" spans="11:21" x14ac:dyDescent="0.2">
      <c r="K269" s="10" t="s">
        <v>212</v>
      </c>
      <c r="L269" s="10" t="s">
        <v>472</v>
      </c>
      <c r="M269" s="10" t="b">
        <f t="shared" si="12"/>
        <v>0</v>
      </c>
      <c r="N269">
        <v>1895</v>
      </c>
      <c r="O269">
        <v>1854</v>
      </c>
      <c r="P269">
        <v>11.44</v>
      </c>
      <c r="Q269">
        <v>9.85</v>
      </c>
      <c r="R269">
        <v>2</v>
      </c>
      <c r="S269">
        <v>75</v>
      </c>
      <c r="T269">
        <v>29.975000000000001</v>
      </c>
      <c r="U269">
        <v>60.43</v>
      </c>
    </row>
    <row r="270" spans="11:21" x14ac:dyDescent="0.2">
      <c r="K270" s="10" t="s">
        <v>212</v>
      </c>
      <c r="L270" s="10" t="s">
        <v>473</v>
      </c>
      <c r="M270" s="10" t="b">
        <f t="shared" si="12"/>
        <v>0</v>
      </c>
      <c r="N270"/>
      <c r="O270"/>
      <c r="P270"/>
      <c r="Q270">
        <v>4</v>
      </c>
      <c r="R270"/>
      <c r="S270"/>
      <c r="T270"/>
      <c r="U270">
        <v>91</v>
      </c>
    </row>
    <row r="271" spans="11:21" x14ac:dyDescent="0.2">
      <c r="K271" s="10" t="s">
        <v>212</v>
      </c>
      <c r="L271" s="10" t="s">
        <v>474</v>
      </c>
      <c r="M271" s="10" t="b">
        <f t="shared" si="12"/>
        <v>0</v>
      </c>
      <c r="N271">
        <v>1854</v>
      </c>
      <c r="O271">
        <v>1813</v>
      </c>
      <c r="P271">
        <v>11.1</v>
      </c>
      <c r="Q271">
        <v>9.35</v>
      </c>
      <c r="R271">
        <v>2</v>
      </c>
      <c r="S271">
        <v>75</v>
      </c>
      <c r="T271">
        <v>27.625</v>
      </c>
      <c r="U271">
        <v>65.430000000000007</v>
      </c>
    </row>
    <row r="272" spans="11:21" x14ac:dyDescent="0.2">
      <c r="K272" s="10" t="s">
        <v>212</v>
      </c>
      <c r="L272" s="10" t="s">
        <v>475</v>
      </c>
      <c r="M272" s="10" t="b">
        <f t="shared" si="12"/>
        <v>0</v>
      </c>
      <c r="N272">
        <v>1895</v>
      </c>
      <c r="O272">
        <v>1854</v>
      </c>
      <c r="P272">
        <v>11.44</v>
      </c>
      <c r="Q272">
        <v>9.6999999999999993</v>
      </c>
      <c r="R272">
        <v>2</v>
      </c>
      <c r="S272">
        <v>75</v>
      </c>
      <c r="T272">
        <v>29.95</v>
      </c>
      <c r="U272">
        <v>67.930000000000007</v>
      </c>
    </row>
    <row r="273" spans="11:21" x14ac:dyDescent="0.2">
      <c r="K273" s="10" t="s">
        <v>212</v>
      </c>
      <c r="L273" s="10" t="s">
        <v>411</v>
      </c>
      <c r="M273" s="10" t="b">
        <f t="shared" si="12"/>
        <v>0</v>
      </c>
      <c r="N273">
        <v>10818</v>
      </c>
      <c r="O273">
        <v>10818</v>
      </c>
      <c r="P273">
        <v>17.82</v>
      </c>
      <c r="Q273">
        <v>40</v>
      </c>
      <c r="R273"/>
      <c r="S273">
        <v>50.6</v>
      </c>
      <c r="T273">
        <v>37.9</v>
      </c>
      <c r="U273">
        <v>64.5</v>
      </c>
    </row>
    <row r="274" spans="11:21" x14ac:dyDescent="0.2">
      <c r="K274" s="10" t="s">
        <v>212</v>
      </c>
      <c r="L274" s="10" t="s">
        <v>511</v>
      </c>
      <c r="M274" s="10" t="b">
        <f t="shared" si="12"/>
        <v>0</v>
      </c>
      <c r="N274">
        <v>230</v>
      </c>
      <c r="O274">
        <v>230</v>
      </c>
      <c r="P274">
        <v>15.25</v>
      </c>
      <c r="Q274">
        <v>2</v>
      </c>
      <c r="R274"/>
      <c r="S274"/>
      <c r="T274"/>
      <c r="U274"/>
    </row>
    <row r="275" spans="11:21" x14ac:dyDescent="0.2">
      <c r="L275"/>
      <c r="M275"/>
    </row>
    <row r="276" spans="11:21" x14ac:dyDescent="0.2">
      <c r="L276"/>
      <c r="M276"/>
    </row>
    <row r="277" spans="11:21" x14ac:dyDescent="0.2">
      <c r="L277"/>
      <c r="M277"/>
    </row>
    <row r="278" spans="11:21" x14ac:dyDescent="0.2">
      <c r="L278"/>
      <c r="M278"/>
    </row>
    <row r="279" spans="11:21" x14ac:dyDescent="0.2">
      <c r="L279"/>
      <c r="M279"/>
    </row>
    <row r="280" spans="11:21" x14ac:dyDescent="0.2">
      <c r="L280"/>
      <c r="M280"/>
    </row>
    <row r="281" spans="11:21" x14ac:dyDescent="0.2">
      <c r="L281"/>
      <c r="M281"/>
    </row>
    <row r="282" spans="11:21" x14ac:dyDescent="0.2">
      <c r="L282"/>
      <c r="M282"/>
    </row>
    <row r="283" spans="11:21" x14ac:dyDescent="0.2">
      <c r="L283"/>
      <c r="M283"/>
    </row>
    <row r="284" spans="11:21" x14ac:dyDescent="0.2">
      <c r="L284"/>
      <c r="M284"/>
    </row>
    <row r="285" spans="11:21" x14ac:dyDescent="0.2">
      <c r="L285"/>
      <c r="M285"/>
    </row>
    <row r="286" spans="11:21" x14ac:dyDescent="0.2">
      <c r="L286"/>
      <c r="M286"/>
    </row>
    <row r="287" spans="11:21" x14ac:dyDescent="0.2">
      <c r="L287"/>
      <c r="M287"/>
    </row>
    <row r="288" spans="11:21" x14ac:dyDescent="0.2">
      <c r="L288"/>
      <c r="M288"/>
    </row>
    <row r="289" spans="12:13" x14ac:dyDescent="0.2">
      <c r="L289"/>
      <c r="M289"/>
    </row>
    <row r="290" spans="12:13" x14ac:dyDescent="0.2">
      <c r="L290"/>
      <c r="M290"/>
    </row>
    <row r="291" spans="12:13" x14ac:dyDescent="0.2">
      <c r="L291"/>
      <c r="M291"/>
    </row>
    <row r="292" spans="12:13" x14ac:dyDescent="0.2">
      <c r="L292"/>
      <c r="M292"/>
    </row>
    <row r="293" spans="12:13" x14ac:dyDescent="0.2">
      <c r="L293"/>
      <c r="M293"/>
    </row>
    <row r="294" spans="12:13" x14ac:dyDescent="0.2">
      <c r="L294"/>
      <c r="M294"/>
    </row>
    <row r="295" spans="12:13" x14ac:dyDescent="0.2">
      <c r="L295"/>
      <c r="M295"/>
    </row>
    <row r="296" spans="12:13" x14ac:dyDescent="0.2">
      <c r="L296"/>
      <c r="M296"/>
    </row>
    <row r="297" spans="12:13" x14ac:dyDescent="0.2">
      <c r="L297"/>
      <c r="M297"/>
    </row>
    <row r="298" spans="12:13" x14ac:dyDescent="0.2">
      <c r="L298"/>
      <c r="M298"/>
    </row>
    <row r="299" spans="12:13" x14ac:dyDescent="0.2">
      <c r="L299"/>
      <c r="M299"/>
    </row>
    <row r="300" spans="12:13" x14ac:dyDescent="0.2">
      <c r="L300"/>
      <c r="M300"/>
    </row>
    <row r="301" spans="12:13" x14ac:dyDescent="0.2">
      <c r="L301"/>
      <c r="M301"/>
    </row>
    <row r="302" spans="12:13" x14ac:dyDescent="0.2">
      <c r="L302"/>
      <c r="M302"/>
    </row>
    <row r="303" spans="12:13" x14ac:dyDescent="0.2">
      <c r="L303"/>
      <c r="M303"/>
    </row>
    <row r="304" spans="12:13" x14ac:dyDescent="0.2">
      <c r="L304"/>
      <c r="M304"/>
    </row>
    <row r="305" spans="12:13" x14ac:dyDescent="0.2">
      <c r="L305"/>
      <c r="M305"/>
    </row>
    <row r="306" spans="12:13" x14ac:dyDescent="0.2">
      <c r="L306"/>
      <c r="M306"/>
    </row>
    <row r="307" spans="12:13" x14ac:dyDescent="0.2">
      <c r="L307"/>
      <c r="M307"/>
    </row>
    <row r="308" spans="12:13" x14ac:dyDescent="0.2">
      <c r="L308"/>
      <c r="M308"/>
    </row>
    <row r="309" spans="12:13" x14ac:dyDescent="0.2">
      <c r="L309"/>
      <c r="M309"/>
    </row>
    <row r="310" spans="12:13" x14ac:dyDescent="0.2">
      <c r="L310"/>
      <c r="M310"/>
    </row>
    <row r="311" spans="12:13" x14ac:dyDescent="0.2">
      <c r="L311"/>
      <c r="M311"/>
    </row>
    <row r="312" spans="12:13" x14ac:dyDescent="0.2">
      <c r="L312"/>
      <c r="M312"/>
    </row>
    <row r="313" spans="12:13" x14ac:dyDescent="0.2">
      <c r="L313"/>
      <c r="M313"/>
    </row>
    <row r="314" spans="12:13" x14ac:dyDescent="0.2">
      <c r="L314"/>
      <c r="M314"/>
    </row>
    <row r="315" spans="12:13" x14ac:dyDescent="0.2">
      <c r="L315"/>
      <c r="M315"/>
    </row>
    <row r="316" spans="12:13" x14ac:dyDescent="0.2">
      <c r="L316"/>
      <c r="M316"/>
    </row>
    <row r="317" spans="12:13" x14ac:dyDescent="0.2">
      <c r="L317"/>
      <c r="M317"/>
    </row>
    <row r="318" spans="12:13" x14ac:dyDescent="0.2">
      <c r="L318"/>
      <c r="M318"/>
    </row>
    <row r="319" spans="12:13" x14ac:dyDescent="0.2">
      <c r="L319"/>
      <c r="M319"/>
    </row>
    <row r="320" spans="12:13" x14ac:dyDescent="0.2">
      <c r="L320"/>
      <c r="M320"/>
    </row>
    <row r="321" spans="12:13" x14ac:dyDescent="0.2">
      <c r="L321"/>
      <c r="M321"/>
    </row>
    <row r="322" spans="12:13" x14ac:dyDescent="0.2">
      <c r="L322"/>
      <c r="M322"/>
    </row>
    <row r="323" spans="12:13" x14ac:dyDescent="0.2">
      <c r="L323"/>
      <c r="M323"/>
    </row>
    <row r="324" spans="12:13" x14ac:dyDescent="0.2">
      <c r="L324"/>
      <c r="M324"/>
    </row>
    <row r="325" spans="12:13" x14ac:dyDescent="0.2">
      <c r="L325"/>
      <c r="M325"/>
    </row>
    <row r="326" spans="12:13" x14ac:dyDescent="0.2">
      <c r="L326"/>
      <c r="M326"/>
    </row>
    <row r="327" spans="12:13" x14ac:dyDescent="0.2">
      <c r="L327"/>
      <c r="M327"/>
    </row>
    <row r="328" spans="12:13" x14ac:dyDescent="0.2">
      <c r="L328"/>
      <c r="M328"/>
    </row>
    <row r="329" spans="12:13" x14ac:dyDescent="0.2">
      <c r="L329"/>
      <c r="M329"/>
    </row>
    <row r="330" spans="12:13" x14ac:dyDescent="0.2">
      <c r="L330"/>
      <c r="M330"/>
    </row>
    <row r="331" spans="12:13" x14ac:dyDescent="0.2">
      <c r="L331"/>
      <c r="M331"/>
    </row>
    <row r="332" spans="12:13" x14ac:dyDescent="0.2">
      <c r="L332"/>
      <c r="M332"/>
    </row>
  </sheetData>
  <autoFilter ref="K1:U274" xr:uid="{CAB8F8F6-6FC9-AF42-BDBB-DD4E5227B1FB}"/>
  <conditionalFormatting sqref="M2:M274">
    <cfRule type="containsText" dxfId="4" priority="3" operator="containsText" text="TRUE">
      <formula>NOT(ISERROR(SEARCH("TRUE",M2)))</formula>
    </cfRule>
  </conditionalFormatting>
  <conditionalFormatting sqref="Z2:Z194">
    <cfRule type="containsText" dxfId="3" priority="2" operator="containsText" text="TRUE">
      <formula>NOT(ISERROR(SEARCH("TRUE",Z2)))</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70D4-3BB6-C044-A63C-12EE090AA896}">
  <sheetPr filterMode="1"/>
  <dimension ref="A1:M1179"/>
  <sheetViews>
    <sheetView workbookViewId="0">
      <selection activeCell="H1190" sqref="H1190"/>
    </sheetView>
  </sheetViews>
  <sheetFormatPr baseColWidth="10" defaultRowHeight="16" x14ac:dyDescent="0.2"/>
  <cols>
    <col min="1" max="1" width="14.83203125" style="10" bestFit="1" customWidth="1"/>
    <col min="2" max="2" width="24.33203125" bestFit="1" customWidth="1"/>
    <col min="3" max="3" width="11.6640625" bestFit="1" customWidth="1"/>
    <col min="4" max="4" width="10" bestFit="1" customWidth="1"/>
    <col min="5" max="5" width="12.33203125" bestFit="1" customWidth="1"/>
    <col min="6" max="6" width="20" bestFit="1" customWidth="1"/>
    <col min="7" max="7" width="30.83203125" bestFit="1" customWidth="1"/>
    <col min="8" max="8" width="12.1640625" bestFit="1" customWidth="1"/>
    <col min="9" max="9" width="38.6640625" bestFit="1" customWidth="1"/>
    <col min="10" max="10" width="51.6640625" bestFit="1" customWidth="1"/>
    <col min="11" max="11" width="8.83203125" bestFit="1" customWidth="1"/>
    <col min="12" max="12" width="12.33203125" bestFit="1" customWidth="1"/>
    <col min="13" max="13" width="11.6640625" bestFit="1" customWidth="1"/>
  </cols>
  <sheetData>
    <row r="1" spans="1:13" x14ac:dyDescent="0.2">
      <c r="A1" s="22" t="s">
        <v>37</v>
      </c>
      <c r="B1" s="28" t="s">
        <v>0</v>
      </c>
      <c r="C1" s="28" t="s">
        <v>648</v>
      </c>
      <c r="D1" s="28" t="s">
        <v>649</v>
      </c>
      <c r="E1" s="22" t="s">
        <v>213</v>
      </c>
      <c r="F1" s="28" t="s">
        <v>650</v>
      </c>
      <c r="G1" s="28" t="s">
        <v>651</v>
      </c>
      <c r="H1" s="28" t="s">
        <v>652</v>
      </c>
      <c r="I1" s="28" t="s">
        <v>653</v>
      </c>
      <c r="J1" s="28" t="s">
        <v>654</v>
      </c>
      <c r="K1" s="28" t="s">
        <v>655</v>
      </c>
      <c r="L1" s="28" t="s">
        <v>656</v>
      </c>
      <c r="M1" s="28" t="s">
        <v>657</v>
      </c>
    </row>
    <row r="2" spans="1:13" hidden="1" x14ac:dyDescent="0.2">
      <c r="A2" s="10" t="s">
        <v>558</v>
      </c>
      <c r="B2" t="s">
        <v>176</v>
      </c>
      <c r="C2" t="s">
        <v>658</v>
      </c>
      <c r="D2" t="s">
        <v>659</v>
      </c>
      <c r="E2" s="10" t="b">
        <f>IF(ISERROR(VLOOKUP( LEFT(B2, LEN(B2) - IF(ISNUMBER(RIGHT(B2, 1) * 1), 1, 0)),metadata_testudines!B$1:B$60,1,FALSE)),FALSE,TRUE)</f>
        <v>0</v>
      </c>
      <c r="F2" t="s">
        <v>660</v>
      </c>
      <c r="G2" t="s">
        <v>661</v>
      </c>
      <c r="H2">
        <v>4.33</v>
      </c>
      <c r="I2" t="s">
        <v>662</v>
      </c>
      <c r="J2" t="s">
        <v>663</v>
      </c>
      <c r="K2" t="s">
        <v>647</v>
      </c>
      <c r="L2" t="s">
        <v>664</v>
      </c>
      <c r="M2" t="s">
        <v>664</v>
      </c>
    </row>
    <row r="3" spans="1:13" hidden="1" x14ac:dyDescent="0.2">
      <c r="A3" s="10" t="s">
        <v>558</v>
      </c>
      <c r="B3" t="s">
        <v>176</v>
      </c>
      <c r="C3" t="s">
        <v>658</v>
      </c>
      <c r="D3" t="s">
        <v>659</v>
      </c>
      <c r="E3" s="10" t="b">
        <f>IF(ISERROR(VLOOKUP( LEFT(B3, LEN(B3) - IF(ISNUMBER(RIGHT(B3, 1) * 1), 1, 0)),metadata_testudines!B$1:B$60,1,FALSE)),FALSE,TRUE)</f>
        <v>0</v>
      </c>
      <c r="F3" t="s">
        <v>660</v>
      </c>
      <c r="G3" t="s">
        <v>661</v>
      </c>
      <c r="H3">
        <v>1</v>
      </c>
      <c r="I3" t="s">
        <v>662</v>
      </c>
      <c r="J3" t="s">
        <v>663</v>
      </c>
      <c r="K3" t="s">
        <v>647</v>
      </c>
      <c r="L3" t="s">
        <v>664</v>
      </c>
      <c r="M3" t="s">
        <v>664</v>
      </c>
    </row>
    <row r="4" spans="1:13" hidden="1" x14ac:dyDescent="0.2">
      <c r="A4" s="10" t="s">
        <v>558</v>
      </c>
      <c r="B4" t="s">
        <v>176</v>
      </c>
      <c r="C4" t="s">
        <v>658</v>
      </c>
      <c r="D4" t="s">
        <v>659</v>
      </c>
      <c r="E4" s="10" t="b">
        <f>IF(ISERROR(VLOOKUP( LEFT(B4, LEN(B4) - IF(ISNUMBER(RIGHT(B4, 1) * 1), 1, 0)),metadata_testudines!B$1:B$60,1,FALSE)),FALSE,TRUE)</f>
        <v>0</v>
      </c>
      <c r="F4" t="s">
        <v>660</v>
      </c>
      <c r="G4" t="s">
        <v>661</v>
      </c>
      <c r="H4">
        <v>5</v>
      </c>
      <c r="I4" t="s">
        <v>662</v>
      </c>
      <c r="J4" t="s">
        <v>663</v>
      </c>
      <c r="K4" t="s">
        <v>647</v>
      </c>
      <c r="L4" t="s">
        <v>664</v>
      </c>
      <c r="M4" t="s">
        <v>664</v>
      </c>
    </row>
    <row r="5" spans="1:13" hidden="1" x14ac:dyDescent="0.2">
      <c r="A5" s="10" t="s">
        <v>558</v>
      </c>
      <c r="B5" t="s">
        <v>176</v>
      </c>
      <c r="C5" t="s">
        <v>658</v>
      </c>
      <c r="D5" t="s">
        <v>659</v>
      </c>
      <c r="E5" s="10" t="b">
        <f>IF(ISERROR(VLOOKUP( LEFT(B5, LEN(B5) - IF(ISNUMBER(RIGHT(B5, 1) * 1), 1, 0)),metadata_testudines!B$1:B$60,1,FALSE)),FALSE,TRUE)</f>
        <v>0</v>
      </c>
      <c r="F5" t="s">
        <v>660</v>
      </c>
      <c r="G5" t="s">
        <v>665</v>
      </c>
      <c r="H5">
        <v>1</v>
      </c>
      <c r="I5" t="s">
        <v>662</v>
      </c>
      <c r="J5" t="s">
        <v>663</v>
      </c>
      <c r="K5" t="s">
        <v>647</v>
      </c>
      <c r="L5" t="s">
        <v>664</v>
      </c>
      <c r="M5" t="s">
        <v>664</v>
      </c>
    </row>
    <row r="6" spans="1:13" hidden="1" x14ac:dyDescent="0.2">
      <c r="A6" s="10" t="s">
        <v>558</v>
      </c>
      <c r="B6" t="s">
        <v>176</v>
      </c>
      <c r="C6" t="s">
        <v>658</v>
      </c>
      <c r="D6" t="s">
        <v>659</v>
      </c>
      <c r="E6" s="10" t="b">
        <f>IF(ISERROR(VLOOKUP( LEFT(B6, LEN(B6) - IF(ISNUMBER(RIGHT(B6, 1) * 1), 1, 0)),metadata_testudines!B$1:B$60,1,FALSE)),FALSE,TRUE)</f>
        <v>0</v>
      </c>
      <c r="F6" t="s">
        <v>660</v>
      </c>
      <c r="G6" t="s">
        <v>666</v>
      </c>
      <c r="H6">
        <v>12.8</v>
      </c>
      <c r="I6" t="s">
        <v>667</v>
      </c>
      <c r="J6" t="s">
        <v>668</v>
      </c>
      <c r="K6" t="s">
        <v>647</v>
      </c>
      <c r="L6" t="s">
        <v>664</v>
      </c>
      <c r="M6" t="s">
        <v>664</v>
      </c>
    </row>
    <row r="7" spans="1:13" hidden="1" x14ac:dyDescent="0.2">
      <c r="A7" s="10" t="s">
        <v>558</v>
      </c>
      <c r="B7" t="s">
        <v>176</v>
      </c>
      <c r="C7" t="s">
        <v>658</v>
      </c>
      <c r="D7" t="s">
        <v>659</v>
      </c>
      <c r="E7" s="10" t="b">
        <f>IF(ISERROR(VLOOKUP( LEFT(B7, LEN(B7) - IF(ISNUMBER(RIGHT(B7, 1) * 1), 1, 0)),metadata_testudines!B$1:B$60,1,FALSE)),FALSE,TRUE)</f>
        <v>0</v>
      </c>
      <c r="F7" t="s">
        <v>660</v>
      </c>
      <c r="G7" t="s">
        <v>666</v>
      </c>
      <c r="H7">
        <v>32.799999999999997</v>
      </c>
      <c r="I7" t="s">
        <v>667</v>
      </c>
      <c r="J7" t="s">
        <v>668</v>
      </c>
      <c r="K7" t="s">
        <v>647</v>
      </c>
      <c r="L7" t="s">
        <v>664</v>
      </c>
      <c r="M7" t="s">
        <v>664</v>
      </c>
    </row>
    <row r="8" spans="1:13" hidden="1" x14ac:dyDescent="0.2">
      <c r="A8" s="10" t="s">
        <v>558</v>
      </c>
      <c r="B8" t="s">
        <v>176</v>
      </c>
      <c r="C8" t="s">
        <v>658</v>
      </c>
      <c r="D8" t="s">
        <v>659</v>
      </c>
      <c r="E8" s="10" t="b">
        <f>IF(ISERROR(VLOOKUP( LEFT(B8, LEN(B8) - IF(ISNUMBER(RIGHT(B8, 1) * 1), 1, 0)),metadata_testudines!B$1:B$60,1,FALSE)),FALSE,TRUE)</f>
        <v>0</v>
      </c>
      <c r="F8" t="s">
        <v>660</v>
      </c>
      <c r="G8" t="s">
        <v>665</v>
      </c>
      <c r="H8">
        <v>3</v>
      </c>
      <c r="I8" t="s">
        <v>662</v>
      </c>
      <c r="J8" t="s">
        <v>663</v>
      </c>
      <c r="K8" t="s">
        <v>647</v>
      </c>
      <c r="L8" t="s">
        <v>664</v>
      </c>
      <c r="M8" t="s">
        <v>664</v>
      </c>
    </row>
    <row r="9" spans="1:13" hidden="1" x14ac:dyDescent="0.2">
      <c r="A9" s="10" t="s">
        <v>558</v>
      </c>
      <c r="B9" t="s">
        <v>176</v>
      </c>
      <c r="C9" t="s">
        <v>658</v>
      </c>
      <c r="D9" t="s">
        <v>659</v>
      </c>
      <c r="E9" s="10" t="b">
        <f>IF(ISERROR(VLOOKUP( LEFT(B9, LEN(B9) - IF(ISNUMBER(RIGHT(B9, 1) * 1), 1, 0)),metadata_testudines!B$1:B$60,1,FALSE)),FALSE,TRUE)</f>
        <v>0</v>
      </c>
      <c r="F9" t="s">
        <v>660</v>
      </c>
      <c r="G9" t="s">
        <v>661</v>
      </c>
      <c r="H9">
        <v>12</v>
      </c>
      <c r="I9" t="s">
        <v>662</v>
      </c>
      <c r="J9" t="s">
        <v>663</v>
      </c>
      <c r="K9" t="s">
        <v>647</v>
      </c>
      <c r="L9" t="s">
        <v>664</v>
      </c>
      <c r="M9" t="s">
        <v>664</v>
      </c>
    </row>
    <row r="10" spans="1:13" hidden="1" x14ac:dyDescent="0.2">
      <c r="A10" s="10" t="s">
        <v>558</v>
      </c>
      <c r="B10" t="s">
        <v>176</v>
      </c>
      <c r="C10" t="s">
        <v>658</v>
      </c>
      <c r="D10" t="s">
        <v>659</v>
      </c>
      <c r="E10" s="10" t="b">
        <f>IF(ISERROR(VLOOKUP( LEFT(B10, LEN(B10) - IF(ISNUMBER(RIGHT(B10, 1) * 1), 1, 0)),metadata_testudines!B$1:B$60,1,FALSE)),FALSE,TRUE)</f>
        <v>0</v>
      </c>
      <c r="F10" t="s">
        <v>660</v>
      </c>
      <c r="G10" t="s">
        <v>661</v>
      </c>
      <c r="H10">
        <v>1</v>
      </c>
      <c r="I10" t="s">
        <v>662</v>
      </c>
      <c r="J10" t="s">
        <v>663</v>
      </c>
      <c r="K10" t="s">
        <v>647</v>
      </c>
      <c r="L10" t="s">
        <v>664</v>
      </c>
      <c r="M10" t="s">
        <v>664</v>
      </c>
    </row>
    <row r="11" spans="1:13" hidden="1" x14ac:dyDescent="0.2">
      <c r="A11" s="10" t="s">
        <v>558</v>
      </c>
      <c r="B11" t="s">
        <v>176</v>
      </c>
      <c r="C11" t="s">
        <v>658</v>
      </c>
      <c r="D11" t="s">
        <v>659</v>
      </c>
      <c r="E11" s="10" t="b">
        <f>IF(ISERROR(VLOOKUP( LEFT(B11, LEN(B11) - IF(ISNUMBER(RIGHT(B11, 1) * 1), 1, 0)),metadata_testudines!B$1:B$60,1,FALSE)),FALSE,TRUE)</f>
        <v>0</v>
      </c>
      <c r="F11" t="s">
        <v>660</v>
      </c>
      <c r="G11" t="s">
        <v>661</v>
      </c>
      <c r="H11">
        <v>60</v>
      </c>
      <c r="I11" t="s">
        <v>662</v>
      </c>
      <c r="J11" t="s">
        <v>663</v>
      </c>
      <c r="K11" t="s">
        <v>647</v>
      </c>
      <c r="L11" t="s">
        <v>664</v>
      </c>
      <c r="M11" t="s">
        <v>664</v>
      </c>
    </row>
    <row r="12" spans="1:13" hidden="1" x14ac:dyDescent="0.2">
      <c r="A12" s="10" t="s">
        <v>558</v>
      </c>
      <c r="B12" t="s">
        <v>176</v>
      </c>
      <c r="C12" t="s">
        <v>658</v>
      </c>
      <c r="D12" t="s">
        <v>659</v>
      </c>
      <c r="E12" s="10" t="b">
        <f>IF(ISERROR(VLOOKUP( LEFT(B12, LEN(B12) - IF(ISNUMBER(RIGHT(B12, 1) * 1), 1, 0)),metadata_testudines!B$1:B$60,1,FALSE)),FALSE,TRUE)</f>
        <v>0</v>
      </c>
      <c r="F12" t="s">
        <v>660</v>
      </c>
      <c r="G12" t="s">
        <v>669</v>
      </c>
      <c r="H12">
        <v>5844</v>
      </c>
      <c r="I12" t="s">
        <v>662</v>
      </c>
      <c r="J12" t="s">
        <v>670</v>
      </c>
      <c r="K12" t="s">
        <v>647</v>
      </c>
      <c r="L12" t="s">
        <v>647</v>
      </c>
      <c r="M12" t="s">
        <v>664</v>
      </c>
    </row>
    <row r="13" spans="1:13" hidden="1" x14ac:dyDescent="0.2">
      <c r="A13" s="10" t="s">
        <v>558</v>
      </c>
      <c r="B13" t="s">
        <v>176</v>
      </c>
      <c r="C13" t="s">
        <v>658</v>
      </c>
      <c r="D13" t="s">
        <v>659</v>
      </c>
      <c r="E13" s="10" t="b">
        <f>IF(ISERROR(VLOOKUP( LEFT(B13, LEN(B13) - IF(ISNUMBER(RIGHT(B13, 1) * 1), 1, 0)),metadata_testudines!B$1:B$60,1,FALSE)),FALSE,TRUE)</f>
        <v>0</v>
      </c>
      <c r="F13" t="s">
        <v>660</v>
      </c>
      <c r="G13" t="s">
        <v>665</v>
      </c>
      <c r="H13">
        <v>3</v>
      </c>
      <c r="I13" t="s">
        <v>662</v>
      </c>
      <c r="J13" t="s">
        <v>663</v>
      </c>
      <c r="K13" t="s">
        <v>647</v>
      </c>
      <c r="L13" t="s">
        <v>664</v>
      </c>
      <c r="M13" t="s">
        <v>664</v>
      </c>
    </row>
    <row r="14" spans="1:13" hidden="1" x14ac:dyDescent="0.2">
      <c r="A14" s="10" t="s">
        <v>558</v>
      </c>
      <c r="B14" t="s">
        <v>176</v>
      </c>
      <c r="C14" t="s">
        <v>658</v>
      </c>
      <c r="D14" t="s">
        <v>659</v>
      </c>
      <c r="E14" s="10" t="b">
        <f>IF(ISERROR(VLOOKUP( LEFT(B14, LEN(B14) - IF(ISNUMBER(RIGHT(B14, 1) * 1), 1, 0)),metadata_testudines!B$1:B$60,1,FALSE)),FALSE,TRUE)</f>
        <v>0</v>
      </c>
      <c r="F14" t="s">
        <v>660</v>
      </c>
      <c r="G14" t="s">
        <v>661</v>
      </c>
      <c r="H14">
        <v>5</v>
      </c>
      <c r="I14" t="s">
        <v>662</v>
      </c>
      <c r="J14" t="s">
        <v>663</v>
      </c>
      <c r="K14" t="s">
        <v>647</v>
      </c>
      <c r="L14" t="s">
        <v>664</v>
      </c>
      <c r="M14" t="s">
        <v>664</v>
      </c>
    </row>
    <row r="15" spans="1:13" hidden="1" x14ac:dyDescent="0.2">
      <c r="A15" s="10" t="s">
        <v>558</v>
      </c>
      <c r="B15" t="s">
        <v>176</v>
      </c>
      <c r="C15" t="s">
        <v>658</v>
      </c>
      <c r="D15" t="s">
        <v>659</v>
      </c>
      <c r="E15" s="10" t="b">
        <f>IF(ISERROR(VLOOKUP( LEFT(B15, LEN(B15) - IF(ISNUMBER(RIGHT(B15, 1) * 1), 1, 0)),metadata_testudines!B$1:B$60,1,FALSE)),FALSE,TRUE)</f>
        <v>0</v>
      </c>
      <c r="F15" t="s">
        <v>660</v>
      </c>
      <c r="G15" t="s">
        <v>666</v>
      </c>
      <c r="H15">
        <v>99.833333330000002</v>
      </c>
      <c r="I15" t="s">
        <v>667</v>
      </c>
      <c r="J15" t="s">
        <v>668</v>
      </c>
      <c r="K15" t="s">
        <v>647</v>
      </c>
      <c r="L15" t="s">
        <v>664</v>
      </c>
      <c r="M15" t="s">
        <v>664</v>
      </c>
    </row>
    <row r="16" spans="1:13" hidden="1" x14ac:dyDescent="0.2">
      <c r="A16" s="10" t="s">
        <v>558</v>
      </c>
      <c r="B16" t="s">
        <v>176</v>
      </c>
      <c r="C16" t="s">
        <v>658</v>
      </c>
      <c r="D16" t="s">
        <v>659</v>
      </c>
      <c r="E16" s="10" t="b">
        <f>IF(ISERROR(VLOOKUP( LEFT(B16, LEN(B16) - IF(ISNUMBER(RIGHT(B16, 1) * 1), 1, 0)),metadata_testudines!B$1:B$60,1,FALSE)),FALSE,TRUE)</f>
        <v>0</v>
      </c>
      <c r="F16" t="s">
        <v>660</v>
      </c>
      <c r="G16" t="s">
        <v>661</v>
      </c>
      <c r="H16">
        <v>3</v>
      </c>
      <c r="I16" t="s">
        <v>662</v>
      </c>
      <c r="J16" t="s">
        <v>663</v>
      </c>
      <c r="K16" t="s">
        <v>647</v>
      </c>
      <c r="L16" t="s">
        <v>664</v>
      </c>
      <c r="M16" t="s">
        <v>664</v>
      </c>
    </row>
    <row r="17" spans="1:13" hidden="1" x14ac:dyDescent="0.2">
      <c r="A17" s="10" t="s">
        <v>558</v>
      </c>
      <c r="B17" t="s">
        <v>176</v>
      </c>
      <c r="C17" t="s">
        <v>658</v>
      </c>
      <c r="D17" t="s">
        <v>659</v>
      </c>
      <c r="E17" s="10" t="b">
        <f>IF(ISERROR(VLOOKUP( LEFT(B17, LEN(B17) - IF(ISNUMBER(RIGHT(B17, 1) * 1), 1, 0)),metadata_testudines!B$1:B$60,1,FALSE)),FALSE,TRUE)</f>
        <v>0</v>
      </c>
      <c r="F17" t="s">
        <v>660</v>
      </c>
      <c r="G17" t="s">
        <v>669</v>
      </c>
      <c r="H17">
        <v>7305</v>
      </c>
      <c r="I17" t="s">
        <v>662</v>
      </c>
      <c r="J17" t="s">
        <v>670</v>
      </c>
      <c r="K17" t="s">
        <v>647</v>
      </c>
      <c r="L17" t="s">
        <v>647</v>
      </c>
      <c r="M17" t="s">
        <v>664</v>
      </c>
    </row>
    <row r="18" spans="1:13" hidden="1" x14ac:dyDescent="0.2">
      <c r="A18" s="10" t="s">
        <v>558</v>
      </c>
      <c r="B18" t="s">
        <v>176</v>
      </c>
      <c r="C18" t="s">
        <v>658</v>
      </c>
      <c r="D18" t="s">
        <v>659</v>
      </c>
      <c r="E18" s="10" t="b">
        <f>IF(ISERROR(VLOOKUP( LEFT(B18, LEN(B18) - IF(ISNUMBER(RIGHT(B18, 1) * 1), 1, 0)),metadata_testudines!B$1:B$60,1,FALSE)),FALSE,TRUE)</f>
        <v>0</v>
      </c>
      <c r="F18" t="s">
        <v>660</v>
      </c>
      <c r="G18" t="s">
        <v>661</v>
      </c>
      <c r="H18">
        <v>1</v>
      </c>
      <c r="I18" t="s">
        <v>662</v>
      </c>
      <c r="J18" t="s">
        <v>663</v>
      </c>
      <c r="K18" t="s">
        <v>647</v>
      </c>
      <c r="L18" t="s">
        <v>664</v>
      </c>
      <c r="M18" t="s">
        <v>664</v>
      </c>
    </row>
    <row r="19" spans="1:13" hidden="1" x14ac:dyDescent="0.2">
      <c r="A19" s="10" t="s">
        <v>558</v>
      </c>
      <c r="B19" t="s">
        <v>176</v>
      </c>
      <c r="C19" t="s">
        <v>658</v>
      </c>
      <c r="D19" t="s">
        <v>659</v>
      </c>
      <c r="E19" s="10" t="b">
        <f>IF(ISERROR(VLOOKUP( LEFT(B19, LEN(B19) - IF(ISNUMBER(RIGHT(B19, 1) * 1), 1, 0)),metadata_testudines!B$1:B$60,1,FALSE)),FALSE,TRUE)</f>
        <v>0</v>
      </c>
      <c r="F19" t="s">
        <v>660</v>
      </c>
      <c r="G19" t="s">
        <v>661</v>
      </c>
      <c r="H19">
        <v>50</v>
      </c>
      <c r="I19" t="s">
        <v>662</v>
      </c>
      <c r="J19" t="s">
        <v>663</v>
      </c>
      <c r="K19" t="s">
        <v>647</v>
      </c>
      <c r="L19" t="s">
        <v>664</v>
      </c>
      <c r="M19" t="s">
        <v>664</v>
      </c>
    </row>
    <row r="20" spans="1:13" hidden="1" x14ac:dyDescent="0.2">
      <c r="A20" s="10" t="s">
        <v>558</v>
      </c>
      <c r="B20" t="s">
        <v>176</v>
      </c>
      <c r="C20" t="s">
        <v>658</v>
      </c>
      <c r="D20" t="s">
        <v>659</v>
      </c>
      <c r="E20" s="10" t="b">
        <f>IF(ISERROR(VLOOKUP( LEFT(B20, LEN(B20) - IF(ISNUMBER(RIGHT(B20, 1) * 1), 1, 0)),metadata_testudines!B$1:B$60,1,FALSE)),FALSE,TRUE)</f>
        <v>0</v>
      </c>
      <c r="F20" t="s">
        <v>660</v>
      </c>
      <c r="G20" t="s">
        <v>661</v>
      </c>
      <c r="H20">
        <v>8.0147540979999992</v>
      </c>
      <c r="I20" t="s">
        <v>662</v>
      </c>
      <c r="J20" t="s">
        <v>663</v>
      </c>
      <c r="K20" t="s">
        <v>647</v>
      </c>
      <c r="L20" t="s">
        <v>664</v>
      </c>
      <c r="M20" t="s">
        <v>664</v>
      </c>
    </row>
    <row r="21" spans="1:13" hidden="1" x14ac:dyDescent="0.2">
      <c r="A21" s="10" t="s">
        <v>558</v>
      </c>
      <c r="B21" t="s">
        <v>176</v>
      </c>
      <c r="C21" t="s">
        <v>658</v>
      </c>
      <c r="D21" t="s">
        <v>659</v>
      </c>
      <c r="E21" s="10" t="b">
        <f>IF(ISERROR(VLOOKUP( LEFT(B21, LEN(B21) - IF(ISNUMBER(RIGHT(B21, 1) * 1), 1, 0)),metadata_testudines!B$1:B$60,1,FALSE)),FALSE,TRUE)</f>
        <v>0</v>
      </c>
      <c r="F21" t="s">
        <v>671</v>
      </c>
      <c r="G21" t="s">
        <v>672</v>
      </c>
      <c r="H21">
        <v>32.799999999999997</v>
      </c>
      <c r="I21" t="s">
        <v>667</v>
      </c>
      <c r="J21" t="s">
        <v>668</v>
      </c>
      <c r="K21" t="s">
        <v>673</v>
      </c>
      <c r="L21" t="s">
        <v>664</v>
      </c>
      <c r="M21" t="s">
        <v>674</v>
      </c>
    </row>
    <row r="22" spans="1:13" hidden="1" x14ac:dyDescent="0.2">
      <c r="A22" s="10" t="s">
        <v>558</v>
      </c>
      <c r="B22" t="s">
        <v>176</v>
      </c>
      <c r="C22" t="s">
        <v>658</v>
      </c>
      <c r="D22" t="s">
        <v>659</v>
      </c>
      <c r="E22" s="10" t="b">
        <f>IF(ISERROR(VLOOKUP( LEFT(B22, LEN(B22) - IF(ISNUMBER(RIGHT(B22, 1) * 1), 1, 0)),metadata_testudines!B$1:B$60,1,FALSE)),FALSE,TRUE)</f>
        <v>0</v>
      </c>
      <c r="F22" t="s">
        <v>660</v>
      </c>
      <c r="G22" t="s">
        <v>665</v>
      </c>
      <c r="H22">
        <v>5.4996931890000003</v>
      </c>
      <c r="I22" t="s">
        <v>662</v>
      </c>
      <c r="J22" t="s">
        <v>663</v>
      </c>
      <c r="K22" t="s">
        <v>647</v>
      </c>
      <c r="L22" t="s">
        <v>664</v>
      </c>
      <c r="M22" t="s">
        <v>664</v>
      </c>
    </row>
    <row r="23" spans="1:13" hidden="1" x14ac:dyDescent="0.2">
      <c r="A23" s="10" t="s">
        <v>558</v>
      </c>
      <c r="B23" t="s">
        <v>176</v>
      </c>
      <c r="C23" t="s">
        <v>658</v>
      </c>
      <c r="D23" t="s">
        <v>659</v>
      </c>
      <c r="E23" s="10" t="b">
        <f>IF(ISERROR(VLOOKUP( LEFT(B23, LEN(B23) - IF(ISNUMBER(RIGHT(B23, 1) * 1), 1, 0)),metadata_testudines!B$1:B$60,1,FALSE)),FALSE,TRUE)</f>
        <v>0</v>
      </c>
      <c r="F23" t="s">
        <v>660</v>
      </c>
      <c r="G23" t="s">
        <v>665</v>
      </c>
      <c r="H23">
        <v>1</v>
      </c>
      <c r="I23" t="s">
        <v>662</v>
      </c>
      <c r="J23" t="s">
        <v>663</v>
      </c>
      <c r="K23" t="s">
        <v>647</v>
      </c>
      <c r="L23" t="s">
        <v>664</v>
      </c>
      <c r="M23" t="s">
        <v>664</v>
      </c>
    </row>
    <row r="24" spans="1:13" hidden="1" x14ac:dyDescent="0.2">
      <c r="A24" s="10" t="s">
        <v>558</v>
      </c>
      <c r="B24" t="s">
        <v>176</v>
      </c>
      <c r="C24" t="s">
        <v>658</v>
      </c>
      <c r="D24" t="s">
        <v>659</v>
      </c>
      <c r="E24" s="10" t="b">
        <f>IF(ISERROR(VLOOKUP( LEFT(B24, LEN(B24) - IF(ISNUMBER(RIGHT(B24, 1) * 1), 1, 0)),metadata_testudines!B$1:B$60,1,FALSE)),FALSE,TRUE)</f>
        <v>0</v>
      </c>
      <c r="F24" t="s">
        <v>660</v>
      </c>
      <c r="G24" t="s">
        <v>661</v>
      </c>
      <c r="H24">
        <v>12</v>
      </c>
      <c r="I24" t="s">
        <v>662</v>
      </c>
      <c r="J24" t="s">
        <v>663</v>
      </c>
      <c r="K24" t="s">
        <v>647</v>
      </c>
      <c r="L24" t="s">
        <v>664</v>
      </c>
      <c r="M24" t="s">
        <v>664</v>
      </c>
    </row>
    <row r="25" spans="1:13" hidden="1" x14ac:dyDescent="0.2">
      <c r="A25" s="10" t="s">
        <v>558</v>
      </c>
      <c r="B25" t="s">
        <v>189</v>
      </c>
      <c r="C25" t="s">
        <v>658</v>
      </c>
      <c r="D25" t="s">
        <v>659</v>
      </c>
      <c r="E25" s="10" t="b">
        <f>IF(ISERROR(VLOOKUP( LEFT(B25, LEN(B25) - IF(ISNUMBER(RIGHT(B25, 1) * 1), 1, 0)),metadata_testudines!B$1:B$60,1,FALSE)),FALSE,TRUE)</f>
        <v>0</v>
      </c>
      <c r="F25" t="s">
        <v>660</v>
      </c>
      <c r="G25" t="s">
        <v>669</v>
      </c>
      <c r="H25">
        <v>5478.75</v>
      </c>
      <c r="I25" t="s">
        <v>662</v>
      </c>
      <c r="J25" t="s">
        <v>670</v>
      </c>
      <c r="K25" t="s">
        <v>647</v>
      </c>
      <c r="L25" t="s">
        <v>647</v>
      </c>
      <c r="M25" t="s">
        <v>664</v>
      </c>
    </row>
    <row r="26" spans="1:13" hidden="1" x14ac:dyDescent="0.2">
      <c r="A26" s="10" t="s">
        <v>558</v>
      </c>
      <c r="B26" t="s">
        <v>189</v>
      </c>
      <c r="C26" t="s">
        <v>658</v>
      </c>
      <c r="D26" t="s">
        <v>659</v>
      </c>
      <c r="E26" s="10" t="b">
        <f>IF(ISERROR(VLOOKUP( LEFT(B26, LEN(B26) - IF(ISNUMBER(RIGHT(B26, 1) * 1), 1, 0)),metadata_testudines!B$1:B$60,1,FALSE)),FALSE,TRUE)</f>
        <v>0</v>
      </c>
      <c r="F26" t="s">
        <v>660</v>
      </c>
      <c r="G26" t="s">
        <v>661</v>
      </c>
      <c r="H26">
        <v>1</v>
      </c>
      <c r="I26" t="s">
        <v>662</v>
      </c>
      <c r="J26" t="s">
        <v>663</v>
      </c>
      <c r="K26" t="s">
        <v>647</v>
      </c>
      <c r="L26" t="s">
        <v>664</v>
      </c>
      <c r="M26" t="s">
        <v>664</v>
      </c>
    </row>
    <row r="27" spans="1:13" hidden="1" x14ac:dyDescent="0.2">
      <c r="A27" s="10" t="s">
        <v>558</v>
      </c>
      <c r="B27" t="s">
        <v>189</v>
      </c>
      <c r="C27" t="s">
        <v>658</v>
      </c>
      <c r="D27" t="s">
        <v>659</v>
      </c>
      <c r="E27" s="10" t="b">
        <f>IF(ISERROR(VLOOKUP( LEFT(B27, LEN(B27) - IF(ISNUMBER(RIGHT(B27, 1) * 1), 1, 0)),metadata_testudines!B$1:B$60,1,FALSE)),FALSE,TRUE)</f>
        <v>0</v>
      </c>
      <c r="F27" t="s">
        <v>660</v>
      </c>
      <c r="G27" t="s">
        <v>661</v>
      </c>
      <c r="H27">
        <v>3.2</v>
      </c>
      <c r="I27" t="s">
        <v>662</v>
      </c>
      <c r="J27" t="s">
        <v>663</v>
      </c>
      <c r="K27" t="s">
        <v>647</v>
      </c>
      <c r="L27" t="s">
        <v>664</v>
      </c>
      <c r="M27" t="s">
        <v>664</v>
      </c>
    </row>
    <row r="28" spans="1:13" hidden="1" x14ac:dyDescent="0.2">
      <c r="A28" s="10" t="s">
        <v>558</v>
      </c>
      <c r="B28" t="s">
        <v>189</v>
      </c>
      <c r="C28" t="s">
        <v>658</v>
      </c>
      <c r="D28" t="s">
        <v>659</v>
      </c>
      <c r="E28" s="10" t="b">
        <f>IF(ISERROR(VLOOKUP( LEFT(B28, LEN(B28) - IF(ISNUMBER(RIGHT(B28, 1) * 1), 1, 0)),metadata_testudines!B$1:B$60,1,FALSE)),FALSE,TRUE)</f>
        <v>0</v>
      </c>
      <c r="F28" t="s">
        <v>660</v>
      </c>
      <c r="G28" t="s">
        <v>661</v>
      </c>
      <c r="H28">
        <v>6</v>
      </c>
      <c r="I28" t="s">
        <v>662</v>
      </c>
      <c r="J28" t="s">
        <v>663</v>
      </c>
      <c r="K28" t="s">
        <v>647</v>
      </c>
      <c r="L28" t="s">
        <v>664</v>
      </c>
      <c r="M28" t="s">
        <v>664</v>
      </c>
    </row>
    <row r="29" spans="1:13" hidden="1" x14ac:dyDescent="0.2">
      <c r="A29" s="10" t="s">
        <v>558</v>
      </c>
      <c r="B29" t="s">
        <v>189</v>
      </c>
      <c r="C29" t="s">
        <v>658</v>
      </c>
      <c r="D29" t="s">
        <v>659</v>
      </c>
      <c r="E29" s="10" t="b">
        <f>IF(ISERROR(VLOOKUP( LEFT(B29, LEN(B29) - IF(ISNUMBER(RIGHT(B29, 1) * 1), 1, 0)),metadata_testudines!B$1:B$60,1,FALSE)),FALSE,TRUE)</f>
        <v>0</v>
      </c>
      <c r="F29" t="s">
        <v>660</v>
      </c>
      <c r="G29" t="s">
        <v>675</v>
      </c>
      <c r="H29">
        <v>7305</v>
      </c>
      <c r="I29" t="s">
        <v>662</v>
      </c>
      <c r="J29" t="s">
        <v>670</v>
      </c>
      <c r="K29" t="s">
        <v>647</v>
      </c>
      <c r="L29" t="s">
        <v>646</v>
      </c>
      <c r="M29" t="s">
        <v>664</v>
      </c>
    </row>
    <row r="30" spans="1:13" hidden="1" x14ac:dyDescent="0.2">
      <c r="A30" s="10" t="s">
        <v>558</v>
      </c>
      <c r="B30" t="s">
        <v>189</v>
      </c>
      <c r="C30" t="s">
        <v>658</v>
      </c>
      <c r="D30" t="s">
        <v>659</v>
      </c>
      <c r="E30" s="10" t="b">
        <f>IF(ISERROR(VLOOKUP( LEFT(B30, LEN(B30) - IF(ISNUMBER(RIGHT(B30, 1) * 1), 1, 0)),metadata_testudines!B$1:B$60,1,FALSE)),FALSE,TRUE)</f>
        <v>0</v>
      </c>
      <c r="F30" t="s">
        <v>660</v>
      </c>
      <c r="G30" t="s">
        <v>665</v>
      </c>
      <c r="H30">
        <v>2.4500000000000002</v>
      </c>
      <c r="I30" t="s">
        <v>662</v>
      </c>
      <c r="J30" t="s">
        <v>663</v>
      </c>
      <c r="K30" t="s">
        <v>647</v>
      </c>
      <c r="L30" t="s">
        <v>664</v>
      </c>
      <c r="M30" t="s">
        <v>664</v>
      </c>
    </row>
    <row r="31" spans="1:13" hidden="1" x14ac:dyDescent="0.2">
      <c r="A31" s="10" t="s">
        <v>558</v>
      </c>
      <c r="B31" t="s">
        <v>189</v>
      </c>
      <c r="C31" t="s">
        <v>658</v>
      </c>
      <c r="D31" t="s">
        <v>659</v>
      </c>
      <c r="E31" s="10" t="b">
        <f>IF(ISERROR(VLOOKUP( LEFT(B31, LEN(B31) - IF(ISNUMBER(RIGHT(B31, 1) * 1), 1, 0)),metadata_testudines!B$1:B$60,1,FALSE)),FALSE,TRUE)</f>
        <v>0</v>
      </c>
      <c r="F31" t="s">
        <v>660</v>
      </c>
      <c r="G31" t="s">
        <v>661</v>
      </c>
      <c r="H31">
        <v>4</v>
      </c>
      <c r="I31" t="s">
        <v>662</v>
      </c>
      <c r="J31" t="s">
        <v>663</v>
      </c>
      <c r="K31" t="s">
        <v>647</v>
      </c>
      <c r="L31" t="s">
        <v>664</v>
      </c>
      <c r="M31" t="s">
        <v>664</v>
      </c>
    </row>
    <row r="32" spans="1:13" hidden="1" x14ac:dyDescent="0.2">
      <c r="A32" s="10" t="s">
        <v>558</v>
      </c>
      <c r="B32" t="s">
        <v>189</v>
      </c>
      <c r="C32" t="s">
        <v>658</v>
      </c>
      <c r="D32" t="s">
        <v>659</v>
      </c>
      <c r="E32" s="10" t="b">
        <f>IF(ISERROR(VLOOKUP( LEFT(B32, LEN(B32) - IF(ISNUMBER(RIGHT(B32, 1) * 1), 1, 0)),metadata_testudines!B$1:B$60,1,FALSE)),FALSE,TRUE)</f>
        <v>0</v>
      </c>
      <c r="F32" t="s">
        <v>660</v>
      </c>
      <c r="G32" t="s">
        <v>665</v>
      </c>
      <c r="H32">
        <v>4</v>
      </c>
      <c r="I32" t="s">
        <v>662</v>
      </c>
      <c r="J32" t="s">
        <v>663</v>
      </c>
      <c r="K32" t="s">
        <v>647</v>
      </c>
      <c r="L32" t="s">
        <v>664</v>
      </c>
      <c r="M32" t="s">
        <v>664</v>
      </c>
    </row>
    <row r="33" spans="1:13" hidden="1" x14ac:dyDescent="0.2">
      <c r="A33" s="10" t="s">
        <v>558</v>
      </c>
      <c r="B33" t="s">
        <v>189</v>
      </c>
      <c r="C33" t="s">
        <v>658</v>
      </c>
      <c r="D33" t="s">
        <v>659</v>
      </c>
      <c r="E33" s="10" t="b">
        <f>IF(ISERROR(VLOOKUP( LEFT(B33, LEN(B33) - IF(ISNUMBER(RIGHT(B33, 1) * 1), 1, 0)),metadata_testudines!B$1:B$60,1,FALSE)),FALSE,TRUE)</f>
        <v>0</v>
      </c>
      <c r="F33" t="s">
        <v>660</v>
      </c>
      <c r="G33" t="s">
        <v>661</v>
      </c>
      <c r="H33">
        <v>6</v>
      </c>
      <c r="I33" t="s">
        <v>662</v>
      </c>
      <c r="J33" t="s">
        <v>663</v>
      </c>
      <c r="K33" t="s">
        <v>647</v>
      </c>
      <c r="L33" t="s">
        <v>664</v>
      </c>
      <c r="M33" t="s">
        <v>664</v>
      </c>
    </row>
    <row r="34" spans="1:13" hidden="1" x14ac:dyDescent="0.2">
      <c r="A34" s="10" t="s">
        <v>558</v>
      </c>
      <c r="B34" t="s">
        <v>189</v>
      </c>
      <c r="C34" t="s">
        <v>658</v>
      </c>
      <c r="D34" t="s">
        <v>659</v>
      </c>
      <c r="E34" s="10" t="b">
        <f>IF(ISERROR(VLOOKUP( LEFT(B34, LEN(B34) - IF(ISNUMBER(RIGHT(B34, 1) * 1), 1, 0)),metadata_testudines!B$1:B$60,1,FALSE)),FALSE,TRUE)</f>
        <v>0</v>
      </c>
      <c r="F34" t="s">
        <v>660</v>
      </c>
      <c r="G34" t="s">
        <v>666</v>
      </c>
      <c r="H34">
        <v>100</v>
      </c>
      <c r="I34" t="s">
        <v>667</v>
      </c>
      <c r="J34" t="s">
        <v>668</v>
      </c>
      <c r="K34" t="s">
        <v>647</v>
      </c>
      <c r="L34" t="s">
        <v>664</v>
      </c>
      <c r="M34" t="s">
        <v>664</v>
      </c>
    </row>
    <row r="35" spans="1:13" hidden="1" x14ac:dyDescent="0.2">
      <c r="A35" s="10" t="s">
        <v>558</v>
      </c>
      <c r="B35" t="s">
        <v>189</v>
      </c>
      <c r="C35" t="s">
        <v>658</v>
      </c>
      <c r="D35" t="s">
        <v>659</v>
      </c>
      <c r="E35" s="10" t="b">
        <f>IF(ISERROR(VLOOKUP( LEFT(B35, LEN(B35) - IF(ISNUMBER(RIGHT(B35, 1) * 1), 1, 0)),metadata_testudines!B$1:B$60,1,FALSE)),FALSE,TRUE)</f>
        <v>0</v>
      </c>
      <c r="F35" t="s">
        <v>660</v>
      </c>
      <c r="G35" t="s">
        <v>661</v>
      </c>
      <c r="H35">
        <v>3.2</v>
      </c>
      <c r="I35" t="s">
        <v>662</v>
      </c>
      <c r="J35" t="s">
        <v>663</v>
      </c>
      <c r="K35" t="s">
        <v>647</v>
      </c>
      <c r="L35" t="s">
        <v>664</v>
      </c>
      <c r="M35" t="s">
        <v>664</v>
      </c>
    </row>
    <row r="36" spans="1:13" hidden="1" x14ac:dyDescent="0.2">
      <c r="A36" s="10" t="s">
        <v>558</v>
      </c>
      <c r="B36" t="s">
        <v>189</v>
      </c>
      <c r="C36" t="s">
        <v>658</v>
      </c>
      <c r="D36" t="s">
        <v>659</v>
      </c>
      <c r="E36" s="10" t="b">
        <f>IF(ISERROR(VLOOKUP( LEFT(B36, LEN(B36) - IF(ISNUMBER(RIGHT(B36, 1) * 1), 1, 0)),metadata_testudines!B$1:B$60,1,FALSE)),FALSE,TRUE)</f>
        <v>0</v>
      </c>
      <c r="F36" t="s">
        <v>660</v>
      </c>
      <c r="G36" t="s">
        <v>675</v>
      </c>
      <c r="H36">
        <v>7305</v>
      </c>
      <c r="I36" t="s">
        <v>662</v>
      </c>
      <c r="J36" t="s">
        <v>670</v>
      </c>
      <c r="K36" t="s">
        <v>647</v>
      </c>
      <c r="L36" t="s">
        <v>646</v>
      </c>
      <c r="M36" t="s">
        <v>664</v>
      </c>
    </row>
    <row r="37" spans="1:13" hidden="1" x14ac:dyDescent="0.2">
      <c r="A37" s="10" t="s">
        <v>558</v>
      </c>
      <c r="B37" t="s">
        <v>189</v>
      </c>
      <c r="C37" t="s">
        <v>658</v>
      </c>
      <c r="D37" t="s">
        <v>659</v>
      </c>
      <c r="E37" s="10" t="b">
        <f>IF(ISERROR(VLOOKUP( LEFT(B37, LEN(B37) - IF(ISNUMBER(RIGHT(B37, 1) * 1), 1, 0)),metadata_testudines!B$1:B$60,1,FALSE)),FALSE,TRUE)</f>
        <v>0</v>
      </c>
      <c r="F37" t="s">
        <v>660</v>
      </c>
      <c r="G37" t="s">
        <v>665</v>
      </c>
      <c r="H37">
        <v>4.2848222859999998</v>
      </c>
      <c r="I37" t="s">
        <v>662</v>
      </c>
      <c r="J37" t="s">
        <v>663</v>
      </c>
      <c r="K37" t="s">
        <v>647</v>
      </c>
      <c r="L37" t="s">
        <v>664</v>
      </c>
      <c r="M37" t="s">
        <v>664</v>
      </c>
    </row>
    <row r="38" spans="1:13" hidden="1" x14ac:dyDescent="0.2">
      <c r="A38" s="10" t="s">
        <v>558</v>
      </c>
      <c r="B38" t="s">
        <v>189</v>
      </c>
      <c r="C38" t="s">
        <v>658</v>
      </c>
      <c r="D38" t="s">
        <v>659</v>
      </c>
      <c r="E38" s="10" t="b">
        <f>IF(ISERROR(VLOOKUP( LEFT(B38, LEN(B38) - IF(ISNUMBER(RIGHT(B38, 1) * 1), 1, 0)),metadata_testudines!B$1:B$60,1,FALSE)),FALSE,TRUE)</f>
        <v>0</v>
      </c>
      <c r="F38" t="s">
        <v>660</v>
      </c>
      <c r="G38" t="s">
        <v>665</v>
      </c>
      <c r="H38">
        <v>5</v>
      </c>
      <c r="I38" t="s">
        <v>662</v>
      </c>
      <c r="J38" t="s">
        <v>663</v>
      </c>
      <c r="K38" t="s">
        <v>647</v>
      </c>
      <c r="L38" t="s">
        <v>664</v>
      </c>
      <c r="M38" t="s">
        <v>664</v>
      </c>
    </row>
    <row r="39" spans="1:13" hidden="1" x14ac:dyDescent="0.2">
      <c r="A39" s="10" t="s">
        <v>558</v>
      </c>
      <c r="B39" t="s">
        <v>189</v>
      </c>
      <c r="C39" t="s">
        <v>658</v>
      </c>
      <c r="D39" t="s">
        <v>659</v>
      </c>
      <c r="E39" s="10" t="b">
        <f>IF(ISERROR(VLOOKUP( LEFT(B39, LEN(B39) - IF(ISNUMBER(RIGHT(B39, 1) * 1), 1, 0)),metadata_testudines!B$1:B$60,1,FALSE)),FALSE,TRUE)</f>
        <v>0</v>
      </c>
      <c r="F39" t="s">
        <v>660</v>
      </c>
      <c r="G39" t="s">
        <v>661</v>
      </c>
      <c r="H39">
        <v>1</v>
      </c>
      <c r="I39" t="s">
        <v>662</v>
      </c>
      <c r="J39" t="s">
        <v>663</v>
      </c>
      <c r="K39" t="s">
        <v>647</v>
      </c>
      <c r="L39" t="s">
        <v>664</v>
      </c>
      <c r="M39" t="s">
        <v>664</v>
      </c>
    </row>
    <row r="40" spans="1:13" hidden="1" x14ac:dyDescent="0.2">
      <c r="A40" s="10" t="s">
        <v>558</v>
      </c>
      <c r="B40" t="s">
        <v>189</v>
      </c>
      <c r="C40" t="s">
        <v>658</v>
      </c>
      <c r="D40" t="s">
        <v>659</v>
      </c>
      <c r="E40" s="10" t="b">
        <f>IF(ISERROR(VLOOKUP( LEFT(B40, LEN(B40) - IF(ISNUMBER(RIGHT(B40, 1) * 1), 1, 0)),metadata_testudines!B$1:B$60,1,FALSE)),FALSE,TRUE)</f>
        <v>0</v>
      </c>
      <c r="F40" t="s">
        <v>660</v>
      </c>
      <c r="G40" t="s">
        <v>661</v>
      </c>
      <c r="H40">
        <v>3.2</v>
      </c>
      <c r="I40" t="s">
        <v>662</v>
      </c>
      <c r="J40" t="s">
        <v>663</v>
      </c>
      <c r="K40" t="s">
        <v>647</v>
      </c>
      <c r="L40" t="s">
        <v>664</v>
      </c>
      <c r="M40" t="s">
        <v>664</v>
      </c>
    </row>
    <row r="41" spans="1:13" hidden="1" x14ac:dyDescent="0.2">
      <c r="A41" s="10" t="s">
        <v>558</v>
      </c>
      <c r="B41" t="s">
        <v>189</v>
      </c>
      <c r="C41" t="s">
        <v>658</v>
      </c>
      <c r="D41" t="s">
        <v>659</v>
      </c>
      <c r="E41" s="10" t="b">
        <f>IF(ISERROR(VLOOKUP( LEFT(B41, LEN(B41) - IF(ISNUMBER(RIGHT(B41, 1) * 1), 1, 0)),metadata_testudines!B$1:B$60,1,FALSE)),FALSE,TRUE)</f>
        <v>0</v>
      </c>
      <c r="F41" t="s">
        <v>660</v>
      </c>
      <c r="G41" t="s">
        <v>669</v>
      </c>
      <c r="H41">
        <v>5478.6</v>
      </c>
      <c r="I41" t="s">
        <v>662</v>
      </c>
      <c r="J41" t="s">
        <v>670</v>
      </c>
      <c r="K41" t="s">
        <v>647</v>
      </c>
      <c r="L41" t="s">
        <v>647</v>
      </c>
      <c r="M41" t="s">
        <v>664</v>
      </c>
    </row>
    <row r="42" spans="1:13" hidden="1" x14ac:dyDescent="0.2">
      <c r="A42" s="10" t="s">
        <v>558</v>
      </c>
      <c r="B42" t="s">
        <v>189</v>
      </c>
      <c r="C42" t="s">
        <v>658</v>
      </c>
      <c r="D42" t="s">
        <v>659</v>
      </c>
      <c r="E42" s="10" t="b">
        <f>IF(ISERROR(VLOOKUP( LEFT(B42, LEN(B42) - IF(ISNUMBER(RIGHT(B42, 1) * 1), 1, 0)),metadata_testudines!B$1:B$60,1,FALSE)),FALSE,TRUE)</f>
        <v>0</v>
      </c>
      <c r="F42" t="s">
        <v>660</v>
      </c>
      <c r="G42" t="s">
        <v>661</v>
      </c>
      <c r="H42">
        <v>3.2</v>
      </c>
      <c r="I42" t="s">
        <v>662</v>
      </c>
      <c r="J42" t="s">
        <v>663</v>
      </c>
      <c r="K42" t="s">
        <v>647</v>
      </c>
      <c r="L42" t="s">
        <v>664</v>
      </c>
      <c r="M42" t="s">
        <v>664</v>
      </c>
    </row>
    <row r="43" spans="1:13" hidden="1" x14ac:dyDescent="0.2">
      <c r="A43" s="10" t="s">
        <v>558</v>
      </c>
      <c r="B43" t="s">
        <v>189</v>
      </c>
      <c r="C43" t="s">
        <v>658</v>
      </c>
      <c r="D43" t="s">
        <v>659</v>
      </c>
      <c r="E43" s="10" t="b">
        <f>IF(ISERROR(VLOOKUP( LEFT(B43, LEN(B43) - IF(ISNUMBER(RIGHT(B43, 1) * 1), 1, 0)),metadata_testudines!B$1:B$60,1,FALSE)),FALSE,TRUE)</f>
        <v>0</v>
      </c>
      <c r="F43" t="s">
        <v>660</v>
      </c>
      <c r="G43" t="s">
        <v>665</v>
      </c>
      <c r="H43">
        <v>5</v>
      </c>
      <c r="I43" t="s">
        <v>662</v>
      </c>
      <c r="J43" t="s">
        <v>663</v>
      </c>
      <c r="K43" t="s">
        <v>647</v>
      </c>
      <c r="L43" t="s">
        <v>664</v>
      </c>
      <c r="M43" t="s">
        <v>664</v>
      </c>
    </row>
    <row r="44" spans="1:13" hidden="1" x14ac:dyDescent="0.2">
      <c r="A44" s="10" t="s">
        <v>558</v>
      </c>
      <c r="B44" t="s">
        <v>189</v>
      </c>
      <c r="C44" t="s">
        <v>658</v>
      </c>
      <c r="D44" t="s">
        <v>659</v>
      </c>
      <c r="E44" s="10" t="b">
        <f>IF(ISERROR(VLOOKUP( LEFT(B44, LEN(B44) - IF(ISNUMBER(RIGHT(B44, 1) * 1), 1, 0)),metadata_testudines!B$1:B$60,1,FALSE)),FALSE,TRUE)</f>
        <v>0</v>
      </c>
      <c r="F44" t="s">
        <v>660</v>
      </c>
      <c r="G44" t="s">
        <v>661</v>
      </c>
      <c r="H44">
        <v>6</v>
      </c>
      <c r="I44" t="s">
        <v>662</v>
      </c>
      <c r="J44" t="s">
        <v>663</v>
      </c>
      <c r="K44" t="s">
        <v>647</v>
      </c>
      <c r="L44" t="s">
        <v>664</v>
      </c>
      <c r="M44" t="s">
        <v>664</v>
      </c>
    </row>
    <row r="45" spans="1:13" hidden="1" x14ac:dyDescent="0.2">
      <c r="A45" s="10" t="s">
        <v>558</v>
      </c>
      <c r="B45" t="s">
        <v>189</v>
      </c>
      <c r="C45" t="s">
        <v>658</v>
      </c>
      <c r="D45" t="s">
        <v>659</v>
      </c>
      <c r="E45" s="10" t="b">
        <f>IF(ISERROR(VLOOKUP( LEFT(B45, LEN(B45) - IF(ISNUMBER(RIGHT(B45, 1) * 1), 1, 0)),metadata_testudines!B$1:B$60,1,FALSE)),FALSE,TRUE)</f>
        <v>0</v>
      </c>
      <c r="F45" t="s">
        <v>660</v>
      </c>
      <c r="G45" t="s">
        <v>665</v>
      </c>
      <c r="H45">
        <v>1</v>
      </c>
      <c r="I45" t="s">
        <v>662</v>
      </c>
      <c r="J45" t="s">
        <v>663</v>
      </c>
      <c r="K45" t="s">
        <v>647</v>
      </c>
      <c r="L45" t="s">
        <v>664</v>
      </c>
      <c r="M45" t="s">
        <v>664</v>
      </c>
    </row>
    <row r="46" spans="1:13" hidden="1" x14ac:dyDescent="0.2">
      <c r="A46" s="10" t="s">
        <v>558</v>
      </c>
      <c r="B46" t="s">
        <v>189</v>
      </c>
      <c r="C46" t="s">
        <v>658</v>
      </c>
      <c r="D46" t="s">
        <v>659</v>
      </c>
      <c r="E46" s="10" t="b">
        <f>IF(ISERROR(VLOOKUP( LEFT(B46, LEN(B46) - IF(ISNUMBER(RIGHT(B46, 1) * 1), 1, 0)),metadata_testudines!B$1:B$60,1,FALSE)),FALSE,TRUE)</f>
        <v>0</v>
      </c>
      <c r="F46" t="s">
        <v>660</v>
      </c>
      <c r="G46" t="s">
        <v>661</v>
      </c>
      <c r="H46">
        <v>1</v>
      </c>
      <c r="I46" t="s">
        <v>662</v>
      </c>
      <c r="J46" t="s">
        <v>663</v>
      </c>
      <c r="K46" t="s">
        <v>647</v>
      </c>
      <c r="L46" t="s">
        <v>664</v>
      </c>
      <c r="M46" t="s">
        <v>664</v>
      </c>
    </row>
    <row r="47" spans="1:13" hidden="1" x14ac:dyDescent="0.2">
      <c r="A47" s="10" t="s">
        <v>558</v>
      </c>
      <c r="B47" t="s">
        <v>189</v>
      </c>
      <c r="C47" t="s">
        <v>658</v>
      </c>
      <c r="D47" t="s">
        <v>659</v>
      </c>
      <c r="E47" s="10" t="b">
        <f>IF(ISERROR(VLOOKUP( LEFT(B47, LEN(B47) - IF(ISNUMBER(RIGHT(B47, 1) * 1), 1, 0)),metadata_testudines!B$1:B$60,1,FALSE)),FALSE,TRUE)</f>
        <v>0</v>
      </c>
      <c r="F47" t="s">
        <v>660</v>
      </c>
      <c r="G47" t="s">
        <v>666</v>
      </c>
      <c r="H47">
        <v>50</v>
      </c>
      <c r="I47" t="s">
        <v>667</v>
      </c>
      <c r="J47" t="s">
        <v>668</v>
      </c>
      <c r="K47" t="s">
        <v>647</v>
      </c>
      <c r="L47" t="s">
        <v>664</v>
      </c>
      <c r="M47" t="s">
        <v>664</v>
      </c>
    </row>
    <row r="48" spans="1:13" hidden="1" x14ac:dyDescent="0.2">
      <c r="A48" s="10" t="s">
        <v>558</v>
      </c>
      <c r="B48" t="s">
        <v>189</v>
      </c>
      <c r="C48" t="s">
        <v>658</v>
      </c>
      <c r="D48" t="s">
        <v>659</v>
      </c>
      <c r="E48" s="10" t="b">
        <f>IF(ISERROR(VLOOKUP( LEFT(B48, LEN(B48) - IF(ISNUMBER(RIGHT(B48, 1) * 1), 1, 0)),metadata_testudines!B$1:B$60,1,FALSE)),FALSE,TRUE)</f>
        <v>0</v>
      </c>
      <c r="F48" t="s">
        <v>660</v>
      </c>
      <c r="G48" t="s">
        <v>676</v>
      </c>
      <c r="H48">
        <v>7305</v>
      </c>
      <c r="I48" t="s">
        <v>662</v>
      </c>
      <c r="J48" t="s">
        <v>670</v>
      </c>
      <c r="K48" t="s">
        <v>647</v>
      </c>
      <c r="L48" t="s">
        <v>677</v>
      </c>
      <c r="M48" t="s">
        <v>664</v>
      </c>
    </row>
    <row r="49" spans="1:13" hidden="1" x14ac:dyDescent="0.2">
      <c r="A49" s="10" t="s">
        <v>558</v>
      </c>
      <c r="B49" t="s">
        <v>189</v>
      </c>
      <c r="C49" t="s">
        <v>658</v>
      </c>
      <c r="D49" t="s">
        <v>659</v>
      </c>
      <c r="E49" s="10" t="b">
        <f>IF(ISERROR(VLOOKUP( LEFT(B49, LEN(B49) - IF(ISNUMBER(RIGHT(B49, 1) * 1), 1, 0)),metadata_testudines!B$1:B$60,1,FALSE)),FALSE,TRUE)</f>
        <v>0</v>
      </c>
      <c r="F49" t="s">
        <v>660</v>
      </c>
      <c r="G49" t="s">
        <v>661</v>
      </c>
      <c r="H49">
        <v>6</v>
      </c>
      <c r="I49" t="s">
        <v>662</v>
      </c>
      <c r="J49" t="s">
        <v>663</v>
      </c>
      <c r="K49" t="s">
        <v>647</v>
      </c>
      <c r="L49" t="s">
        <v>664</v>
      </c>
      <c r="M49" t="s">
        <v>664</v>
      </c>
    </row>
    <row r="50" spans="1:13" hidden="1" x14ac:dyDescent="0.2">
      <c r="A50" s="10" t="s">
        <v>558</v>
      </c>
      <c r="B50" t="s">
        <v>189</v>
      </c>
      <c r="C50" t="s">
        <v>658</v>
      </c>
      <c r="D50" t="s">
        <v>659</v>
      </c>
      <c r="E50" s="10" t="b">
        <f>IF(ISERROR(VLOOKUP( LEFT(B50, LEN(B50) - IF(ISNUMBER(RIGHT(B50, 1) * 1), 1, 0)),metadata_testudines!B$1:B$60,1,FALSE)),FALSE,TRUE)</f>
        <v>0</v>
      </c>
      <c r="F50" t="s">
        <v>660</v>
      </c>
      <c r="G50" t="s">
        <v>661</v>
      </c>
      <c r="H50">
        <v>1</v>
      </c>
      <c r="I50" t="s">
        <v>662</v>
      </c>
      <c r="J50" t="s">
        <v>663</v>
      </c>
      <c r="K50" t="s">
        <v>647</v>
      </c>
      <c r="L50" t="s">
        <v>664</v>
      </c>
      <c r="M50" t="s">
        <v>664</v>
      </c>
    </row>
    <row r="51" spans="1:13" hidden="1" x14ac:dyDescent="0.2">
      <c r="A51" s="10" t="s">
        <v>558</v>
      </c>
      <c r="B51" t="s">
        <v>189</v>
      </c>
      <c r="C51" t="s">
        <v>658</v>
      </c>
      <c r="D51" t="s">
        <v>659</v>
      </c>
      <c r="E51" s="10" t="b">
        <f>IF(ISERROR(VLOOKUP( LEFT(B51, LEN(B51) - IF(ISNUMBER(RIGHT(B51, 1) * 1), 1, 0)),metadata_testudines!B$1:B$60,1,FALSE)),FALSE,TRUE)</f>
        <v>0</v>
      </c>
      <c r="F51" t="s">
        <v>660</v>
      </c>
      <c r="G51" t="s">
        <v>676</v>
      </c>
      <c r="H51">
        <v>7305</v>
      </c>
      <c r="I51" t="s">
        <v>662</v>
      </c>
      <c r="J51" t="s">
        <v>670</v>
      </c>
      <c r="K51" t="s">
        <v>647</v>
      </c>
      <c r="L51" t="s">
        <v>677</v>
      </c>
      <c r="M51" t="s">
        <v>664</v>
      </c>
    </row>
    <row r="52" spans="1:13" hidden="1" x14ac:dyDescent="0.2">
      <c r="A52" s="10" t="s">
        <v>558</v>
      </c>
      <c r="B52" t="s">
        <v>189</v>
      </c>
      <c r="C52" t="s">
        <v>658</v>
      </c>
      <c r="D52" t="s">
        <v>659</v>
      </c>
      <c r="E52" s="10" t="b">
        <f>IF(ISERROR(VLOOKUP( LEFT(B52, LEN(B52) - IF(ISNUMBER(RIGHT(B52, 1) * 1), 1, 0)),metadata_testudines!B$1:B$60,1,FALSE)),FALSE,TRUE)</f>
        <v>0</v>
      </c>
      <c r="F52" t="s">
        <v>660</v>
      </c>
      <c r="G52" t="s">
        <v>661</v>
      </c>
      <c r="H52">
        <v>6</v>
      </c>
      <c r="I52" t="s">
        <v>662</v>
      </c>
      <c r="J52" t="s">
        <v>663</v>
      </c>
      <c r="K52" t="s">
        <v>647</v>
      </c>
      <c r="L52" t="s">
        <v>664</v>
      </c>
      <c r="M52" t="s">
        <v>664</v>
      </c>
    </row>
    <row r="53" spans="1:13" hidden="1" x14ac:dyDescent="0.2">
      <c r="A53" s="10" t="s">
        <v>558</v>
      </c>
      <c r="B53" t="s">
        <v>189</v>
      </c>
      <c r="C53" t="s">
        <v>658</v>
      </c>
      <c r="D53" t="s">
        <v>659</v>
      </c>
      <c r="E53" s="10" t="b">
        <f>IF(ISERROR(VLOOKUP( LEFT(B53, LEN(B53) - IF(ISNUMBER(RIGHT(B53, 1) * 1), 1, 0)),metadata_testudines!B$1:B$60,1,FALSE)),FALSE,TRUE)</f>
        <v>0</v>
      </c>
      <c r="F53" t="s">
        <v>660</v>
      </c>
      <c r="G53" t="s">
        <v>661</v>
      </c>
      <c r="H53">
        <v>4.5960264899999999</v>
      </c>
      <c r="I53" t="s">
        <v>662</v>
      </c>
      <c r="J53" t="s">
        <v>663</v>
      </c>
      <c r="K53" t="s">
        <v>647</v>
      </c>
      <c r="L53" t="s">
        <v>664</v>
      </c>
      <c r="M53" t="s">
        <v>664</v>
      </c>
    </row>
    <row r="54" spans="1:13" hidden="1" x14ac:dyDescent="0.2">
      <c r="A54" s="10" t="s">
        <v>558</v>
      </c>
      <c r="B54" t="s">
        <v>189</v>
      </c>
      <c r="C54" t="s">
        <v>658</v>
      </c>
      <c r="D54" t="s">
        <v>659</v>
      </c>
      <c r="E54" s="10" t="b">
        <f>IF(ISERROR(VLOOKUP( LEFT(B54, LEN(B54) - IF(ISNUMBER(RIGHT(B54, 1) * 1), 1, 0)),metadata_testudines!B$1:B$60,1,FALSE)),FALSE,TRUE)</f>
        <v>0</v>
      </c>
      <c r="F54" t="s">
        <v>660</v>
      </c>
      <c r="G54" t="s">
        <v>669</v>
      </c>
      <c r="H54">
        <v>4383</v>
      </c>
      <c r="I54" t="s">
        <v>662</v>
      </c>
      <c r="J54" t="s">
        <v>670</v>
      </c>
      <c r="K54" t="s">
        <v>647</v>
      </c>
      <c r="L54" t="s">
        <v>647</v>
      </c>
      <c r="M54" t="s">
        <v>664</v>
      </c>
    </row>
    <row r="55" spans="1:13" hidden="1" x14ac:dyDescent="0.2">
      <c r="A55" s="10" t="s">
        <v>558</v>
      </c>
      <c r="B55" t="s">
        <v>189</v>
      </c>
      <c r="C55" t="s">
        <v>658</v>
      </c>
      <c r="D55" t="s">
        <v>659</v>
      </c>
      <c r="E55" s="10" t="b">
        <f>IF(ISERROR(VLOOKUP( LEFT(B55, LEN(B55) - IF(ISNUMBER(RIGHT(B55, 1) * 1), 1, 0)),metadata_testudines!B$1:B$60,1,FALSE)),FALSE,TRUE)</f>
        <v>0</v>
      </c>
      <c r="F55" t="s">
        <v>660</v>
      </c>
      <c r="G55" t="s">
        <v>661</v>
      </c>
      <c r="H55">
        <v>5</v>
      </c>
      <c r="I55" t="s">
        <v>662</v>
      </c>
      <c r="J55" t="s">
        <v>663</v>
      </c>
      <c r="K55" t="s">
        <v>647</v>
      </c>
      <c r="L55" t="s">
        <v>664</v>
      </c>
      <c r="M55" t="s">
        <v>664</v>
      </c>
    </row>
    <row r="56" spans="1:13" hidden="1" x14ac:dyDescent="0.2">
      <c r="A56" s="10" t="s">
        <v>558</v>
      </c>
      <c r="B56" t="s">
        <v>189</v>
      </c>
      <c r="C56" t="s">
        <v>658</v>
      </c>
      <c r="D56" t="s">
        <v>659</v>
      </c>
      <c r="E56" s="10" t="b">
        <f>IF(ISERROR(VLOOKUP( LEFT(B56, LEN(B56) - IF(ISNUMBER(RIGHT(B56, 1) * 1), 1, 0)),metadata_testudines!B$1:B$60,1,FALSE)),FALSE,TRUE)</f>
        <v>0</v>
      </c>
      <c r="F56" t="s">
        <v>660</v>
      </c>
      <c r="G56" t="s">
        <v>665</v>
      </c>
      <c r="H56">
        <v>4</v>
      </c>
      <c r="I56" t="s">
        <v>662</v>
      </c>
      <c r="J56" t="s">
        <v>663</v>
      </c>
      <c r="K56" t="s">
        <v>647</v>
      </c>
      <c r="L56" t="s">
        <v>664</v>
      </c>
      <c r="M56" t="s">
        <v>664</v>
      </c>
    </row>
    <row r="57" spans="1:13" hidden="1" x14ac:dyDescent="0.2">
      <c r="A57" s="10" t="s">
        <v>558</v>
      </c>
      <c r="B57" t="s">
        <v>189</v>
      </c>
      <c r="C57" t="s">
        <v>658</v>
      </c>
      <c r="D57" t="s">
        <v>659</v>
      </c>
      <c r="E57" s="10" t="b">
        <f>IF(ISERROR(VLOOKUP( LEFT(B57, LEN(B57) - IF(ISNUMBER(RIGHT(B57, 1) * 1), 1, 0)),metadata_testudines!B$1:B$60,1,FALSE)),FALSE,TRUE)</f>
        <v>0</v>
      </c>
      <c r="F57" t="s">
        <v>660</v>
      </c>
      <c r="G57" t="s">
        <v>665</v>
      </c>
      <c r="H57">
        <v>4</v>
      </c>
      <c r="I57" t="s">
        <v>662</v>
      </c>
      <c r="J57" t="s">
        <v>663</v>
      </c>
      <c r="K57" t="s">
        <v>647</v>
      </c>
      <c r="L57" t="s">
        <v>664</v>
      </c>
      <c r="M57" t="s">
        <v>664</v>
      </c>
    </row>
    <row r="58" spans="1:13" hidden="1" x14ac:dyDescent="0.2">
      <c r="A58" s="10" t="s">
        <v>558</v>
      </c>
      <c r="B58" t="s">
        <v>189</v>
      </c>
      <c r="C58" t="s">
        <v>658</v>
      </c>
      <c r="D58" t="s">
        <v>659</v>
      </c>
      <c r="E58" s="10" t="b">
        <f>IF(ISERROR(VLOOKUP( LEFT(B58, LEN(B58) - IF(ISNUMBER(RIGHT(B58, 1) * 1), 1, 0)),metadata_testudines!B$1:B$60,1,FALSE)),FALSE,TRUE)</f>
        <v>0</v>
      </c>
      <c r="F58" t="s">
        <v>660</v>
      </c>
      <c r="G58" t="s">
        <v>661</v>
      </c>
      <c r="H58">
        <v>3</v>
      </c>
      <c r="I58" t="s">
        <v>662</v>
      </c>
      <c r="J58" t="s">
        <v>663</v>
      </c>
      <c r="K58" t="s">
        <v>647</v>
      </c>
      <c r="L58" t="s">
        <v>664</v>
      </c>
      <c r="M58" t="s">
        <v>664</v>
      </c>
    </row>
    <row r="59" spans="1:13" hidden="1" x14ac:dyDescent="0.2">
      <c r="A59" s="10" t="s">
        <v>558</v>
      </c>
      <c r="B59" t="s">
        <v>189</v>
      </c>
      <c r="C59" t="s">
        <v>658</v>
      </c>
      <c r="D59" t="s">
        <v>659</v>
      </c>
      <c r="E59" s="10" t="b">
        <f>IF(ISERROR(VLOOKUP( LEFT(B59, LEN(B59) - IF(ISNUMBER(RIGHT(B59, 1) * 1), 1, 0)),metadata_testudines!B$1:B$60,1,FALSE)),FALSE,TRUE)</f>
        <v>0</v>
      </c>
      <c r="F59" t="s">
        <v>660</v>
      </c>
      <c r="G59" t="s">
        <v>661</v>
      </c>
      <c r="H59">
        <v>7</v>
      </c>
      <c r="I59" t="s">
        <v>662</v>
      </c>
      <c r="J59" t="s">
        <v>663</v>
      </c>
      <c r="K59" t="s">
        <v>647</v>
      </c>
      <c r="L59" t="s">
        <v>664</v>
      </c>
      <c r="M59" t="s">
        <v>664</v>
      </c>
    </row>
    <row r="60" spans="1:13" hidden="1" x14ac:dyDescent="0.2">
      <c r="A60" s="10" t="s">
        <v>558</v>
      </c>
      <c r="B60" t="s">
        <v>189</v>
      </c>
      <c r="C60" t="s">
        <v>658</v>
      </c>
      <c r="D60" t="s">
        <v>659</v>
      </c>
      <c r="E60" s="10" t="b">
        <f>IF(ISERROR(VLOOKUP( LEFT(B60, LEN(B60) - IF(ISNUMBER(RIGHT(B60, 1) * 1), 1, 0)),metadata_testudines!B$1:B$60,1,FALSE)),FALSE,TRUE)</f>
        <v>0</v>
      </c>
      <c r="F60" t="s">
        <v>660</v>
      </c>
      <c r="G60" t="s">
        <v>665</v>
      </c>
      <c r="H60">
        <v>5</v>
      </c>
      <c r="I60" t="s">
        <v>662</v>
      </c>
      <c r="J60" t="s">
        <v>663</v>
      </c>
      <c r="K60" t="s">
        <v>647</v>
      </c>
      <c r="L60" t="s">
        <v>664</v>
      </c>
      <c r="M60" t="s">
        <v>664</v>
      </c>
    </row>
    <row r="61" spans="1:13" hidden="1" x14ac:dyDescent="0.2">
      <c r="A61" s="10" t="s">
        <v>558</v>
      </c>
      <c r="B61" t="s">
        <v>190</v>
      </c>
      <c r="C61" t="s">
        <v>658</v>
      </c>
      <c r="D61" t="s">
        <v>659</v>
      </c>
      <c r="E61" s="10" t="b">
        <f>IF(ISERROR(VLOOKUP( LEFT(B61, LEN(B61) - IF(ISNUMBER(RIGHT(B61, 1) * 1), 1, 0)),metadata_testudines!B$1:B$60,1,FALSE)),FALSE,TRUE)</f>
        <v>0</v>
      </c>
      <c r="F61" t="s">
        <v>660</v>
      </c>
      <c r="G61" t="s">
        <v>661</v>
      </c>
      <c r="H61">
        <v>9.1999999999999993</v>
      </c>
      <c r="I61" t="s">
        <v>662</v>
      </c>
      <c r="J61" t="s">
        <v>663</v>
      </c>
      <c r="K61" t="s">
        <v>647</v>
      </c>
      <c r="L61" t="s">
        <v>664</v>
      </c>
      <c r="M61" t="s">
        <v>664</v>
      </c>
    </row>
    <row r="62" spans="1:13" hidden="1" x14ac:dyDescent="0.2">
      <c r="A62" s="10" t="s">
        <v>558</v>
      </c>
      <c r="B62" t="s">
        <v>190</v>
      </c>
      <c r="C62" t="s">
        <v>658</v>
      </c>
      <c r="D62" t="s">
        <v>659</v>
      </c>
      <c r="E62" s="10" t="b">
        <f>IF(ISERROR(VLOOKUP( LEFT(B62, LEN(B62) - IF(ISNUMBER(RIGHT(B62, 1) * 1), 1, 0)),metadata_testudines!B$1:B$60,1,FALSE)),FALSE,TRUE)</f>
        <v>0</v>
      </c>
      <c r="F62" t="s">
        <v>671</v>
      </c>
      <c r="G62" t="s">
        <v>672</v>
      </c>
      <c r="H62">
        <v>177</v>
      </c>
      <c r="I62" t="s">
        <v>667</v>
      </c>
      <c r="J62" t="s">
        <v>668</v>
      </c>
      <c r="K62" t="s">
        <v>673</v>
      </c>
      <c r="L62" t="s">
        <v>664</v>
      </c>
      <c r="M62" t="s">
        <v>678</v>
      </c>
    </row>
    <row r="63" spans="1:13" hidden="1" x14ac:dyDescent="0.2">
      <c r="A63" s="10" t="s">
        <v>558</v>
      </c>
      <c r="B63" t="s">
        <v>190</v>
      </c>
      <c r="C63" t="s">
        <v>658</v>
      </c>
      <c r="D63" t="s">
        <v>659</v>
      </c>
      <c r="E63" s="10" t="b">
        <f>IF(ISERROR(VLOOKUP( LEFT(B63, LEN(B63) - IF(ISNUMBER(RIGHT(B63, 1) * 1), 1, 0)),metadata_testudines!B$1:B$60,1,FALSE)),FALSE,TRUE)</f>
        <v>0</v>
      </c>
      <c r="F63" t="s">
        <v>660</v>
      </c>
      <c r="G63" t="s">
        <v>661</v>
      </c>
      <c r="H63">
        <v>10</v>
      </c>
      <c r="I63" t="s">
        <v>662</v>
      </c>
      <c r="J63" t="s">
        <v>663</v>
      </c>
      <c r="K63" t="s">
        <v>647</v>
      </c>
      <c r="L63" t="s">
        <v>664</v>
      </c>
      <c r="M63" t="s">
        <v>664</v>
      </c>
    </row>
    <row r="64" spans="1:13" hidden="1" x14ac:dyDescent="0.2">
      <c r="A64" s="10" t="s">
        <v>558</v>
      </c>
      <c r="B64" t="s">
        <v>190</v>
      </c>
      <c r="C64" t="s">
        <v>658</v>
      </c>
      <c r="D64" t="s">
        <v>659</v>
      </c>
      <c r="E64" s="10" t="b">
        <f>IF(ISERROR(VLOOKUP( LEFT(B64, LEN(B64) - IF(ISNUMBER(RIGHT(B64, 1) * 1), 1, 0)),metadata_testudines!B$1:B$60,1,FALSE)),FALSE,TRUE)</f>
        <v>0</v>
      </c>
      <c r="F64" t="s">
        <v>660</v>
      </c>
      <c r="G64" t="s">
        <v>661</v>
      </c>
      <c r="H64">
        <v>5</v>
      </c>
      <c r="I64" t="s">
        <v>662</v>
      </c>
      <c r="J64" t="s">
        <v>663</v>
      </c>
      <c r="K64" t="s">
        <v>647</v>
      </c>
      <c r="L64" t="s">
        <v>664</v>
      </c>
      <c r="M64" t="s">
        <v>664</v>
      </c>
    </row>
    <row r="65" spans="1:13" hidden="1" x14ac:dyDescent="0.2">
      <c r="A65" s="10" t="s">
        <v>558</v>
      </c>
      <c r="B65" t="s">
        <v>190</v>
      </c>
      <c r="C65" t="s">
        <v>658</v>
      </c>
      <c r="D65" t="s">
        <v>659</v>
      </c>
      <c r="E65" s="10" t="b">
        <f>IF(ISERROR(VLOOKUP( LEFT(B65, LEN(B65) - IF(ISNUMBER(RIGHT(B65, 1) * 1), 1, 0)),metadata_testudines!B$1:B$60,1,FALSE)),FALSE,TRUE)</f>
        <v>0</v>
      </c>
      <c r="F65" t="s">
        <v>660</v>
      </c>
      <c r="G65" t="s">
        <v>666</v>
      </c>
      <c r="H65">
        <v>177</v>
      </c>
      <c r="I65" t="s">
        <v>667</v>
      </c>
      <c r="J65" t="s">
        <v>668</v>
      </c>
      <c r="K65" t="s">
        <v>647</v>
      </c>
      <c r="L65" t="s">
        <v>664</v>
      </c>
      <c r="M65" t="s">
        <v>664</v>
      </c>
    </row>
    <row r="66" spans="1:13" hidden="1" x14ac:dyDescent="0.2">
      <c r="A66" s="10" t="s">
        <v>558</v>
      </c>
      <c r="B66" t="s">
        <v>190</v>
      </c>
      <c r="C66" t="s">
        <v>658</v>
      </c>
      <c r="D66" t="s">
        <v>659</v>
      </c>
      <c r="E66" s="10" t="b">
        <f>IF(ISERROR(VLOOKUP( LEFT(B66, LEN(B66) - IF(ISNUMBER(RIGHT(B66, 1) * 1), 1, 0)),metadata_testudines!B$1:B$60,1,FALSE)),FALSE,TRUE)</f>
        <v>0</v>
      </c>
      <c r="F66" t="s">
        <v>660</v>
      </c>
      <c r="G66" t="s">
        <v>666</v>
      </c>
      <c r="H66">
        <v>177</v>
      </c>
      <c r="I66" t="s">
        <v>667</v>
      </c>
      <c r="J66" t="s">
        <v>668</v>
      </c>
      <c r="K66" t="s">
        <v>647</v>
      </c>
      <c r="L66" t="s">
        <v>664</v>
      </c>
      <c r="M66" t="s">
        <v>664</v>
      </c>
    </row>
    <row r="67" spans="1:13" hidden="1" x14ac:dyDescent="0.2">
      <c r="A67" s="10" t="s">
        <v>558</v>
      </c>
      <c r="B67" t="s">
        <v>190</v>
      </c>
      <c r="C67" t="s">
        <v>658</v>
      </c>
      <c r="D67" t="s">
        <v>659</v>
      </c>
      <c r="E67" s="10" t="b">
        <f>IF(ISERROR(VLOOKUP( LEFT(B67, LEN(B67) - IF(ISNUMBER(RIGHT(B67, 1) * 1), 1, 0)),metadata_testudines!B$1:B$60,1,FALSE)),FALSE,TRUE)</f>
        <v>0</v>
      </c>
      <c r="F67" t="s">
        <v>660</v>
      </c>
      <c r="G67" t="s">
        <v>666</v>
      </c>
      <c r="H67">
        <v>100</v>
      </c>
      <c r="I67" t="s">
        <v>667</v>
      </c>
      <c r="J67" t="s">
        <v>668</v>
      </c>
      <c r="K67" t="s">
        <v>647</v>
      </c>
      <c r="L67" t="s">
        <v>664</v>
      </c>
      <c r="M67" t="s">
        <v>664</v>
      </c>
    </row>
    <row r="68" spans="1:13" hidden="1" x14ac:dyDescent="0.2">
      <c r="A68" s="10" t="s">
        <v>558</v>
      </c>
      <c r="B68" t="s">
        <v>190</v>
      </c>
      <c r="C68" t="s">
        <v>658</v>
      </c>
      <c r="D68" t="s">
        <v>659</v>
      </c>
      <c r="E68" s="10" t="b">
        <f>IF(ISERROR(VLOOKUP( LEFT(B68, LEN(B68) - IF(ISNUMBER(RIGHT(B68, 1) * 1), 1, 0)),metadata_testudines!B$1:B$60,1,FALSE)),FALSE,TRUE)</f>
        <v>0</v>
      </c>
      <c r="F68" t="s">
        <v>660</v>
      </c>
      <c r="G68" t="s">
        <v>666</v>
      </c>
      <c r="H68">
        <v>60</v>
      </c>
      <c r="I68" t="s">
        <v>667</v>
      </c>
      <c r="J68" t="s">
        <v>668</v>
      </c>
      <c r="K68" t="s">
        <v>647</v>
      </c>
      <c r="L68" t="s">
        <v>664</v>
      </c>
      <c r="M68" t="s">
        <v>664</v>
      </c>
    </row>
    <row r="69" spans="1:13" hidden="1" x14ac:dyDescent="0.2">
      <c r="A69" s="10" t="s">
        <v>558</v>
      </c>
      <c r="B69" t="s">
        <v>190</v>
      </c>
      <c r="C69" t="s">
        <v>658</v>
      </c>
      <c r="D69" t="s">
        <v>659</v>
      </c>
      <c r="E69" s="10" t="b">
        <f>IF(ISERROR(VLOOKUP( LEFT(B69, LEN(B69) - IF(ISNUMBER(RIGHT(B69, 1) * 1), 1, 0)),metadata_testudines!B$1:B$60,1,FALSE)),FALSE,TRUE)</f>
        <v>0</v>
      </c>
      <c r="F69" t="s">
        <v>660</v>
      </c>
      <c r="G69" t="s">
        <v>665</v>
      </c>
      <c r="H69">
        <v>3.3333821480000001</v>
      </c>
      <c r="I69" t="s">
        <v>662</v>
      </c>
      <c r="J69" t="s">
        <v>663</v>
      </c>
      <c r="K69" t="s">
        <v>647</v>
      </c>
      <c r="L69" t="s">
        <v>664</v>
      </c>
      <c r="M69" t="s">
        <v>664</v>
      </c>
    </row>
    <row r="70" spans="1:13" hidden="1" x14ac:dyDescent="0.2">
      <c r="A70" s="10" t="s">
        <v>558</v>
      </c>
      <c r="B70" t="s">
        <v>190</v>
      </c>
      <c r="C70" t="s">
        <v>658</v>
      </c>
      <c r="D70" t="s">
        <v>659</v>
      </c>
      <c r="E70" s="10" t="b">
        <f>IF(ISERROR(VLOOKUP( LEFT(B70, LEN(B70) - IF(ISNUMBER(RIGHT(B70, 1) * 1), 1, 0)),metadata_testudines!B$1:B$60,1,FALSE)),FALSE,TRUE)</f>
        <v>0</v>
      </c>
      <c r="F70" t="s">
        <v>660</v>
      </c>
      <c r="G70" t="s">
        <v>666</v>
      </c>
      <c r="H70">
        <v>70</v>
      </c>
      <c r="I70" t="s">
        <v>667</v>
      </c>
      <c r="J70" t="s">
        <v>668</v>
      </c>
      <c r="K70" t="s">
        <v>647</v>
      </c>
      <c r="L70" t="s">
        <v>664</v>
      </c>
      <c r="M70" t="s">
        <v>664</v>
      </c>
    </row>
    <row r="71" spans="1:13" hidden="1" x14ac:dyDescent="0.2">
      <c r="A71" s="10" t="s">
        <v>558</v>
      </c>
      <c r="B71" t="s">
        <v>190</v>
      </c>
      <c r="C71" t="s">
        <v>658</v>
      </c>
      <c r="D71" t="s">
        <v>659</v>
      </c>
      <c r="E71" s="10" t="b">
        <f>IF(ISERROR(VLOOKUP( LEFT(B71, LEN(B71) - IF(ISNUMBER(RIGHT(B71, 1) * 1), 1, 0)),metadata_testudines!B$1:B$60,1,FALSE)),FALSE,TRUE)</f>
        <v>0</v>
      </c>
      <c r="F71" t="s">
        <v>660</v>
      </c>
      <c r="G71" t="s">
        <v>661</v>
      </c>
      <c r="H71">
        <v>11.428451880000001</v>
      </c>
      <c r="I71" t="s">
        <v>662</v>
      </c>
      <c r="J71" t="s">
        <v>663</v>
      </c>
      <c r="K71" t="s">
        <v>647</v>
      </c>
      <c r="L71" t="s">
        <v>664</v>
      </c>
      <c r="M71" t="s">
        <v>664</v>
      </c>
    </row>
    <row r="72" spans="1:13" hidden="1" x14ac:dyDescent="0.2">
      <c r="A72" s="10" t="s">
        <v>558</v>
      </c>
      <c r="B72" t="s">
        <v>190</v>
      </c>
      <c r="C72" t="s">
        <v>658</v>
      </c>
      <c r="D72" t="s">
        <v>659</v>
      </c>
      <c r="E72" s="10" t="b">
        <f>IF(ISERROR(VLOOKUP( LEFT(B72, LEN(B72) - IF(ISNUMBER(RIGHT(B72, 1) * 1), 1, 0)),metadata_testudines!B$1:B$60,1,FALSE)),FALSE,TRUE)</f>
        <v>0</v>
      </c>
      <c r="F72" t="s">
        <v>660</v>
      </c>
      <c r="G72" t="s">
        <v>661</v>
      </c>
      <c r="H72">
        <v>21</v>
      </c>
      <c r="I72" t="s">
        <v>662</v>
      </c>
      <c r="J72" t="s">
        <v>663</v>
      </c>
      <c r="K72" t="s">
        <v>647</v>
      </c>
      <c r="L72" t="s">
        <v>664</v>
      </c>
      <c r="M72" t="s">
        <v>664</v>
      </c>
    </row>
    <row r="73" spans="1:13" hidden="1" x14ac:dyDescent="0.2">
      <c r="A73" s="10" t="s">
        <v>558</v>
      </c>
      <c r="B73" t="s">
        <v>191</v>
      </c>
      <c r="C73" t="s">
        <v>658</v>
      </c>
      <c r="D73" t="s">
        <v>659</v>
      </c>
      <c r="E73" s="10" t="b">
        <f>IF(ISERROR(VLOOKUP( LEFT(B73, LEN(B73) - IF(ISNUMBER(RIGHT(B73, 1) * 1), 1, 0)),metadata_testudines!B$1:B$60,1,FALSE)),FALSE,TRUE)</f>
        <v>0</v>
      </c>
      <c r="F73" t="s">
        <v>660</v>
      </c>
      <c r="G73" t="s">
        <v>661</v>
      </c>
      <c r="H73">
        <v>10</v>
      </c>
      <c r="I73" t="s">
        <v>662</v>
      </c>
      <c r="J73" t="s">
        <v>663</v>
      </c>
      <c r="K73" t="s">
        <v>647</v>
      </c>
      <c r="L73" t="s">
        <v>664</v>
      </c>
      <c r="M73" t="s">
        <v>664</v>
      </c>
    </row>
    <row r="74" spans="1:13" hidden="1" x14ac:dyDescent="0.2">
      <c r="A74" s="10" t="s">
        <v>558</v>
      </c>
      <c r="B74" t="s">
        <v>191</v>
      </c>
      <c r="C74" t="s">
        <v>658</v>
      </c>
      <c r="D74" t="s">
        <v>659</v>
      </c>
      <c r="E74" s="10" t="b">
        <f>IF(ISERROR(VLOOKUP( LEFT(B74, LEN(B74) - IF(ISNUMBER(RIGHT(B74, 1) * 1), 1, 0)),metadata_testudines!B$1:B$60,1,FALSE)),FALSE,TRUE)</f>
        <v>0</v>
      </c>
      <c r="F74" t="s">
        <v>660</v>
      </c>
      <c r="G74" t="s">
        <v>665</v>
      </c>
      <c r="H74">
        <v>3.3333821480000001</v>
      </c>
      <c r="I74" t="s">
        <v>662</v>
      </c>
      <c r="J74" t="s">
        <v>663</v>
      </c>
      <c r="K74" t="s">
        <v>647</v>
      </c>
      <c r="L74" t="s">
        <v>664</v>
      </c>
      <c r="M74" t="s">
        <v>664</v>
      </c>
    </row>
    <row r="75" spans="1:13" hidden="1" x14ac:dyDescent="0.2">
      <c r="A75" s="10" t="s">
        <v>558</v>
      </c>
      <c r="B75" t="s">
        <v>191</v>
      </c>
      <c r="C75" t="s">
        <v>658</v>
      </c>
      <c r="D75" t="s">
        <v>659</v>
      </c>
      <c r="E75" s="10" t="b">
        <f>IF(ISERROR(VLOOKUP( LEFT(B75, LEN(B75) - IF(ISNUMBER(RIGHT(B75, 1) * 1), 1, 0)),metadata_testudines!B$1:B$60,1,FALSE)),FALSE,TRUE)</f>
        <v>0</v>
      </c>
      <c r="F75" t="s">
        <v>660</v>
      </c>
      <c r="G75" t="s">
        <v>666</v>
      </c>
      <c r="H75">
        <v>100</v>
      </c>
      <c r="I75" t="s">
        <v>667</v>
      </c>
      <c r="J75" t="s">
        <v>668</v>
      </c>
      <c r="K75" t="s">
        <v>647</v>
      </c>
      <c r="L75" t="s">
        <v>664</v>
      </c>
      <c r="M75" t="s">
        <v>664</v>
      </c>
    </row>
    <row r="76" spans="1:13" hidden="1" x14ac:dyDescent="0.2">
      <c r="A76" s="10" t="s">
        <v>558</v>
      </c>
      <c r="B76" t="s">
        <v>191</v>
      </c>
      <c r="C76" t="s">
        <v>658</v>
      </c>
      <c r="D76" t="s">
        <v>659</v>
      </c>
      <c r="E76" s="10" t="b">
        <f>IF(ISERROR(VLOOKUP( LEFT(B76, LEN(B76) - IF(ISNUMBER(RIGHT(B76, 1) * 1), 1, 0)),metadata_testudines!B$1:B$60,1,FALSE)),FALSE,TRUE)</f>
        <v>0</v>
      </c>
      <c r="F76" t="s">
        <v>660</v>
      </c>
      <c r="G76" t="s">
        <v>666</v>
      </c>
      <c r="H76">
        <v>60</v>
      </c>
      <c r="I76" t="s">
        <v>667</v>
      </c>
      <c r="J76" t="s">
        <v>668</v>
      </c>
      <c r="K76" t="s">
        <v>647</v>
      </c>
      <c r="L76" t="s">
        <v>664</v>
      </c>
      <c r="M76" t="s">
        <v>664</v>
      </c>
    </row>
    <row r="77" spans="1:13" hidden="1" x14ac:dyDescent="0.2">
      <c r="A77" s="10" t="s">
        <v>558</v>
      </c>
      <c r="B77" t="s">
        <v>191</v>
      </c>
      <c r="C77" t="s">
        <v>658</v>
      </c>
      <c r="D77" t="s">
        <v>659</v>
      </c>
      <c r="E77" s="10" t="b">
        <f>IF(ISERROR(VLOOKUP( LEFT(B77, LEN(B77) - IF(ISNUMBER(RIGHT(B77, 1) * 1), 1, 0)),metadata_testudines!B$1:B$60,1,FALSE)),FALSE,TRUE)</f>
        <v>0</v>
      </c>
      <c r="F77" t="s">
        <v>660</v>
      </c>
      <c r="G77" t="s">
        <v>666</v>
      </c>
      <c r="H77">
        <v>70</v>
      </c>
      <c r="I77" t="s">
        <v>667</v>
      </c>
      <c r="J77" t="s">
        <v>668</v>
      </c>
      <c r="K77" t="s">
        <v>647</v>
      </c>
      <c r="L77" t="s">
        <v>664</v>
      </c>
      <c r="M77" t="s">
        <v>664</v>
      </c>
    </row>
    <row r="78" spans="1:13" hidden="1" x14ac:dyDescent="0.2">
      <c r="A78" s="10" t="s">
        <v>558</v>
      </c>
      <c r="B78" t="s">
        <v>191</v>
      </c>
      <c r="C78" t="s">
        <v>658</v>
      </c>
      <c r="D78" t="s">
        <v>659</v>
      </c>
      <c r="E78" s="10" t="b">
        <f>IF(ISERROR(VLOOKUP( LEFT(B78, LEN(B78) - IF(ISNUMBER(RIGHT(B78, 1) * 1), 1, 0)),metadata_testudines!B$1:B$60,1,FALSE)),FALSE,TRUE)</f>
        <v>0</v>
      </c>
      <c r="F78" t="s">
        <v>660</v>
      </c>
      <c r="G78" t="s">
        <v>666</v>
      </c>
      <c r="H78">
        <v>177</v>
      </c>
      <c r="I78" t="s">
        <v>667</v>
      </c>
      <c r="J78" t="s">
        <v>668</v>
      </c>
      <c r="K78" t="s">
        <v>647</v>
      </c>
      <c r="L78" t="s">
        <v>664</v>
      </c>
      <c r="M78" t="s">
        <v>664</v>
      </c>
    </row>
    <row r="79" spans="1:13" hidden="1" x14ac:dyDescent="0.2">
      <c r="A79" s="10" t="s">
        <v>558</v>
      </c>
      <c r="B79" t="s">
        <v>191</v>
      </c>
      <c r="C79" t="s">
        <v>658</v>
      </c>
      <c r="D79" t="s">
        <v>659</v>
      </c>
      <c r="E79" s="10" t="b">
        <f>IF(ISERROR(VLOOKUP( LEFT(B79, LEN(B79) - IF(ISNUMBER(RIGHT(B79, 1) * 1), 1, 0)),metadata_testudines!B$1:B$60,1,FALSE)),FALSE,TRUE)</f>
        <v>0</v>
      </c>
      <c r="F79" t="s">
        <v>660</v>
      </c>
      <c r="G79" t="s">
        <v>661</v>
      </c>
      <c r="H79">
        <v>21</v>
      </c>
      <c r="I79" t="s">
        <v>662</v>
      </c>
      <c r="J79" t="s">
        <v>663</v>
      </c>
      <c r="K79" t="s">
        <v>647</v>
      </c>
      <c r="L79" t="s">
        <v>664</v>
      </c>
      <c r="M79" t="s">
        <v>664</v>
      </c>
    </row>
    <row r="80" spans="1:13" hidden="1" x14ac:dyDescent="0.2">
      <c r="A80" s="10" t="s">
        <v>558</v>
      </c>
      <c r="B80" t="s">
        <v>191</v>
      </c>
      <c r="C80" t="s">
        <v>658</v>
      </c>
      <c r="D80" t="s">
        <v>659</v>
      </c>
      <c r="E80" s="10" t="b">
        <f>IF(ISERROR(VLOOKUP( LEFT(B80, LEN(B80) - IF(ISNUMBER(RIGHT(B80, 1) * 1), 1, 0)),metadata_testudines!B$1:B$60,1,FALSE)),FALSE,TRUE)</f>
        <v>0</v>
      </c>
      <c r="F80" t="s">
        <v>660</v>
      </c>
      <c r="G80" t="s">
        <v>661</v>
      </c>
      <c r="H80">
        <v>9.1999999999999993</v>
      </c>
      <c r="I80" t="s">
        <v>662</v>
      </c>
      <c r="J80" t="s">
        <v>663</v>
      </c>
      <c r="K80" t="s">
        <v>647</v>
      </c>
      <c r="L80" t="s">
        <v>664</v>
      </c>
      <c r="M80" t="s">
        <v>664</v>
      </c>
    </row>
    <row r="81" spans="1:13" hidden="1" x14ac:dyDescent="0.2">
      <c r="A81" s="10" t="s">
        <v>558</v>
      </c>
      <c r="B81" t="s">
        <v>191</v>
      </c>
      <c r="C81" t="s">
        <v>658</v>
      </c>
      <c r="D81" t="s">
        <v>659</v>
      </c>
      <c r="E81" s="10" t="b">
        <f>IF(ISERROR(VLOOKUP( LEFT(B81, LEN(B81) - IF(ISNUMBER(RIGHT(B81, 1) * 1), 1, 0)),metadata_testudines!B$1:B$60,1,FALSE)),FALSE,TRUE)</f>
        <v>0</v>
      </c>
      <c r="F81" t="s">
        <v>660</v>
      </c>
      <c r="G81" t="s">
        <v>661</v>
      </c>
      <c r="H81">
        <v>11.428451880000001</v>
      </c>
      <c r="I81" t="s">
        <v>662</v>
      </c>
      <c r="J81" t="s">
        <v>663</v>
      </c>
      <c r="K81" t="s">
        <v>647</v>
      </c>
      <c r="L81" t="s">
        <v>664</v>
      </c>
      <c r="M81" t="s">
        <v>664</v>
      </c>
    </row>
    <row r="82" spans="1:13" hidden="1" x14ac:dyDescent="0.2">
      <c r="A82" s="10" t="s">
        <v>558</v>
      </c>
      <c r="B82" t="s">
        <v>191</v>
      </c>
      <c r="C82" t="s">
        <v>658</v>
      </c>
      <c r="D82" t="s">
        <v>659</v>
      </c>
      <c r="E82" s="10" t="b">
        <f>IF(ISERROR(VLOOKUP( LEFT(B82, LEN(B82) - IF(ISNUMBER(RIGHT(B82, 1) * 1), 1, 0)),metadata_testudines!B$1:B$60,1,FALSE)),FALSE,TRUE)</f>
        <v>0</v>
      </c>
      <c r="F82" t="s">
        <v>660</v>
      </c>
      <c r="G82" t="s">
        <v>661</v>
      </c>
      <c r="H82">
        <v>5</v>
      </c>
      <c r="I82" t="s">
        <v>662</v>
      </c>
      <c r="J82" t="s">
        <v>663</v>
      </c>
      <c r="K82" t="s">
        <v>647</v>
      </c>
      <c r="L82" t="s">
        <v>664</v>
      </c>
      <c r="M82" t="s">
        <v>664</v>
      </c>
    </row>
    <row r="83" spans="1:13" hidden="1" x14ac:dyDescent="0.2">
      <c r="A83" s="10" t="s">
        <v>558</v>
      </c>
      <c r="B83" t="s">
        <v>642</v>
      </c>
      <c r="C83" t="s">
        <v>658</v>
      </c>
      <c r="D83" t="s">
        <v>659</v>
      </c>
      <c r="E83" s="10" t="b">
        <f>IF(ISERROR(VLOOKUP( LEFT(B83, LEN(B83) - IF(ISNUMBER(RIGHT(B83, 1) * 1), 1, 0)),metadata_testudines!B$1:B$60,1,FALSE)),FALSE,TRUE)</f>
        <v>0</v>
      </c>
      <c r="F83" t="s">
        <v>660</v>
      </c>
      <c r="G83" t="s">
        <v>675</v>
      </c>
      <c r="H83">
        <v>1826.25</v>
      </c>
      <c r="I83" t="s">
        <v>662</v>
      </c>
      <c r="J83" t="s">
        <v>670</v>
      </c>
      <c r="K83" t="s">
        <v>647</v>
      </c>
      <c r="L83" t="s">
        <v>646</v>
      </c>
      <c r="M83" t="s">
        <v>664</v>
      </c>
    </row>
    <row r="84" spans="1:13" hidden="1" x14ac:dyDescent="0.2">
      <c r="A84" s="10" t="s">
        <v>558</v>
      </c>
      <c r="B84" t="s">
        <v>642</v>
      </c>
      <c r="C84" t="s">
        <v>658</v>
      </c>
      <c r="D84" t="s">
        <v>659</v>
      </c>
      <c r="E84" s="10" t="b">
        <f>IF(ISERROR(VLOOKUP( LEFT(B84, LEN(B84) - IF(ISNUMBER(RIGHT(B84, 1) * 1), 1, 0)),metadata_testudines!B$1:B$60,1,FALSE)),FALSE,TRUE)</f>
        <v>0</v>
      </c>
      <c r="F84" t="s">
        <v>660</v>
      </c>
      <c r="G84" t="s">
        <v>661</v>
      </c>
      <c r="H84">
        <v>2</v>
      </c>
      <c r="I84" t="s">
        <v>662</v>
      </c>
      <c r="J84" t="s">
        <v>663</v>
      </c>
      <c r="K84" t="s">
        <v>647</v>
      </c>
      <c r="L84" t="s">
        <v>664</v>
      </c>
      <c r="M84" t="s">
        <v>664</v>
      </c>
    </row>
    <row r="85" spans="1:13" hidden="1" x14ac:dyDescent="0.2">
      <c r="A85" s="10" t="s">
        <v>558</v>
      </c>
      <c r="B85" t="s">
        <v>642</v>
      </c>
      <c r="C85" t="s">
        <v>658</v>
      </c>
      <c r="D85" t="s">
        <v>659</v>
      </c>
      <c r="E85" s="10" t="b">
        <f>IF(ISERROR(VLOOKUP( LEFT(B85, LEN(B85) - IF(ISNUMBER(RIGHT(B85, 1) * 1), 1, 0)),metadata_testudines!B$1:B$60,1,FALSE)),FALSE,TRUE)</f>
        <v>0</v>
      </c>
      <c r="F85" t="s">
        <v>660</v>
      </c>
      <c r="G85" t="s">
        <v>676</v>
      </c>
      <c r="H85">
        <v>1826.25</v>
      </c>
      <c r="I85" t="s">
        <v>662</v>
      </c>
      <c r="J85" t="s">
        <v>670</v>
      </c>
      <c r="K85" t="s">
        <v>647</v>
      </c>
      <c r="L85" t="s">
        <v>677</v>
      </c>
      <c r="M85" t="s">
        <v>664</v>
      </c>
    </row>
    <row r="86" spans="1:13" hidden="1" x14ac:dyDescent="0.2">
      <c r="A86" s="10" t="s">
        <v>558</v>
      </c>
      <c r="B86" t="s">
        <v>642</v>
      </c>
      <c r="C86" t="s">
        <v>658</v>
      </c>
      <c r="D86" t="s">
        <v>659</v>
      </c>
      <c r="E86" s="10" t="b">
        <f>IF(ISERROR(VLOOKUP( LEFT(B86, LEN(B86) - IF(ISNUMBER(RIGHT(B86, 1) * 1), 1, 0)),metadata_testudines!B$1:B$60,1,FALSE)),FALSE,TRUE)</f>
        <v>0</v>
      </c>
      <c r="F86" t="s">
        <v>660</v>
      </c>
      <c r="G86" t="s">
        <v>666</v>
      </c>
      <c r="H86">
        <v>49</v>
      </c>
      <c r="I86" t="s">
        <v>667</v>
      </c>
      <c r="J86" t="s">
        <v>668</v>
      </c>
      <c r="K86" t="s">
        <v>647</v>
      </c>
      <c r="L86" t="s">
        <v>664</v>
      </c>
      <c r="M86" t="s">
        <v>664</v>
      </c>
    </row>
    <row r="87" spans="1:13" hidden="1" x14ac:dyDescent="0.2">
      <c r="A87" s="10" t="s">
        <v>558</v>
      </c>
      <c r="B87" t="s">
        <v>642</v>
      </c>
      <c r="C87" t="s">
        <v>658</v>
      </c>
      <c r="D87" t="s">
        <v>659</v>
      </c>
      <c r="E87" s="10" t="b">
        <f>IF(ISERROR(VLOOKUP( LEFT(B87, LEN(B87) - IF(ISNUMBER(RIGHT(B87, 1) * 1), 1, 0)),metadata_testudines!B$1:B$60,1,FALSE)),FALSE,TRUE)</f>
        <v>0</v>
      </c>
      <c r="F87" t="s">
        <v>660</v>
      </c>
      <c r="G87" t="s">
        <v>661</v>
      </c>
      <c r="H87">
        <v>15</v>
      </c>
      <c r="I87" t="s">
        <v>662</v>
      </c>
      <c r="J87" t="s">
        <v>663</v>
      </c>
      <c r="K87" t="s">
        <v>647</v>
      </c>
      <c r="L87" t="s">
        <v>664</v>
      </c>
      <c r="M87" t="s">
        <v>664</v>
      </c>
    </row>
    <row r="88" spans="1:13" hidden="1" x14ac:dyDescent="0.2">
      <c r="A88" s="10" t="s">
        <v>558</v>
      </c>
      <c r="B88" t="s">
        <v>642</v>
      </c>
      <c r="C88" t="s">
        <v>658</v>
      </c>
      <c r="D88" t="s">
        <v>659</v>
      </c>
      <c r="E88" s="10" t="b">
        <f>IF(ISERROR(VLOOKUP( LEFT(B88, LEN(B88) - IF(ISNUMBER(RIGHT(B88, 1) * 1), 1, 0)),metadata_testudines!B$1:B$60,1,FALSE)),FALSE,TRUE)</f>
        <v>0</v>
      </c>
      <c r="F88" t="s">
        <v>660</v>
      </c>
      <c r="G88" t="s">
        <v>661</v>
      </c>
      <c r="H88">
        <v>2</v>
      </c>
      <c r="I88" t="s">
        <v>662</v>
      </c>
      <c r="J88" t="s">
        <v>663</v>
      </c>
      <c r="K88" t="s">
        <v>647</v>
      </c>
      <c r="L88" t="s">
        <v>664</v>
      </c>
      <c r="M88" t="s">
        <v>664</v>
      </c>
    </row>
    <row r="89" spans="1:13" hidden="1" x14ac:dyDescent="0.2">
      <c r="A89" s="10" t="s">
        <v>558</v>
      </c>
      <c r="B89" t="s">
        <v>642</v>
      </c>
      <c r="C89" t="s">
        <v>658</v>
      </c>
      <c r="D89" t="s">
        <v>659</v>
      </c>
      <c r="E89" s="10" t="b">
        <f>IF(ISERROR(VLOOKUP( LEFT(B89, LEN(B89) - IF(ISNUMBER(RIGHT(B89, 1) * 1), 1, 0)),metadata_testudines!B$1:B$60,1,FALSE)),FALSE,TRUE)</f>
        <v>0</v>
      </c>
      <c r="F89" t="s">
        <v>660</v>
      </c>
      <c r="G89" t="s">
        <v>666</v>
      </c>
      <c r="H89">
        <v>49</v>
      </c>
      <c r="I89" t="s">
        <v>667</v>
      </c>
      <c r="J89" t="s">
        <v>668</v>
      </c>
      <c r="K89" t="s">
        <v>647</v>
      </c>
      <c r="L89" t="s">
        <v>664</v>
      </c>
      <c r="M89" t="s">
        <v>664</v>
      </c>
    </row>
    <row r="90" spans="1:13" hidden="1" x14ac:dyDescent="0.2">
      <c r="A90" s="10" t="s">
        <v>558</v>
      </c>
      <c r="B90" t="s">
        <v>642</v>
      </c>
      <c r="C90" t="s">
        <v>658</v>
      </c>
      <c r="D90" t="s">
        <v>659</v>
      </c>
      <c r="E90" s="10" t="b">
        <f>IF(ISERROR(VLOOKUP( LEFT(B90, LEN(B90) - IF(ISNUMBER(RIGHT(B90, 1) * 1), 1, 0)),metadata_testudines!B$1:B$60,1,FALSE)),FALSE,TRUE)</f>
        <v>0</v>
      </c>
      <c r="F90" t="s">
        <v>660</v>
      </c>
      <c r="G90" t="s">
        <v>661</v>
      </c>
      <c r="H90">
        <v>15</v>
      </c>
      <c r="I90" t="s">
        <v>662</v>
      </c>
      <c r="J90" t="s">
        <v>663</v>
      </c>
      <c r="K90" t="s">
        <v>647</v>
      </c>
      <c r="L90" t="s">
        <v>664</v>
      </c>
      <c r="M90" t="s">
        <v>664</v>
      </c>
    </row>
    <row r="91" spans="1:13" hidden="1" x14ac:dyDescent="0.2">
      <c r="A91" s="10" t="s">
        <v>558</v>
      </c>
      <c r="B91" t="s">
        <v>642</v>
      </c>
      <c r="C91" t="s">
        <v>658</v>
      </c>
      <c r="D91" t="s">
        <v>659</v>
      </c>
      <c r="E91" s="10" t="b">
        <f>IF(ISERROR(VLOOKUP( LEFT(B91, LEN(B91) - IF(ISNUMBER(RIGHT(B91, 1) * 1), 1, 0)),metadata_testudines!B$1:B$60,1,FALSE)),FALSE,TRUE)</f>
        <v>0</v>
      </c>
      <c r="F91" t="s">
        <v>671</v>
      </c>
      <c r="G91" t="s">
        <v>672</v>
      </c>
      <c r="H91">
        <v>49</v>
      </c>
      <c r="I91" t="s">
        <v>667</v>
      </c>
      <c r="J91" t="s">
        <v>668</v>
      </c>
      <c r="K91" t="s">
        <v>673</v>
      </c>
      <c r="L91" t="s">
        <v>664</v>
      </c>
      <c r="M91" t="s">
        <v>678</v>
      </c>
    </row>
    <row r="92" spans="1:13" hidden="1" x14ac:dyDescent="0.2">
      <c r="A92" s="10" t="s">
        <v>558</v>
      </c>
      <c r="B92" t="s">
        <v>642</v>
      </c>
      <c r="C92" t="s">
        <v>658</v>
      </c>
      <c r="D92" t="s">
        <v>659</v>
      </c>
      <c r="E92" s="10" t="b">
        <f>IF(ISERROR(VLOOKUP( LEFT(B92, LEN(B92) - IF(ISNUMBER(RIGHT(B92, 1) * 1), 1, 0)),metadata_testudines!B$1:B$60,1,FALSE)),FALSE,TRUE)</f>
        <v>0</v>
      </c>
      <c r="F92" t="s">
        <v>660</v>
      </c>
      <c r="G92" t="s">
        <v>661</v>
      </c>
      <c r="H92">
        <v>5.709832134</v>
      </c>
      <c r="I92" t="s">
        <v>662</v>
      </c>
      <c r="J92" t="s">
        <v>663</v>
      </c>
      <c r="K92" t="s">
        <v>647</v>
      </c>
      <c r="L92" t="s">
        <v>664</v>
      </c>
      <c r="M92" t="s">
        <v>664</v>
      </c>
    </row>
    <row r="93" spans="1:13" hidden="1" x14ac:dyDescent="0.2">
      <c r="A93" s="10" t="s">
        <v>558</v>
      </c>
      <c r="B93" t="s">
        <v>642</v>
      </c>
      <c r="C93" t="s">
        <v>658</v>
      </c>
      <c r="D93" t="s">
        <v>659</v>
      </c>
      <c r="E93" s="10" t="b">
        <f>IF(ISERROR(VLOOKUP( LEFT(B93, LEN(B93) - IF(ISNUMBER(RIGHT(B93, 1) * 1), 1, 0)),metadata_testudines!B$1:B$60,1,FALSE)),FALSE,TRUE)</f>
        <v>0</v>
      </c>
      <c r="F93" t="s">
        <v>660</v>
      </c>
      <c r="G93" t="s">
        <v>665</v>
      </c>
      <c r="H93">
        <v>3.4997900039999998</v>
      </c>
      <c r="I93" t="s">
        <v>662</v>
      </c>
      <c r="J93" t="s">
        <v>663</v>
      </c>
      <c r="K93" t="s">
        <v>647</v>
      </c>
      <c r="L93" t="s">
        <v>664</v>
      </c>
      <c r="M93" t="s">
        <v>664</v>
      </c>
    </row>
    <row r="94" spans="1:13" hidden="1" x14ac:dyDescent="0.2">
      <c r="A94" s="10" t="s">
        <v>558</v>
      </c>
      <c r="B94" t="s">
        <v>192</v>
      </c>
      <c r="C94" t="s">
        <v>658</v>
      </c>
      <c r="D94" t="s">
        <v>659</v>
      </c>
      <c r="E94" s="10" t="b">
        <f>IF(ISERROR(VLOOKUP( LEFT(B94, LEN(B94) - IF(ISNUMBER(RIGHT(B94, 1) * 1), 1, 0)),metadata_testudines!B$1:B$60,1,FALSE)),FALSE,TRUE)</f>
        <v>0</v>
      </c>
      <c r="F94" t="s">
        <v>660</v>
      </c>
      <c r="G94" t="s">
        <v>666</v>
      </c>
      <c r="H94">
        <v>70</v>
      </c>
      <c r="I94" t="s">
        <v>667</v>
      </c>
      <c r="J94" t="s">
        <v>668</v>
      </c>
      <c r="K94" t="s">
        <v>647</v>
      </c>
      <c r="L94" t="s">
        <v>664</v>
      </c>
      <c r="M94" t="s">
        <v>664</v>
      </c>
    </row>
    <row r="95" spans="1:13" hidden="1" x14ac:dyDescent="0.2">
      <c r="A95" s="10" t="s">
        <v>558</v>
      </c>
      <c r="B95" t="s">
        <v>192</v>
      </c>
      <c r="C95" t="s">
        <v>658</v>
      </c>
      <c r="D95" t="s">
        <v>659</v>
      </c>
      <c r="E95" s="10" t="b">
        <f>IF(ISERROR(VLOOKUP( LEFT(B95, LEN(B95) - IF(ISNUMBER(RIGHT(B95, 1) * 1), 1, 0)),metadata_testudines!B$1:B$60,1,FALSE)),FALSE,TRUE)</f>
        <v>0</v>
      </c>
      <c r="F95" t="s">
        <v>660</v>
      </c>
      <c r="G95" t="s">
        <v>661</v>
      </c>
      <c r="H95">
        <v>10</v>
      </c>
      <c r="I95" t="s">
        <v>662</v>
      </c>
      <c r="J95" t="s">
        <v>663</v>
      </c>
      <c r="K95" t="s">
        <v>647</v>
      </c>
      <c r="L95" t="s">
        <v>664</v>
      </c>
      <c r="M95" t="s">
        <v>664</v>
      </c>
    </row>
    <row r="96" spans="1:13" hidden="1" x14ac:dyDescent="0.2">
      <c r="A96" s="10" t="s">
        <v>558</v>
      </c>
      <c r="B96" t="s">
        <v>192</v>
      </c>
      <c r="C96" t="s">
        <v>658</v>
      </c>
      <c r="D96" t="s">
        <v>659</v>
      </c>
      <c r="E96" s="10" t="b">
        <f>IF(ISERROR(VLOOKUP( LEFT(B96, LEN(B96) - IF(ISNUMBER(RIGHT(B96, 1) * 1), 1, 0)),metadata_testudines!B$1:B$60,1,FALSE)),FALSE,TRUE)</f>
        <v>0</v>
      </c>
      <c r="F96" t="s">
        <v>660</v>
      </c>
      <c r="G96" t="s">
        <v>661</v>
      </c>
      <c r="H96">
        <v>5</v>
      </c>
      <c r="I96" t="s">
        <v>662</v>
      </c>
      <c r="J96" t="s">
        <v>663</v>
      </c>
      <c r="K96" t="s">
        <v>647</v>
      </c>
      <c r="L96" t="s">
        <v>664</v>
      </c>
      <c r="M96" t="s">
        <v>664</v>
      </c>
    </row>
    <row r="97" spans="1:13" hidden="1" x14ac:dyDescent="0.2">
      <c r="A97" s="10" t="s">
        <v>558</v>
      </c>
      <c r="B97" t="s">
        <v>192</v>
      </c>
      <c r="C97" t="s">
        <v>658</v>
      </c>
      <c r="D97" t="s">
        <v>659</v>
      </c>
      <c r="E97" s="10" t="b">
        <f>IF(ISERROR(VLOOKUP( LEFT(B97, LEN(B97) - IF(ISNUMBER(RIGHT(B97, 1) * 1), 1, 0)),metadata_testudines!B$1:B$60,1,FALSE)),FALSE,TRUE)</f>
        <v>0</v>
      </c>
      <c r="F97" t="s">
        <v>660</v>
      </c>
      <c r="G97" t="s">
        <v>666</v>
      </c>
      <c r="H97">
        <v>60</v>
      </c>
      <c r="I97" t="s">
        <v>667</v>
      </c>
      <c r="J97" t="s">
        <v>668</v>
      </c>
      <c r="K97" t="s">
        <v>647</v>
      </c>
      <c r="L97" t="s">
        <v>664</v>
      </c>
      <c r="M97" t="s">
        <v>664</v>
      </c>
    </row>
    <row r="98" spans="1:13" hidden="1" x14ac:dyDescent="0.2">
      <c r="A98" s="10" t="s">
        <v>558</v>
      </c>
      <c r="B98" t="s">
        <v>192</v>
      </c>
      <c r="C98" t="s">
        <v>658</v>
      </c>
      <c r="D98" t="s">
        <v>659</v>
      </c>
      <c r="E98" s="10" t="b">
        <f>IF(ISERROR(VLOOKUP( LEFT(B98, LEN(B98) - IF(ISNUMBER(RIGHT(B98, 1) * 1), 1, 0)),metadata_testudines!B$1:B$60,1,FALSE)),FALSE,TRUE)</f>
        <v>0</v>
      </c>
      <c r="F98" t="s">
        <v>660</v>
      </c>
      <c r="G98" t="s">
        <v>666</v>
      </c>
      <c r="H98">
        <v>177</v>
      </c>
      <c r="I98" t="s">
        <v>667</v>
      </c>
      <c r="J98" t="s">
        <v>668</v>
      </c>
      <c r="K98" t="s">
        <v>647</v>
      </c>
      <c r="L98" t="s">
        <v>664</v>
      </c>
      <c r="M98" t="s">
        <v>664</v>
      </c>
    </row>
    <row r="99" spans="1:13" hidden="1" x14ac:dyDescent="0.2">
      <c r="A99" s="10" t="s">
        <v>558</v>
      </c>
      <c r="B99" t="s">
        <v>192</v>
      </c>
      <c r="C99" t="s">
        <v>658</v>
      </c>
      <c r="D99" t="s">
        <v>659</v>
      </c>
      <c r="E99" s="10" t="b">
        <f>IF(ISERROR(VLOOKUP( LEFT(B99, LEN(B99) - IF(ISNUMBER(RIGHT(B99, 1) * 1), 1, 0)),metadata_testudines!B$1:B$60,1,FALSE)),FALSE,TRUE)</f>
        <v>0</v>
      </c>
      <c r="F99" t="s">
        <v>660</v>
      </c>
      <c r="G99" t="s">
        <v>666</v>
      </c>
      <c r="H99">
        <v>100</v>
      </c>
      <c r="I99" t="s">
        <v>667</v>
      </c>
      <c r="J99" t="s">
        <v>668</v>
      </c>
      <c r="K99" t="s">
        <v>647</v>
      </c>
      <c r="L99" t="s">
        <v>664</v>
      </c>
      <c r="M99" t="s">
        <v>664</v>
      </c>
    </row>
    <row r="100" spans="1:13" hidden="1" x14ac:dyDescent="0.2">
      <c r="A100" s="10" t="s">
        <v>558</v>
      </c>
      <c r="B100" t="s">
        <v>192</v>
      </c>
      <c r="C100" t="s">
        <v>658</v>
      </c>
      <c r="D100" t="s">
        <v>659</v>
      </c>
      <c r="E100" s="10" t="b">
        <f>IF(ISERROR(VLOOKUP( LEFT(B100, LEN(B100) - IF(ISNUMBER(RIGHT(B100, 1) * 1), 1, 0)),metadata_testudines!B$1:B$60,1,FALSE)),FALSE,TRUE)</f>
        <v>0</v>
      </c>
      <c r="F100" t="s">
        <v>660</v>
      </c>
      <c r="G100" t="s">
        <v>661</v>
      </c>
      <c r="H100">
        <v>21</v>
      </c>
      <c r="I100" t="s">
        <v>662</v>
      </c>
      <c r="J100" t="s">
        <v>663</v>
      </c>
      <c r="K100" t="s">
        <v>647</v>
      </c>
      <c r="L100" t="s">
        <v>664</v>
      </c>
      <c r="M100" t="s">
        <v>664</v>
      </c>
    </row>
    <row r="101" spans="1:13" hidden="1" x14ac:dyDescent="0.2">
      <c r="A101" s="10" t="s">
        <v>558</v>
      </c>
      <c r="B101" t="s">
        <v>192</v>
      </c>
      <c r="C101" t="s">
        <v>658</v>
      </c>
      <c r="D101" t="s">
        <v>659</v>
      </c>
      <c r="E101" s="10" t="b">
        <f>IF(ISERROR(VLOOKUP( LEFT(B101, LEN(B101) - IF(ISNUMBER(RIGHT(B101, 1) * 1), 1, 0)),metadata_testudines!B$1:B$60,1,FALSE)),FALSE,TRUE)</f>
        <v>0</v>
      </c>
      <c r="F101" t="s">
        <v>660</v>
      </c>
      <c r="G101" t="s">
        <v>666</v>
      </c>
      <c r="H101">
        <v>177</v>
      </c>
      <c r="I101" t="s">
        <v>667</v>
      </c>
      <c r="J101" t="s">
        <v>668</v>
      </c>
      <c r="K101" t="s">
        <v>647</v>
      </c>
      <c r="L101" t="s">
        <v>664</v>
      </c>
      <c r="M101" t="s">
        <v>664</v>
      </c>
    </row>
    <row r="102" spans="1:13" hidden="1" x14ac:dyDescent="0.2">
      <c r="A102" s="10" t="s">
        <v>558</v>
      </c>
      <c r="B102" t="s">
        <v>192</v>
      </c>
      <c r="C102" t="s">
        <v>658</v>
      </c>
      <c r="D102" t="s">
        <v>659</v>
      </c>
      <c r="E102" s="10" t="b">
        <f>IF(ISERROR(VLOOKUP( LEFT(B102, LEN(B102) - IF(ISNUMBER(RIGHT(B102, 1) * 1), 1, 0)),metadata_testudines!B$1:B$60,1,FALSE)),FALSE,TRUE)</f>
        <v>0</v>
      </c>
      <c r="F102" t="s">
        <v>660</v>
      </c>
      <c r="G102" t="s">
        <v>661</v>
      </c>
      <c r="H102">
        <v>11.428451880000001</v>
      </c>
      <c r="I102" t="s">
        <v>662</v>
      </c>
      <c r="J102" t="s">
        <v>663</v>
      </c>
      <c r="K102" t="s">
        <v>647</v>
      </c>
      <c r="L102" t="s">
        <v>664</v>
      </c>
      <c r="M102" t="s">
        <v>664</v>
      </c>
    </row>
    <row r="103" spans="1:13" hidden="1" x14ac:dyDescent="0.2">
      <c r="A103" s="10" t="s">
        <v>558</v>
      </c>
      <c r="B103" t="s">
        <v>192</v>
      </c>
      <c r="C103" t="s">
        <v>658</v>
      </c>
      <c r="D103" t="s">
        <v>659</v>
      </c>
      <c r="E103" s="10" t="b">
        <f>IF(ISERROR(VLOOKUP( LEFT(B103, LEN(B103) - IF(ISNUMBER(RIGHT(B103, 1) * 1), 1, 0)),metadata_testudines!B$1:B$60,1,FALSE)),FALSE,TRUE)</f>
        <v>0</v>
      </c>
      <c r="F103" t="s">
        <v>660</v>
      </c>
      <c r="G103" t="s">
        <v>661</v>
      </c>
      <c r="H103">
        <v>9.1999999999999993</v>
      </c>
      <c r="I103" t="s">
        <v>662</v>
      </c>
      <c r="J103" t="s">
        <v>663</v>
      </c>
      <c r="K103" t="s">
        <v>647</v>
      </c>
      <c r="L103" t="s">
        <v>664</v>
      </c>
      <c r="M103" t="s">
        <v>664</v>
      </c>
    </row>
    <row r="104" spans="1:13" hidden="1" x14ac:dyDescent="0.2">
      <c r="A104" s="10" t="s">
        <v>558</v>
      </c>
      <c r="B104" t="s">
        <v>192</v>
      </c>
      <c r="C104" t="s">
        <v>658</v>
      </c>
      <c r="D104" t="s">
        <v>659</v>
      </c>
      <c r="E104" s="10" t="b">
        <f>IF(ISERROR(VLOOKUP( LEFT(B104, LEN(B104) - IF(ISNUMBER(RIGHT(B104, 1) * 1), 1, 0)),metadata_testudines!B$1:B$60,1,FALSE)),FALSE,TRUE)</f>
        <v>0</v>
      </c>
      <c r="F104" t="s">
        <v>660</v>
      </c>
      <c r="G104" t="s">
        <v>665</v>
      </c>
      <c r="H104">
        <v>3.3333821480000001</v>
      </c>
      <c r="I104" t="s">
        <v>662</v>
      </c>
      <c r="J104" t="s">
        <v>663</v>
      </c>
      <c r="K104" t="s">
        <v>647</v>
      </c>
      <c r="L104" t="s">
        <v>664</v>
      </c>
      <c r="M104" t="s">
        <v>664</v>
      </c>
    </row>
    <row r="105" spans="1:13" hidden="1" x14ac:dyDescent="0.2">
      <c r="A105" s="10" t="s">
        <v>558</v>
      </c>
      <c r="B105" t="s">
        <v>62</v>
      </c>
      <c r="C105" t="s">
        <v>658</v>
      </c>
      <c r="D105" t="s">
        <v>659</v>
      </c>
      <c r="E105" s="10" t="b">
        <f>IF(ISERROR(VLOOKUP( LEFT(B105, LEN(B105) - IF(ISNUMBER(RIGHT(B105, 1) * 1), 1, 0)),metadata_testudines!B$1:B$60,1,FALSE)),FALSE,TRUE)</f>
        <v>1</v>
      </c>
      <c r="F105" t="s">
        <v>660</v>
      </c>
      <c r="G105" t="s">
        <v>661</v>
      </c>
      <c r="H105">
        <v>1</v>
      </c>
      <c r="I105" t="s">
        <v>662</v>
      </c>
      <c r="J105" t="s">
        <v>663</v>
      </c>
      <c r="K105" t="s">
        <v>647</v>
      </c>
      <c r="L105" t="s">
        <v>664</v>
      </c>
      <c r="M105" t="s">
        <v>664</v>
      </c>
    </row>
    <row r="106" spans="1:13" hidden="1" x14ac:dyDescent="0.2">
      <c r="A106" s="10" t="s">
        <v>558</v>
      </c>
      <c r="B106" t="s">
        <v>62</v>
      </c>
      <c r="C106" t="s">
        <v>658</v>
      </c>
      <c r="D106" t="s">
        <v>659</v>
      </c>
      <c r="E106" s="10" t="b">
        <f>IF(ISERROR(VLOOKUP( LEFT(B106, LEN(B106) - IF(ISNUMBER(RIGHT(B106, 1) * 1), 1, 0)),metadata_testudines!B$1:B$60,1,FALSE)),FALSE,TRUE)</f>
        <v>1</v>
      </c>
      <c r="F106" t="s">
        <v>660</v>
      </c>
      <c r="G106" t="s">
        <v>669</v>
      </c>
      <c r="H106">
        <v>4383</v>
      </c>
      <c r="I106" t="s">
        <v>662</v>
      </c>
      <c r="J106" t="s">
        <v>670</v>
      </c>
      <c r="K106" t="s">
        <v>647</v>
      </c>
      <c r="L106" t="s">
        <v>647</v>
      </c>
      <c r="M106" t="s">
        <v>664</v>
      </c>
    </row>
    <row r="107" spans="1:13" hidden="1" x14ac:dyDescent="0.2">
      <c r="A107" s="10" t="s">
        <v>558</v>
      </c>
      <c r="B107" t="s">
        <v>62</v>
      </c>
      <c r="C107" t="s">
        <v>658</v>
      </c>
      <c r="D107" t="s">
        <v>659</v>
      </c>
      <c r="E107" s="10" t="b">
        <f>IF(ISERROR(VLOOKUP( LEFT(B107, LEN(B107) - IF(ISNUMBER(RIGHT(B107, 1) * 1), 1, 0)),metadata_testudines!B$1:B$60,1,FALSE)),FALSE,TRUE)</f>
        <v>1</v>
      </c>
      <c r="F107" t="s">
        <v>660</v>
      </c>
      <c r="G107" t="s">
        <v>661</v>
      </c>
      <c r="H107">
        <v>2</v>
      </c>
      <c r="I107" t="s">
        <v>662</v>
      </c>
      <c r="J107" t="s">
        <v>663</v>
      </c>
      <c r="K107" t="s">
        <v>647</v>
      </c>
      <c r="L107" t="s">
        <v>664</v>
      </c>
      <c r="M107" t="s">
        <v>664</v>
      </c>
    </row>
    <row r="108" spans="1:13" hidden="1" x14ac:dyDescent="0.2">
      <c r="A108" s="10" t="s">
        <v>558</v>
      </c>
      <c r="B108" t="s">
        <v>62</v>
      </c>
      <c r="C108" t="s">
        <v>658</v>
      </c>
      <c r="D108" t="s">
        <v>659</v>
      </c>
      <c r="E108" s="10" t="b">
        <f>IF(ISERROR(VLOOKUP( LEFT(B108, LEN(B108) - IF(ISNUMBER(RIGHT(B108, 1) * 1), 1, 0)),metadata_testudines!B$1:B$60,1,FALSE)),FALSE,TRUE)</f>
        <v>1</v>
      </c>
      <c r="F108" t="s">
        <v>660</v>
      </c>
      <c r="G108" t="s">
        <v>661</v>
      </c>
      <c r="H108">
        <v>7</v>
      </c>
      <c r="I108" t="s">
        <v>662</v>
      </c>
      <c r="J108" t="s">
        <v>663</v>
      </c>
      <c r="K108" t="s">
        <v>647</v>
      </c>
      <c r="L108" t="s">
        <v>664</v>
      </c>
      <c r="M108" t="s">
        <v>664</v>
      </c>
    </row>
    <row r="109" spans="1:13" hidden="1" x14ac:dyDescent="0.2">
      <c r="A109" s="10" t="s">
        <v>558</v>
      </c>
      <c r="B109" t="s">
        <v>62</v>
      </c>
      <c r="C109" t="s">
        <v>658</v>
      </c>
      <c r="D109" t="s">
        <v>659</v>
      </c>
      <c r="E109" s="10" t="b">
        <f>IF(ISERROR(VLOOKUP( LEFT(B109, LEN(B109) - IF(ISNUMBER(RIGHT(B109, 1) * 1), 1, 0)),metadata_testudines!B$1:B$60,1,FALSE)),FALSE,TRUE)</f>
        <v>1</v>
      </c>
      <c r="F109" t="s">
        <v>660</v>
      </c>
      <c r="G109" t="s">
        <v>661</v>
      </c>
      <c r="H109">
        <v>7</v>
      </c>
      <c r="I109" t="s">
        <v>662</v>
      </c>
      <c r="J109" t="s">
        <v>663</v>
      </c>
      <c r="K109" t="s">
        <v>647</v>
      </c>
      <c r="L109" t="s">
        <v>664</v>
      </c>
      <c r="M109" t="s">
        <v>664</v>
      </c>
    </row>
    <row r="110" spans="1:13" hidden="1" x14ac:dyDescent="0.2">
      <c r="A110" s="10" t="s">
        <v>558</v>
      </c>
      <c r="B110" t="s">
        <v>62</v>
      </c>
      <c r="C110" t="s">
        <v>658</v>
      </c>
      <c r="D110" t="s">
        <v>659</v>
      </c>
      <c r="E110" s="10" t="b">
        <f>IF(ISERROR(VLOOKUP( LEFT(B110, LEN(B110) - IF(ISNUMBER(RIGHT(B110, 1) * 1), 1, 0)),metadata_testudines!B$1:B$60,1,FALSE)),FALSE,TRUE)</f>
        <v>1</v>
      </c>
      <c r="F110" t="s">
        <v>660</v>
      </c>
      <c r="G110" t="s">
        <v>665</v>
      </c>
      <c r="H110">
        <v>3</v>
      </c>
      <c r="I110" t="s">
        <v>662</v>
      </c>
      <c r="J110" t="s">
        <v>663</v>
      </c>
      <c r="K110" t="s">
        <v>647</v>
      </c>
      <c r="L110" t="s">
        <v>664</v>
      </c>
      <c r="M110" t="s">
        <v>664</v>
      </c>
    </row>
    <row r="111" spans="1:13" hidden="1" x14ac:dyDescent="0.2">
      <c r="A111" s="10" t="s">
        <v>558</v>
      </c>
      <c r="B111" t="s">
        <v>62</v>
      </c>
      <c r="C111" t="s">
        <v>658</v>
      </c>
      <c r="D111" t="s">
        <v>659</v>
      </c>
      <c r="E111" s="10" t="b">
        <f>IF(ISERROR(VLOOKUP( LEFT(B111, LEN(B111) - IF(ISNUMBER(RIGHT(B111, 1) * 1), 1, 0)),metadata_testudines!B$1:B$60,1,FALSE)),FALSE,TRUE)</f>
        <v>1</v>
      </c>
      <c r="F111" t="s">
        <v>660</v>
      </c>
      <c r="G111" t="s">
        <v>665</v>
      </c>
      <c r="H111">
        <v>3</v>
      </c>
      <c r="I111" t="s">
        <v>662</v>
      </c>
      <c r="J111" t="s">
        <v>663</v>
      </c>
      <c r="K111" t="s">
        <v>647</v>
      </c>
      <c r="L111" t="s">
        <v>664</v>
      </c>
      <c r="M111" t="s">
        <v>664</v>
      </c>
    </row>
    <row r="112" spans="1:13" hidden="1" x14ac:dyDescent="0.2">
      <c r="A112" s="10" t="s">
        <v>558</v>
      </c>
      <c r="B112" t="s">
        <v>62</v>
      </c>
      <c r="C112" t="s">
        <v>658</v>
      </c>
      <c r="D112" t="s">
        <v>659</v>
      </c>
      <c r="E112" s="10" t="b">
        <f>IF(ISERROR(VLOOKUP( LEFT(B112, LEN(B112) - IF(ISNUMBER(RIGHT(B112, 1) * 1), 1, 0)),metadata_testudines!B$1:B$60,1,FALSE)),FALSE,TRUE)</f>
        <v>1</v>
      </c>
      <c r="F112" t="s">
        <v>660</v>
      </c>
      <c r="G112" t="s">
        <v>661</v>
      </c>
      <c r="H112">
        <v>1</v>
      </c>
      <c r="I112" t="s">
        <v>662</v>
      </c>
      <c r="J112" t="s">
        <v>663</v>
      </c>
      <c r="K112" t="s">
        <v>647</v>
      </c>
      <c r="L112" t="s">
        <v>664</v>
      </c>
      <c r="M112" t="s">
        <v>664</v>
      </c>
    </row>
    <row r="113" spans="1:13" hidden="1" x14ac:dyDescent="0.2">
      <c r="A113" s="10" t="s">
        <v>558</v>
      </c>
      <c r="B113" t="s">
        <v>62</v>
      </c>
      <c r="C113" t="s">
        <v>658</v>
      </c>
      <c r="D113" t="s">
        <v>659</v>
      </c>
      <c r="E113" s="10" t="b">
        <f>IF(ISERROR(VLOOKUP( LEFT(B113, LEN(B113) - IF(ISNUMBER(RIGHT(B113, 1) * 1), 1, 0)),metadata_testudines!B$1:B$60,1,FALSE)),FALSE,TRUE)</f>
        <v>1</v>
      </c>
      <c r="F113" t="s">
        <v>660</v>
      </c>
      <c r="G113" t="s">
        <v>661</v>
      </c>
      <c r="H113">
        <v>15</v>
      </c>
      <c r="I113" t="s">
        <v>662</v>
      </c>
      <c r="J113" t="s">
        <v>663</v>
      </c>
      <c r="K113" t="s">
        <v>647</v>
      </c>
      <c r="L113" t="s">
        <v>664</v>
      </c>
      <c r="M113" t="s">
        <v>664</v>
      </c>
    </row>
    <row r="114" spans="1:13" hidden="1" x14ac:dyDescent="0.2">
      <c r="A114" s="10" t="s">
        <v>558</v>
      </c>
      <c r="B114" t="s">
        <v>62</v>
      </c>
      <c r="C114" t="s">
        <v>658</v>
      </c>
      <c r="D114" t="s">
        <v>659</v>
      </c>
      <c r="E114" s="10" t="b">
        <f>IF(ISERROR(VLOOKUP( LEFT(B114, LEN(B114) - IF(ISNUMBER(RIGHT(B114, 1) * 1), 1, 0)),metadata_testudines!B$1:B$60,1,FALSE)),FALSE,TRUE)</f>
        <v>1</v>
      </c>
      <c r="F114" t="s">
        <v>660</v>
      </c>
      <c r="G114" t="s">
        <v>665</v>
      </c>
      <c r="H114">
        <v>1</v>
      </c>
      <c r="I114" t="s">
        <v>662</v>
      </c>
      <c r="J114" t="s">
        <v>663</v>
      </c>
      <c r="K114" t="s">
        <v>647</v>
      </c>
      <c r="L114" t="s">
        <v>664</v>
      </c>
      <c r="M114" t="s">
        <v>664</v>
      </c>
    </row>
    <row r="115" spans="1:13" hidden="1" x14ac:dyDescent="0.2">
      <c r="A115" s="10" t="s">
        <v>558</v>
      </c>
      <c r="B115" t="s">
        <v>62</v>
      </c>
      <c r="C115" t="s">
        <v>658</v>
      </c>
      <c r="D115" t="s">
        <v>659</v>
      </c>
      <c r="E115" s="10" t="b">
        <f>IF(ISERROR(VLOOKUP( LEFT(B115, LEN(B115) - IF(ISNUMBER(RIGHT(B115, 1) * 1), 1, 0)),metadata_testudines!B$1:B$60,1,FALSE)),FALSE,TRUE)</f>
        <v>1</v>
      </c>
      <c r="F115" t="s">
        <v>660</v>
      </c>
      <c r="G115" t="s">
        <v>661</v>
      </c>
      <c r="H115">
        <v>3</v>
      </c>
      <c r="I115" t="s">
        <v>662</v>
      </c>
      <c r="J115" t="s">
        <v>663</v>
      </c>
      <c r="K115" t="s">
        <v>647</v>
      </c>
      <c r="L115" t="s">
        <v>664</v>
      </c>
      <c r="M115" t="s">
        <v>664</v>
      </c>
    </row>
    <row r="116" spans="1:13" hidden="1" x14ac:dyDescent="0.2">
      <c r="A116" s="10" t="s">
        <v>558</v>
      </c>
      <c r="B116" t="s">
        <v>62</v>
      </c>
      <c r="C116" t="s">
        <v>658</v>
      </c>
      <c r="D116" t="s">
        <v>659</v>
      </c>
      <c r="E116" s="10" t="b">
        <f>IF(ISERROR(VLOOKUP( LEFT(B116, LEN(B116) - IF(ISNUMBER(RIGHT(B116, 1) * 1), 1, 0)),metadata_testudines!B$1:B$60,1,FALSE)),FALSE,TRUE)</f>
        <v>1</v>
      </c>
      <c r="F116" t="s">
        <v>660</v>
      </c>
      <c r="G116" t="s">
        <v>669</v>
      </c>
      <c r="H116">
        <v>4383</v>
      </c>
      <c r="I116" t="s">
        <v>662</v>
      </c>
      <c r="J116" t="s">
        <v>670</v>
      </c>
      <c r="K116" t="s">
        <v>647</v>
      </c>
      <c r="L116" t="s">
        <v>647</v>
      </c>
      <c r="M116" t="s">
        <v>664</v>
      </c>
    </row>
    <row r="117" spans="1:13" hidden="1" x14ac:dyDescent="0.2">
      <c r="A117" s="10" t="s">
        <v>558</v>
      </c>
      <c r="B117" t="s">
        <v>193</v>
      </c>
      <c r="C117" t="s">
        <v>658</v>
      </c>
      <c r="D117" t="s">
        <v>659</v>
      </c>
      <c r="E117" s="10" t="b">
        <f>IF(ISERROR(VLOOKUP( LEFT(B117, LEN(B117) - IF(ISNUMBER(RIGHT(B117, 1) * 1), 1, 0)),metadata_testudines!B$1:B$60,1,FALSE)),FALSE,TRUE)</f>
        <v>0</v>
      </c>
      <c r="F117" t="s">
        <v>660</v>
      </c>
      <c r="G117" t="s">
        <v>661</v>
      </c>
      <c r="H117">
        <v>9.1999999999999993</v>
      </c>
      <c r="I117" t="s">
        <v>662</v>
      </c>
      <c r="J117" t="s">
        <v>663</v>
      </c>
      <c r="K117" t="s">
        <v>647</v>
      </c>
      <c r="L117" t="s">
        <v>664</v>
      </c>
      <c r="M117" t="s">
        <v>664</v>
      </c>
    </row>
    <row r="118" spans="1:13" hidden="1" x14ac:dyDescent="0.2">
      <c r="A118" s="10" t="s">
        <v>558</v>
      </c>
      <c r="B118" t="s">
        <v>193</v>
      </c>
      <c r="C118" t="s">
        <v>658</v>
      </c>
      <c r="D118" t="s">
        <v>659</v>
      </c>
      <c r="E118" s="10" t="b">
        <f>IF(ISERROR(VLOOKUP( LEFT(B118, LEN(B118) - IF(ISNUMBER(RIGHT(B118, 1) * 1), 1, 0)),metadata_testudines!B$1:B$60,1,FALSE)),FALSE,TRUE)</f>
        <v>0</v>
      </c>
      <c r="F118" t="s">
        <v>660</v>
      </c>
      <c r="G118" t="s">
        <v>665</v>
      </c>
      <c r="H118">
        <v>3.3333821480000001</v>
      </c>
      <c r="I118" t="s">
        <v>662</v>
      </c>
      <c r="J118" t="s">
        <v>663</v>
      </c>
      <c r="K118" t="s">
        <v>647</v>
      </c>
      <c r="L118" t="s">
        <v>664</v>
      </c>
      <c r="M118" t="s">
        <v>664</v>
      </c>
    </row>
    <row r="119" spans="1:13" hidden="1" x14ac:dyDescent="0.2">
      <c r="A119" s="10" t="s">
        <v>558</v>
      </c>
      <c r="B119" t="s">
        <v>193</v>
      </c>
      <c r="C119" t="s">
        <v>658</v>
      </c>
      <c r="D119" t="s">
        <v>659</v>
      </c>
      <c r="E119" s="10" t="b">
        <f>IF(ISERROR(VLOOKUP( LEFT(B119, LEN(B119) - IF(ISNUMBER(RIGHT(B119, 1) * 1), 1, 0)),metadata_testudines!B$1:B$60,1,FALSE)),FALSE,TRUE)</f>
        <v>0</v>
      </c>
      <c r="F119" t="s">
        <v>660</v>
      </c>
      <c r="G119" t="s">
        <v>661</v>
      </c>
      <c r="H119">
        <v>11.428451880000001</v>
      </c>
      <c r="I119" t="s">
        <v>662</v>
      </c>
      <c r="J119" t="s">
        <v>663</v>
      </c>
      <c r="K119" t="s">
        <v>647</v>
      </c>
      <c r="L119" t="s">
        <v>664</v>
      </c>
      <c r="M119" t="s">
        <v>664</v>
      </c>
    </row>
    <row r="120" spans="1:13" hidden="1" x14ac:dyDescent="0.2">
      <c r="A120" s="10" t="s">
        <v>558</v>
      </c>
      <c r="B120" t="s">
        <v>193</v>
      </c>
      <c r="C120" t="s">
        <v>658</v>
      </c>
      <c r="D120" t="s">
        <v>659</v>
      </c>
      <c r="E120" s="10" t="b">
        <f>IF(ISERROR(VLOOKUP( LEFT(B120, LEN(B120) - IF(ISNUMBER(RIGHT(B120, 1) * 1), 1, 0)),metadata_testudines!B$1:B$60,1,FALSE)),FALSE,TRUE)</f>
        <v>0</v>
      </c>
      <c r="F120" t="s">
        <v>660</v>
      </c>
      <c r="G120" t="s">
        <v>666</v>
      </c>
      <c r="H120">
        <v>177</v>
      </c>
      <c r="I120" t="s">
        <v>667</v>
      </c>
      <c r="J120" t="s">
        <v>668</v>
      </c>
      <c r="K120" t="s">
        <v>647</v>
      </c>
      <c r="L120" t="s">
        <v>664</v>
      </c>
      <c r="M120" t="s">
        <v>664</v>
      </c>
    </row>
    <row r="121" spans="1:13" hidden="1" x14ac:dyDescent="0.2">
      <c r="A121" s="10" t="s">
        <v>558</v>
      </c>
      <c r="B121" t="s">
        <v>193</v>
      </c>
      <c r="C121" t="s">
        <v>658</v>
      </c>
      <c r="D121" t="s">
        <v>659</v>
      </c>
      <c r="E121" s="10" t="b">
        <f>IF(ISERROR(VLOOKUP( LEFT(B121, LEN(B121) - IF(ISNUMBER(RIGHT(B121, 1) * 1), 1, 0)),metadata_testudines!B$1:B$60,1,FALSE)),FALSE,TRUE)</f>
        <v>0</v>
      </c>
      <c r="F121" t="s">
        <v>660</v>
      </c>
      <c r="G121" t="s">
        <v>666</v>
      </c>
      <c r="H121">
        <v>177</v>
      </c>
      <c r="I121" t="s">
        <v>667</v>
      </c>
      <c r="J121" t="s">
        <v>668</v>
      </c>
      <c r="K121" t="s">
        <v>647</v>
      </c>
      <c r="L121" t="s">
        <v>664</v>
      </c>
      <c r="M121" t="s">
        <v>664</v>
      </c>
    </row>
    <row r="122" spans="1:13" hidden="1" x14ac:dyDescent="0.2">
      <c r="A122" s="10" t="s">
        <v>558</v>
      </c>
      <c r="B122" t="s">
        <v>193</v>
      </c>
      <c r="C122" t="s">
        <v>658</v>
      </c>
      <c r="D122" t="s">
        <v>659</v>
      </c>
      <c r="E122" s="10" t="b">
        <f>IF(ISERROR(VLOOKUP( LEFT(B122, LEN(B122) - IF(ISNUMBER(RIGHT(B122, 1) * 1), 1, 0)),metadata_testudines!B$1:B$60,1,FALSE)),FALSE,TRUE)</f>
        <v>0</v>
      </c>
      <c r="F122" t="s">
        <v>660</v>
      </c>
      <c r="G122" t="s">
        <v>666</v>
      </c>
      <c r="H122">
        <v>70</v>
      </c>
      <c r="I122" t="s">
        <v>667</v>
      </c>
      <c r="J122" t="s">
        <v>668</v>
      </c>
      <c r="K122" t="s">
        <v>647</v>
      </c>
      <c r="L122" t="s">
        <v>664</v>
      </c>
      <c r="M122" t="s">
        <v>664</v>
      </c>
    </row>
    <row r="123" spans="1:13" hidden="1" x14ac:dyDescent="0.2">
      <c r="A123" s="10" t="s">
        <v>558</v>
      </c>
      <c r="B123" t="s">
        <v>193</v>
      </c>
      <c r="C123" t="s">
        <v>658</v>
      </c>
      <c r="D123" t="s">
        <v>659</v>
      </c>
      <c r="E123" s="10" t="b">
        <f>IF(ISERROR(VLOOKUP( LEFT(B123, LEN(B123) - IF(ISNUMBER(RIGHT(B123, 1) * 1), 1, 0)),metadata_testudines!B$1:B$60,1,FALSE)),FALSE,TRUE)</f>
        <v>0</v>
      </c>
      <c r="F123" t="s">
        <v>660</v>
      </c>
      <c r="G123" t="s">
        <v>666</v>
      </c>
      <c r="H123">
        <v>60</v>
      </c>
      <c r="I123" t="s">
        <v>667</v>
      </c>
      <c r="J123" t="s">
        <v>668</v>
      </c>
      <c r="K123" t="s">
        <v>647</v>
      </c>
      <c r="L123" t="s">
        <v>664</v>
      </c>
      <c r="M123" t="s">
        <v>664</v>
      </c>
    </row>
    <row r="124" spans="1:13" hidden="1" x14ac:dyDescent="0.2">
      <c r="A124" s="10" t="s">
        <v>558</v>
      </c>
      <c r="B124" t="s">
        <v>193</v>
      </c>
      <c r="C124" t="s">
        <v>658</v>
      </c>
      <c r="D124" t="s">
        <v>659</v>
      </c>
      <c r="E124" s="10" t="b">
        <f>IF(ISERROR(VLOOKUP( LEFT(B124, LEN(B124) - IF(ISNUMBER(RIGHT(B124, 1) * 1), 1, 0)),metadata_testudines!B$1:B$60,1,FALSE)),FALSE,TRUE)</f>
        <v>0</v>
      </c>
      <c r="F124" t="s">
        <v>660</v>
      </c>
      <c r="G124" t="s">
        <v>661</v>
      </c>
      <c r="H124">
        <v>21</v>
      </c>
      <c r="I124" t="s">
        <v>662</v>
      </c>
      <c r="J124" t="s">
        <v>663</v>
      </c>
      <c r="K124" t="s">
        <v>647</v>
      </c>
      <c r="L124" t="s">
        <v>664</v>
      </c>
      <c r="M124" t="s">
        <v>664</v>
      </c>
    </row>
    <row r="125" spans="1:13" hidden="1" x14ac:dyDescent="0.2">
      <c r="A125" s="10" t="s">
        <v>558</v>
      </c>
      <c r="B125" t="s">
        <v>193</v>
      </c>
      <c r="C125" t="s">
        <v>658</v>
      </c>
      <c r="D125" t="s">
        <v>659</v>
      </c>
      <c r="E125" s="10" t="b">
        <f>IF(ISERROR(VLOOKUP( LEFT(B125, LEN(B125) - IF(ISNUMBER(RIGHT(B125, 1) * 1), 1, 0)),metadata_testudines!B$1:B$60,1,FALSE)),FALSE,TRUE)</f>
        <v>0</v>
      </c>
      <c r="F125" t="s">
        <v>660</v>
      </c>
      <c r="G125" t="s">
        <v>661</v>
      </c>
      <c r="H125">
        <v>5</v>
      </c>
      <c r="I125" t="s">
        <v>662</v>
      </c>
      <c r="J125" t="s">
        <v>663</v>
      </c>
      <c r="K125" t="s">
        <v>647</v>
      </c>
      <c r="L125" t="s">
        <v>664</v>
      </c>
      <c r="M125" t="s">
        <v>664</v>
      </c>
    </row>
    <row r="126" spans="1:13" hidden="1" x14ac:dyDescent="0.2">
      <c r="A126" s="10" t="s">
        <v>558</v>
      </c>
      <c r="B126" t="s">
        <v>193</v>
      </c>
      <c r="C126" t="s">
        <v>658</v>
      </c>
      <c r="D126" t="s">
        <v>659</v>
      </c>
      <c r="E126" s="10" t="b">
        <f>IF(ISERROR(VLOOKUP( LEFT(B126, LEN(B126) - IF(ISNUMBER(RIGHT(B126, 1) * 1), 1, 0)),metadata_testudines!B$1:B$60,1,FALSE)),FALSE,TRUE)</f>
        <v>0</v>
      </c>
      <c r="F126" t="s">
        <v>660</v>
      </c>
      <c r="G126" t="s">
        <v>661</v>
      </c>
      <c r="H126">
        <v>10</v>
      </c>
      <c r="I126" t="s">
        <v>662</v>
      </c>
      <c r="J126" t="s">
        <v>663</v>
      </c>
      <c r="K126" t="s">
        <v>647</v>
      </c>
      <c r="L126" t="s">
        <v>664</v>
      </c>
      <c r="M126" t="s">
        <v>664</v>
      </c>
    </row>
    <row r="127" spans="1:13" hidden="1" x14ac:dyDescent="0.2">
      <c r="A127" s="10" t="s">
        <v>558</v>
      </c>
      <c r="B127" t="s">
        <v>193</v>
      </c>
      <c r="C127" t="s">
        <v>658</v>
      </c>
      <c r="D127" t="s">
        <v>659</v>
      </c>
      <c r="E127" s="10" t="b">
        <f>IF(ISERROR(VLOOKUP( LEFT(B127, LEN(B127) - IF(ISNUMBER(RIGHT(B127, 1) * 1), 1, 0)),metadata_testudines!B$1:B$60,1,FALSE)),FALSE,TRUE)</f>
        <v>0</v>
      </c>
      <c r="F127" t="s">
        <v>660</v>
      </c>
      <c r="G127" t="s">
        <v>666</v>
      </c>
      <c r="H127">
        <v>100</v>
      </c>
      <c r="I127" t="s">
        <v>667</v>
      </c>
      <c r="J127" t="s">
        <v>668</v>
      </c>
      <c r="K127" t="s">
        <v>647</v>
      </c>
      <c r="L127" t="s">
        <v>664</v>
      </c>
      <c r="M127" t="s">
        <v>664</v>
      </c>
    </row>
    <row r="128" spans="1:13" hidden="1" x14ac:dyDescent="0.2">
      <c r="A128" s="10" t="s">
        <v>558</v>
      </c>
      <c r="B128" t="s">
        <v>706</v>
      </c>
      <c r="C128" t="s">
        <v>658</v>
      </c>
      <c r="D128" t="s">
        <v>659</v>
      </c>
      <c r="E128" s="10" t="b">
        <f>IF(ISERROR(VLOOKUP( LEFT(B128, LEN(B128) - IF(ISNUMBER(RIGHT(B128, 1) * 1), 1, 0)),metadata_testudines!B$1:B$60,1,FALSE)),FALSE,TRUE)</f>
        <v>0</v>
      </c>
      <c r="F128" t="s">
        <v>660</v>
      </c>
      <c r="G128" t="s">
        <v>661</v>
      </c>
      <c r="H128">
        <v>12</v>
      </c>
      <c r="I128" t="s">
        <v>662</v>
      </c>
      <c r="J128" t="s">
        <v>663</v>
      </c>
      <c r="K128" t="s">
        <v>647</v>
      </c>
      <c r="L128" t="s">
        <v>664</v>
      </c>
      <c r="M128" t="s">
        <v>664</v>
      </c>
    </row>
    <row r="129" spans="1:13" hidden="1" x14ac:dyDescent="0.2">
      <c r="A129" s="10" t="s">
        <v>558</v>
      </c>
      <c r="B129" t="s">
        <v>706</v>
      </c>
      <c r="C129" t="s">
        <v>658</v>
      </c>
      <c r="D129" t="s">
        <v>659</v>
      </c>
      <c r="E129" s="10" t="b">
        <f>IF(ISERROR(VLOOKUP( LEFT(B129, LEN(B129) - IF(ISNUMBER(RIGHT(B129, 1) * 1), 1, 0)),metadata_testudines!B$1:B$60,1,FALSE)),FALSE,TRUE)</f>
        <v>0</v>
      </c>
      <c r="F129" t="s">
        <v>671</v>
      </c>
      <c r="G129" t="s">
        <v>672</v>
      </c>
      <c r="H129">
        <v>35.200000000000003</v>
      </c>
      <c r="I129" t="s">
        <v>667</v>
      </c>
      <c r="J129" t="s">
        <v>668</v>
      </c>
      <c r="K129" t="s">
        <v>673</v>
      </c>
      <c r="L129" t="s">
        <v>664</v>
      </c>
      <c r="M129" t="s">
        <v>678</v>
      </c>
    </row>
    <row r="130" spans="1:13" hidden="1" x14ac:dyDescent="0.2">
      <c r="A130" s="10" t="s">
        <v>558</v>
      </c>
      <c r="B130" t="s">
        <v>706</v>
      </c>
      <c r="C130" t="s">
        <v>658</v>
      </c>
      <c r="D130" t="s">
        <v>659</v>
      </c>
      <c r="E130" s="10" t="b">
        <f>IF(ISERROR(VLOOKUP( LEFT(B130, LEN(B130) - IF(ISNUMBER(RIGHT(B130, 1) * 1), 1, 0)),metadata_testudines!B$1:B$60,1,FALSE)),FALSE,TRUE)</f>
        <v>0</v>
      </c>
      <c r="F130" t="s">
        <v>660</v>
      </c>
      <c r="G130" t="s">
        <v>666</v>
      </c>
      <c r="H130">
        <v>35.200000000000003</v>
      </c>
      <c r="I130" t="s">
        <v>667</v>
      </c>
      <c r="J130" t="s">
        <v>668</v>
      </c>
      <c r="K130" t="s">
        <v>647</v>
      </c>
      <c r="L130" t="s">
        <v>664</v>
      </c>
      <c r="M130" t="s">
        <v>664</v>
      </c>
    </row>
    <row r="131" spans="1:13" hidden="1" x14ac:dyDescent="0.2">
      <c r="A131" s="10" t="s">
        <v>558</v>
      </c>
      <c r="B131" t="s">
        <v>706</v>
      </c>
      <c r="C131" t="s">
        <v>658</v>
      </c>
      <c r="D131" t="s">
        <v>659</v>
      </c>
      <c r="E131" s="10" t="b">
        <f>IF(ISERROR(VLOOKUP( LEFT(B131, LEN(B131) - IF(ISNUMBER(RIGHT(B131, 1) * 1), 1, 0)),metadata_testudines!B$1:B$60,1,FALSE)),FALSE,TRUE)</f>
        <v>0</v>
      </c>
      <c r="F131" t="s">
        <v>660</v>
      </c>
      <c r="G131" t="s">
        <v>661</v>
      </c>
      <c r="H131">
        <v>20</v>
      </c>
      <c r="I131" t="s">
        <v>662</v>
      </c>
      <c r="J131" t="s">
        <v>663</v>
      </c>
      <c r="K131" t="s">
        <v>647</v>
      </c>
      <c r="L131" t="s">
        <v>664</v>
      </c>
      <c r="M131" t="s">
        <v>664</v>
      </c>
    </row>
    <row r="132" spans="1:13" hidden="1" x14ac:dyDescent="0.2">
      <c r="A132" s="10" t="s">
        <v>558</v>
      </c>
      <c r="B132" t="s">
        <v>706</v>
      </c>
      <c r="C132" t="s">
        <v>658</v>
      </c>
      <c r="D132" t="s">
        <v>659</v>
      </c>
      <c r="E132" s="10" t="b">
        <f>IF(ISERROR(VLOOKUP( LEFT(B132, LEN(B132) - IF(ISNUMBER(RIGHT(B132, 1) * 1), 1, 0)),metadata_testudines!B$1:B$60,1,FALSE)),FALSE,TRUE)</f>
        <v>0</v>
      </c>
      <c r="F132" t="s">
        <v>660</v>
      </c>
      <c r="G132" t="s">
        <v>661</v>
      </c>
      <c r="H132">
        <v>3</v>
      </c>
      <c r="I132" t="s">
        <v>662</v>
      </c>
      <c r="J132" t="s">
        <v>663</v>
      </c>
      <c r="K132" t="s">
        <v>647</v>
      </c>
      <c r="L132" t="s">
        <v>664</v>
      </c>
      <c r="M132" t="s">
        <v>664</v>
      </c>
    </row>
    <row r="133" spans="1:13" hidden="1" x14ac:dyDescent="0.2">
      <c r="A133" s="10" t="s">
        <v>558</v>
      </c>
      <c r="B133" t="s">
        <v>706</v>
      </c>
      <c r="C133" t="s">
        <v>658</v>
      </c>
      <c r="D133" t="s">
        <v>659</v>
      </c>
      <c r="E133" s="10" t="b">
        <f>IF(ISERROR(VLOOKUP( LEFT(B133, LEN(B133) - IF(ISNUMBER(RIGHT(B133, 1) * 1), 1, 0)),metadata_testudines!B$1:B$60,1,FALSE)),FALSE,TRUE)</f>
        <v>0</v>
      </c>
      <c r="F133" t="s">
        <v>660</v>
      </c>
      <c r="G133" t="s">
        <v>661</v>
      </c>
      <c r="H133">
        <v>4</v>
      </c>
      <c r="I133" t="s">
        <v>662</v>
      </c>
      <c r="J133" t="s">
        <v>663</v>
      </c>
      <c r="K133" t="s">
        <v>647</v>
      </c>
      <c r="L133" t="s">
        <v>664</v>
      </c>
      <c r="M133" t="s">
        <v>664</v>
      </c>
    </row>
    <row r="134" spans="1:13" hidden="1" x14ac:dyDescent="0.2">
      <c r="A134" s="10" t="s">
        <v>558</v>
      </c>
      <c r="B134" t="s">
        <v>706</v>
      </c>
      <c r="C134" t="s">
        <v>658</v>
      </c>
      <c r="D134" t="s">
        <v>659</v>
      </c>
      <c r="E134" s="10" t="b">
        <f>IF(ISERROR(VLOOKUP( LEFT(B134, LEN(B134) - IF(ISNUMBER(RIGHT(B134, 1) * 1), 1, 0)),metadata_testudines!B$1:B$60,1,FALSE)),FALSE,TRUE)</f>
        <v>0</v>
      </c>
      <c r="F134" t="s">
        <v>660</v>
      </c>
      <c r="G134" t="s">
        <v>661</v>
      </c>
      <c r="H134">
        <v>19</v>
      </c>
      <c r="I134" t="s">
        <v>662</v>
      </c>
      <c r="J134" t="s">
        <v>663</v>
      </c>
      <c r="K134" t="s">
        <v>647</v>
      </c>
      <c r="L134" t="s">
        <v>664</v>
      </c>
      <c r="M134" t="s">
        <v>664</v>
      </c>
    </row>
    <row r="135" spans="1:13" hidden="1" x14ac:dyDescent="0.2">
      <c r="A135" s="10" t="s">
        <v>558</v>
      </c>
      <c r="B135" t="s">
        <v>706</v>
      </c>
      <c r="C135" t="s">
        <v>658</v>
      </c>
      <c r="D135" t="s">
        <v>659</v>
      </c>
      <c r="E135" s="10" t="b">
        <f>IF(ISERROR(VLOOKUP( LEFT(B135, LEN(B135) - IF(ISNUMBER(RIGHT(B135, 1) * 1), 1, 0)),metadata_testudines!B$1:B$60,1,FALSE)),FALSE,TRUE)</f>
        <v>0</v>
      </c>
      <c r="F135" t="s">
        <v>660</v>
      </c>
      <c r="G135" t="s">
        <v>661</v>
      </c>
      <c r="H135">
        <v>5</v>
      </c>
      <c r="I135" t="s">
        <v>662</v>
      </c>
      <c r="J135" t="s">
        <v>663</v>
      </c>
      <c r="K135" t="s">
        <v>647</v>
      </c>
      <c r="L135" t="s">
        <v>664</v>
      </c>
      <c r="M135" t="s">
        <v>664</v>
      </c>
    </row>
    <row r="136" spans="1:13" hidden="1" x14ac:dyDescent="0.2">
      <c r="A136" s="10" t="s">
        <v>558</v>
      </c>
      <c r="B136" t="s">
        <v>706</v>
      </c>
      <c r="C136" t="s">
        <v>658</v>
      </c>
      <c r="D136" t="s">
        <v>659</v>
      </c>
      <c r="E136" s="10" t="b">
        <f>IF(ISERROR(VLOOKUP( LEFT(B136, LEN(B136) - IF(ISNUMBER(RIGHT(B136, 1) * 1), 1, 0)),metadata_testudines!B$1:B$60,1,FALSE)),FALSE,TRUE)</f>
        <v>0</v>
      </c>
      <c r="F136" t="s">
        <v>660</v>
      </c>
      <c r="G136" t="s">
        <v>661</v>
      </c>
      <c r="H136">
        <v>1</v>
      </c>
      <c r="I136" t="s">
        <v>662</v>
      </c>
      <c r="J136" t="s">
        <v>663</v>
      </c>
      <c r="K136" t="s">
        <v>647</v>
      </c>
      <c r="L136" t="s">
        <v>664</v>
      </c>
      <c r="M136" t="s">
        <v>664</v>
      </c>
    </row>
    <row r="137" spans="1:13" hidden="1" x14ac:dyDescent="0.2">
      <c r="A137" s="10" t="s">
        <v>558</v>
      </c>
      <c r="B137" t="s">
        <v>706</v>
      </c>
      <c r="C137" t="s">
        <v>658</v>
      </c>
      <c r="D137" t="s">
        <v>659</v>
      </c>
      <c r="E137" s="10" t="b">
        <f>IF(ISERROR(VLOOKUP( LEFT(B137, LEN(B137) - IF(ISNUMBER(RIGHT(B137, 1) * 1), 1, 0)),metadata_testudines!B$1:B$60,1,FALSE)),FALSE,TRUE)</f>
        <v>0</v>
      </c>
      <c r="F137" t="s">
        <v>660</v>
      </c>
      <c r="G137" t="s">
        <v>661</v>
      </c>
      <c r="H137">
        <v>8</v>
      </c>
      <c r="I137" t="s">
        <v>662</v>
      </c>
      <c r="J137" t="s">
        <v>663</v>
      </c>
      <c r="K137" t="s">
        <v>647</v>
      </c>
      <c r="L137" t="s">
        <v>664</v>
      </c>
      <c r="M137" t="s">
        <v>664</v>
      </c>
    </row>
    <row r="138" spans="1:13" hidden="1" x14ac:dyDescent="0.2">
      <c r="A138" s="10" t="s">
        <v>558</v>
      </c>
      <c r="B138" t="s">
        <v>194</v>
      </c>
      <c r="C138" t="s">
        <v>658</v>
      </c>
      <c r="D138" t="s">
        <v>659</v>
      </c>
      <c r="E138" s="10" t="b">
        <f>IF(ISERROR(VLOOKUP( LEFT(B138, LEN(B138) - IF(ISNUMBER(RIGHT(B138, 1) * 1), 1, 0)),metadata_testudines!B$1:B$60,1,FALSE)),FALSE,TRUE)</f>
        <v>0</v>
      </c>
      <c r="F138" t="s">
        <v>660</v>
      </c>
      <c r="G138" t="s">
        <v>666</v>
      </c>
      <c r="H138">
        <v>177</v>
      </c>
      <c r="I138" t="s">
        <v>667</v>
      </c>
      <c r="J138" t="s">
        <v>668</v>
      </c>
      <c r="K138" t="s">
        <v>647</v>
      </c>
      <c r="L138" t="s">
        <v>664</v>
      </c>
      <c r="M138" t="s">
        <v>664</v>
      </c>
    </row>
    <row r="139" spans="1:13" hidden="1" x14ac:dyDescent="0.2">
      <c r="A139" s="10" t="s">
        <v>558</v>
      </c>
      <c r="B139" t="s">
        <v>195</v>
      </c>
      <c r="C139" t="s">
        <v>658</v>
      </c>
      <c r="D139" t="s">
        <v>659</v>
      </c>
      <c r="E139" s="10" t="b">
        <f>IF(ISERROR(VLOOKUP( LEFT(B139, LEN(B139) - IF(ISNUMBER(RIGHT(B139, 1) * 1), 1, 0)),metadata_testudines!B$1:B$60,1,FALSE)),FALSE,TRUE)</f>
        <v>0</v>
      </c>
      <c r="F139" t="s">
        <v>660</v>
      </c>
      <c r="G139" t="s">
        <v>661</v>
      </c>
      <c r="H139">
        <v>11.428451880000001</v>
      </c>
      <c r="I139" t="s">
        <v>662</v>
      </c>
      <c r="J139" t="s">
        <v>663</v>
      </c>
      <c r="K139" t="s">
        <v>647</v>
      </c>
      <c r="L139" t="s">
        <v>664</v>
      </c>
      <c r="M139" t="s">
        <v>664</v>
      </c>
    </row>
    <row r="140" spans="1:13" hidden="1" x14ac:dyDescent="0.2">
      <c r="A140" s="10" t="s">
        <v>558</v>
      </c>
      <c r="B140" t="s">
        <v>195</v>
      </c>
      <c r="C140" t="s">
        <v>658</v>
      </c>
      <c r="D140" t="s">
        <v>659</v>
      </c>
      <c r="E140" s="10" t="b">
        <f>IF(ISERROR(VLOOKUP( LEFT(B140, LEN(B140) - IF(ISNUMBER(RIGHT(B140, 1) * 1), 1, 0)),metadata_testudines!B$1:B$60,1,FALSE)),FALSE,TRUE)</f>
        <v>0</v>
      </c>
      <c r="F140" t="s">
        <v>660</v>
      </c>
      <c r="G140" t="s">
        <v>666</v>
      </c>
      <c r="H140">
        <v>177</v>
      </c>
      <c r="I140" t="s">
        <v>667</v>
      </c>
      <c r="J140" t="s">
        <v>668</v>
      </c>
      <c r="K140" t="s">
        <v>647</v>
      </c>
      <c r="L140" t="s">
        <v>664</v>
      </c>
      <c r="M140" t="s">
        <v>664</v>
      </c>
    </row>
    <row r="141" spans="1:13" hidden="1" x14ac:dyDescent="0.2">
      <c r="A141" s="10" t="s">
        <v>558</v>
      </c>
      <c r="B141" t="s">
        <v>195</v>
      </c>
      <c r="C141" t="s">
        <v>658</v>
      </c>
      <c r="D141" t="s">
        <v>659</v>
      </c>
      <c r="E141" s="10" t="b">
        <f>IF(ISERROR(VLOOKUP( LEFT(B141, LEN(B141) - IF(ISNUMBER(RIGHT(B141, 1) * 1), 1, 0)),metadata_testudines!B$1:B$60,1,FALSE)),FALSE,TRUE)</f>
        <v>0</v>
      </c>
      <c r="F141" t="s">
        <v>660</v>
      </c>
      <c r="G141" t="s">
        <v>661</v>
      </c>
      <c r="H141">
        <v>9.1999999999999993</v>
      </c>
      <c r="I141" t="s">
        <v>662</v>
      </c>
      <c r="J141" t="s">
        <v>663</v>
      </c>
      <c r="K141" t="s">
        <v>647</v>
      </c>
      <c r="L141" t="s">
        <v>664</v>
      </c>
      <c r="M141" t="s">
        <v>664</v>
      </c>
    </row>
    <row r="142" spans="1:13" hidden="1" x14ac:dyDescent="0.2">
      <c r="A142" s="10" t="s">
        <v>558</v>
      </c>
      <c r="B142" t="s">
        <v>195</v>
      </c>
      <c r="C142" t="s">
        <v>658</v>
      </c>
      <c r="D142" t="s">
        <v>659</v>
      </c>
      <c r="E142" s="10" t="b">
        <f>IF(ISERROR(VLOOKUP( LEFT(B142, LEN(B142) - IF(ISNUMBER(RIGHT(B142, 1) * 1), 1, 0)),metadata_testudines!B$1:B$60,1,FALSE)),FALSE,TRUE)</f>
        <v>0</v>
      </c>
      <c r="F142" t="s">
        <v>660</v>
      </c>
      <c r="G142" t="s">
        <v>666</v>
      </c>
      <c r="H142">
        <v>177</v>
      </c>
      <c r="I142" t="s">
        <v>667</v>
      </c>
      <c r="J142" t="s">
        <v>668</v>
      </c>
      <c r="K142" t="s">
        <v>647</v>
      </c>
      <c r="L142" t="s">
        <v>664</v>
      </c>
      <c r="M142" t="s">
        <v>664</v>
      </c>
    </row>
    <row r="143" spans="1:13" hidden="1" x14ac:dyDescent="0.2">
      <c r="A143" s="10" t="s">
        <v>558</v>
      </c>
      <c r="B143" t="s">
        <v>195</v>
      </c>
      <c r="C143" t="s">
        <v>658</v>
      </c>
      <c r="D143" t="s">
        <v>659</v>
      </c>
      <c r="E143" s="10" t="b">
        <f>IF(ISERROR(VLOOKUP( LEFT(B143, LEN(B143) - IF(ISNUMBER(RIGHT(B143, 1) * 1), 1, 0)),metadata_testudines!B$1:B$60,1,FALSE)),FALSE,TRUE)</f>
        <v>0</v>
      </c>
      <c r="F143" t="s">
        <v>660</v>
      </c>
      <c r="G143" t="s">
        <v>666</v>
      </c>
      <c r="H143">
        <v>100</v>
      </c>
      <c r="I143" t="s">
        <v>667</v>
      </c>
      <c r="J143" t="s">
        <v>668</v>
      </c>
      <c r="K143" t="s">
        <v>647</v>
      </c>
      <c r="L143" t="s">
        <v>664</v>
      </c>
      <c r="M143" t="s">
        <v>664</v>
      </c>
    </row>
    <row r="144" spans="1:13" hidden="1" x14ac:dyDescent="0.2">
      <c r="A144" s="10" t="s">
        <v>558</v>
      </c>
      <c r="B144" t="s">
        <v>195</v>
      </c>
      <c r="C144" t="s">
        <v>658</v>
      </c>
      <c r="D144" t="s">
        <v>659</v>
      </c>
      <c r="E144" s="10" t="b">
        <f>IF(ISERROR(VLOOKUP( LEFT(B144, LEN(B144) - IF(ISNUMBER(RIGHT(B144, 1) * 1), 1, 0)),metadata_testudines!B$1:B$60,1,FALSE)),FALSE,TRUE)</f>
        <v>0</v>
      </c>
      <c r="F144" t="s">
        <v>660</v>
      </c>
      <c r="G144" t="s">
        <v>666</v>
      </c>
      <c r="H144">
        <v>60</v>
      </c>
      <c r="I144" t="s">
        <v>667</v>
      </c>
      <c r="J144" t="s">
        <v>668</v>
      </c>
      <c r="K144" t="s">
        <v>647</v>
      </c>
      <c r="L144" t="s">
        <v>664</v>
      </c>
      <c r="M144" t="s">
        <v>664</v>
      </c>
    </row>
    <row r="145" spans="1:13" hidden="1" x14ac:dyDescent="0.2">
      <c r="A145" s="10" t="s">
        <v>558</v>
      </c>
      <c r="B145" t="s">
        <v>195</v>
      </c>
      <c r="C145" t="s">
        <v>658</v>
      </c>
      <c r="D145" t="s">
        <v>659</v>
      </c>
      <c r="E145" s="10" t="b">
        <f>IF(ISERROR(VLOOKUP( LEFT(B145, LEN(B145) - IF(ISNUMBER(RIGHT(B145, 1) * 1), 1, 0)),metadata_testudines!B$1:B$60,1,FALSE)),FALSE,TRUE)</f>
        <v>0</v>
      </c>
      <c r="F145" t="s">
        <v>660</v>
      </c>
      <c r="G145" t="s">
        <v>661</v>
      </c>
      <c r="H145">
        <v>21</v>
      </c>
      <c r="I145" t="s">
        <v>662</v>
      </c>
      <c r="J145" t="s">
        <v>663</v>
      </c>
      <c r="K145" t="s">
        <v>647</v>
      </c>
      <c r="L145" t="s">
        <v>664</v>
      </c>
      <c r="M145" t="s">
        <v>664</v>
      </c>
    </row>
    <row r="146" spans="1:13" hidden="1" x14ac:dyDescent="0.2">
      <c r="A146" s="10" t="s">
        <v>558</v>
      </c>
      <c r="B146" t="s">
        <v>195</v>
      </c>
      <c r="C146" t="s">
        <v>658</v>
      </c>
      <c r="D146" t="s">
        <v>659</v>
      </c>
      <c r="E146" s="10" t="b">
        <f>IF(ISERROR(VLOOKUP( LEFT(B146, LEN(B146) - IF(ISNUMBER(RIGHT(B146, 1) * 1), 1, 0)),metadata_testudines!B$1:B$60,1,FALSE)),FALSE,TRUE)</f>
        <v>0</v>
      </c>
      <c r="F146" t="s">
        <v>660</v>
      </c>
      <c r="G146" t="s">
        <v>666</v>
      </c>
      <c r="H146">
        <v>70</v>
      </c>
      <c r="I146" t="s">
        <v>667</v>
      </c>
      <c r="J146" t="s">
        <v>668</v>
      </c>
      <c r="K146" t="s">
        <v>647</v>
      </c>
      <c r="L146" t="s">
        <v>664</v>
      </c>
      <c r="M146" t="s">
        <v>664</v>
      </c>
    </row>
    <row r="147" spans="1:13" hidden="1" x14ac:dyDescent="0.2">
      <c r="A147" s="10" t="s">
        <v>558</v>
      </c>
      <c r="B147" t="s">
        <v>195</v>
      </c>
      <c r="C147" t="s">
        <v>658</v>
      </c>
      <c r="D147" t="s">
        <v>659</v>
      </c>
      <c r="E147" s="10" t="b">
        <f>IF(ISERROR(VLOOKUP( LEFT(B147, LEN(B147) - IF(ISNUMBER(RIGHT(B147, 1) * 1), 1, 0)),metadata_testudines!B$1:B$60,1,FALSE)),FALSE,TRUE)</f>
        <v>0</v>
      </c>
      <c r="F147" t="s">
        <v>660</v>
      </c>
      <c r="G147" t="s">
        <v>661</v>
      </c>
      <c r="H147">
        <v>5</v>
      </c>
      <c r="I147" t="s">
        <v>662</v>
      </c>
      <c r="J147" t="s">
        <v>663</v>
      </c>
      <c r="K147" t="s">
        <v>647</v>
      </c>
      <c r="L147" t="s">
        <v>664</v>
      </c>
      <c r="M147" t="s">
        <v>664</v>
      </c>
    </row>
    <row r="148" spans="1:13" hidden="1" x14ac:dyDescent="0.2">
      <c r="A148" s="10" t="s">
        <v>558</v>
      </c>
      <c r="B148" t="s">
        <v>195</v>
      </c>
      <c r="C148" t="s">
        <v>658</v>
      </c>
      <c r="D148" t="s">
        <v>659</v>
      </c>
      <c r="E148" s="10" t="b">
        <f>IF(ISERROR(VLOOKUP( LEFT(B148, LEN(B148) - IF(ISNUMBER(RIGHT(B148, 1) * 1), 1, 0)),metadata_testudines!B$1:B$60,1,FALSE)),FALSE,TRUE)</f>
        <v>0</v>
      </c>
      <c r="F148" t="s">
        <v>660</v>
      </c>
      <c r="G148" t="s">
        <v>665</v>
      </c>
      <c r="H148">
        <v>3.3333821480000001</v>
      </c>
      <c r="I148" t="s">
        <v>662</v>
      </c>
      <c r="J148" t="s">
        <v>663</v>
      </c>
      <c r="K148" t="s">
        <v>647</v>
      </c>
      <c r="L148" t="s">
        <v>664</v>
      </c>
      <c r="M148" t="s">
        <v>664</v>
      </c>
    </row>
    <row r="149" spans="1:13" hidden="1" x14ac:dyDescent="0.2">
      <c r="A149" s="10" t="s">
        <v>558</v>
      </c>
      <c r="B149" t="s">
        <v>195</v>
      </c>
      <c r="C149" t="s">
        <v>658</v>
      </c>
      <c r="D149" t="s">
        <v>659</v>
      </c>
      <c r="E149" s="10" t="b">
        <f>IF(ISERROR(VLOOKUP( LEFT(B149, LEN(B149) - IF(ISNUMBER(RIGHT(B149, 1) * 1), 1, 0)),metadata_testudines!B$1:B$60,1,FALSE)),FALSE,TRUE)</f>
        <v>0</v>
      </c>
      <c r="F149" t="s">
        <v>660</v>
      </c>
      <c r="G149" t="s">
        <v>661</v>
      </c>
      <c r="H149">
        <v>10</v>
      </c>
      <c r="I149" t="s">
        <v>662</v>
      </c>
      <c r="J149" t="s">
        <v>663</v>
      </c>
      <c r="K149" t="s">
        <v>647</v>
      </c>
      <c r="L149" t="s">
        <v>664</v>
      </c>
      <c r="M149" t="s">
        <v>664</v>
      </c>
    </row>
    <row r="150" spans="1:13" hidden="1" x14ac:dyDescent="0.2">
      <c r="A150" s="10" t="s">
        <v>558</v>
      </c>
      <c r="B150" t="s">
        <v>643</v>
      </c>
      <c r="C150" t="s">
        <v>658</v>
      </c>
      <c r="D150" t="s">
        <v>659</v>
      </c>
      <c r="E150" s="10" t="b">
        <f>IF(ISERROR(VLOOKUP( LEFT(B150, LEN(B150) - IF(ISNUMBER(RIGHT(B150, 1) * 1), 1, 0)),metadata_testudines!B$1:B$60,1,FALSE)),FALSE,TRUE)</f>
        <v>0</v>
      </c>
      <c r="F150" t="s">
        <v>660</v>
      </c>
      <c r="G150" t="s">
        <v>665</v>
      </c>
      <c r="H150">
        <v>3.3333821480000001</v>
      </c>
      <c r="I150" t="s">
        <v>662</v>
      </c>
      <c r="J150" t="s">
        <v>663</v>
      </c>
      <c r="K150" t="s">
        <v>647</v>
      </c>
      <c r="L150" t="s">
        <v>664</v>
      </c>
      <c r="M150" t="s">
        <v>664</v>
      </c>
    </row>
    <row r="151" spans="1:13" hidden="1" x14ac:dyDescent="0.2">
      <c r="A151" s="10" t="s">
        <v>558</v>
      </c>
      <c r="B151" t="s">
        <v>643</v>
      </c>
      <c r="C151" t="s">
        <v>658</v>
      </c>
      <c r="D151" t="s">
        <v>659</v>
      </c>
      <c r="E151" s="10" t="b">
        <f>IF(ISERROR(VLOOKUP( LEFT(B151, LEN(B151) - IF(ISNUMBER(RIGHT(B151, 1) * 1), 1, 0)),metadata_testudines!B$1:B$60,1,FALSE)),FALSE,TRUE)</f>
        <v>0</v>
      </c>
      <c r="F151" t="s">
        <v>660</v>
      </c>
      <c r="G151" t="s">
        <v>661</v>
      </c>
      <c r="H151">
        <v>11.428451880000001</v>
      </c>
      <c r="I151" t="s">
        <v>662</v>
      </c>
      <c r="J151" t="s">
        <v>663</v>
      </c>
      <c r="K151" t="s">
        <v>647</v>
      </c>
      <c r="L151" t="s">
        <v>664</v>
      </c>
      <c r="M151" t="s">
        <v>664</v>
      </c>
    </row>
    <row r="152" spans="1:13" hidden="1" x14ac:dyDescent="0.2">
      <c r="A152" s="10" t="s">
        <v>558</v>
      </c>
      <c r="B152" t="s">
        <v>643</v>
      </c>
      <c r="C152" t="s">
        <v>658</v>
      </c>
      <c r="D152" t="s">
        <v>659</v>
      </c>
      <c r="E152" s="10" t="b">
        <f>IF(ISERROR(VLOOKUP( LEFT(B152, LEN(B152) - IF(ISNUMBER(RIGHT(B152, 1) * 1), 1, 0)),metadata_testudines!B$1:B$60,1,FALSE)),FALSE,TRUE)</f>
        <v>0</v>
      </c>
      <c r="F152" t="s">
        <v>660</v>
      </c>
      <c r="G152" t="s">
        <v>661</v>
      </c>
      <c r="H152">
        <v>5</v>
      </c>
      <c r="I152" t="s">
        <v>662</v>
      </c>
      <c r="J152" t="s">
        <v>663</v>
      </c>
      <c r="K152" t="s">
        <v>647</v>
      </c>
      <c r="L152" t="s">
        <v>664</v>
      </c>
      <c r="M152" t="s">
        <v>664</v>
      </c>
    </row>
    <row r="153" spans="1:13" hidden="1" x14ac:dyDescent="0.2">
      <c r="A153" s="10" t="s">
        <v>558</v>
      </c>
      <c r="B153" t="s">
        <v>643</v>
      </c>
      <c r="C153" t="s">
        <v>658</v>
      </c>
      <c r="D153" t="s">
        <v>659</v>
      </c>
      <c r="E153" s="10" t="b">
        <f>IF(ISERROR(VLOOKUP( LEFT(B153, LEN(B153) - IF(ISNUMBER(RIGHT(B153, 1) * 1), 1, 0)),metadata_testudines!B$1:B$60,1,FALSE)),FALSE,TRUE)</f>
        <v>0</v>
      </c>
      <c r="F153" t="s">
        <v>660</v>
      </c>
      <c r="G153" t="s">
        <v>666</v>
      </c>
      <c r="H153">
        <v>100</v>
      </c>
      <c r="I153" t="s">
        <v>667</v>
      </c>
      <c r="J153" t="s">
        <v>668</v>
      </c>
      <c r="K153" t="s">
        <v>647</v>
      </c>
      <c r="L153" t="s">
        <v>664</v>
      </c>
      <c r="M153" t="s">
        <v>664</v>
      </c>
    </row>
    <row r="154" spans="1:13" hidden="1" x14ac:dyDescent="0.2">
      <c r="A154" s="10" t="s">
        <v>558</v>
      </c>
      <c r="B154" t="s">
        <v>643</v>
      </c>
      <c r="C154" t="s">
        <v>658</v>
      </c>
      <c r="D154" t="s">
        <v>659</v>
      </c>
      <c r="E154" s="10" t="b">
        <f>IF(ISERROR(VLOOKUP( LEFT(B154, LEN(B154) - IF(ISNUMBER(RIGHT(B154, 1) * 1), 1, 0)),metadata_testudines!B$1:B$60,1,FALSE)),FALSE,TRUE)</f>
        <v>0</v>
      </c>
      <c r="F154" t="s">
        <v>660</v>
      </c>
      <c r="G154" t="s">
        <v>666</v>
      </c>
      <c r="H154">
        <v>70</v>
      </c>
      <c r="I154" t="s">
        <v>667</v>
      </c>
      <c r="J154" t="s">
        <v>668</v>
      </c>
      <c r="K154" t="s">
        <v>647</v>
      </c>
      <c r="L154" t="s">
        <v>664</v>
      </c>
      <c r="M154" t="s">
        <v>664</v>
      </c>
    </row>
    <row r="155" spans="1:13" hidden="1" x14ac:dyDescent="0.2">
      <c r="A155" s="10" t="s">
        <v>558</v>
      </c>
      <c r="B155" t="s">
        <v>643</v>
      </c>
      <c r="C155" t="s">
        <v>658</v>
      </c>
      <c r="D155" t="s">
        <v>659</v>
      </c>
      <c r="E155" s="10" t="b">
        <f>IF(ISERROR(VLOOKUP( LEFT(B155, LEN(B155) - IF(ISNUMBER(RIGHT(B155, 1) * 1), 1, 0)),metadata_testudines!B$1:B$60,1,FALSE)),FALSE,TRUE)</f>
        <v>0</v>
      </c>
      <c r="F155" t="s">
        <v>660</v>
      </c>
      <c r="G155" t="s">
        <v>661</v>
      </c>
      <c r="H155">
        <v>9.1999999999999993</v>
      </c>
      <c r="I155" t="s">
        <v>662</v>
      </c>
      <c r="J155" t="s">
        <v>663</v>
      </c>
      <c r="K155" t="s">
        <v>647</v>
      </c>
      <c r="L155" t="s">
        <v>664</v>
      </c>
      <c r="M155" t="s">
        <v>664</v>
      </c>
    </row>
    <row r="156" spans="1:13" hidden="1" x14ac:dyDescent="0.2">
      <c r="A156" s="10" t="s">
        <v>558</v>
      </c>
      <c r="B156" t="s">
        <v>643</v>
      </c>
      <c r="C156" t="s">
        <v>658</v>
      </c>
      <c r="D156" t="s">
        <v>659</v>
      </c>
      <c r="E156" s="10" t="b">
        <f>IF(ISERROR(VLOOKUP( LEFT(B156, LEN(B156) - IF(ISNUMBER(RIGHT(B156, 1) * 1), 1, 0)),metadata_testudines!B$1:B$60,1,FALSE)),FALSE,TRUE)</f>
        <v>0</v>
      </c>
      <c r="F156" t="s">
        <v>660</v>
      </c>
      <c r="G156" t="s">
        <v>661</v>
      </c>
      <c r="H156">
        <v>21</v>
      </c>
      <c r="I156" t="s">
        <v>662</v>
      </c>
      <c r="J156" t="s">
        <v>663</v>
      </c>
      <c r="K156" t="s">
        <v>647</v>
      </c>
      <c r="L156" t="s">
        <v>664</v>
      </c>
      <c r="M156" t="s">
        <v>664</v>
      </c>
    </row>
    <row r="157" spans="1:13" hidden="1" x14ac:dyDescent="0.2">
      <c r="A157" s="10" t="s">
        <v>558</v>
      </c>
      <c r="B157" t="s">
        <v>643</v>
      </c>
      <c r="C157" t="s">
        <v>658</v>
      </c>
      <c r="D157" t="s">
        <v>659</v>
      </c>
      <c r="E157" s="10" t="b">
        <f>IF(ISERROR(VLOOKUP( LEFT(B157, LEN(B157) - IF(ISNUMBER(RIGHT(B157, 1) * 1), 1, 0)),metadata_testudines!B$1:B$60,1,FALSE)),FALSE,TRUE)</f>
        <v>0</v>
      </c>
      <c r="F157" t="s">
        <v>660</v>
      </c>
      <c r="G157" t="s">
        <v>666</v>
      </c>
      <c r="H157">
        <v>60</v>
      </c>
      <c r="I157" t="s">
        <v>667</v>
      </c>
      <c r="J157" t="s">
        <v>668</v>
      </c>
      <c r="K157" t="s">
        <v>647</v>
      </c>
      <c r="L157" t="s">
        <v>664</v>
      </c>
      <c r="M157" t="s">
        <v>664</v>
      </c>
    </row>
    <row r="158" spans="1:13" hidden="1" x14ac:dyDescent="0.2">
      <c r="A158" s="10" t="s">
        <v>558</v>
      </c>
      <c r="B158" t="s">
        <v>643</v>
      </c>
      <c r="C158" t="s">
        <v>658</v>
      </c>
      <c r="D158" t="s">
        <v>659</v>
      </c>
      <c r="E158" s="10" t="b">
        <f>IF(ISERROR(VLOOKUP( LEFT(B158, LEN(B158) - IF(ISNUMBER(RIGHT(B158, 1) * 1), 1, 0)),metadata_testudines!B$1:B$60,1,FALSE)),FALSE,TRUE)</f>
        <v>0</v>
      </c>
      <c r="F158" t="s">
        <v>660</v>
      </c>
      <c r="G158" t="s">
        <v>661</v>
      </c>
      <c r="H158">
        <v>10</v>
      </c>
      <c r="I158" t="s">
        <v>662</v>
      </c>
      <c r="J158" t="s">
        <v>663</v>
      </c>
      <c r="K158" t="s">
        <v>647</v>
      </c>
      <c r="L158" t="s">
        <v>664</v>
      </c>
      <c r="M158" t="s">
        <v>664</v>
      </c>
    </row>
    <row r="159" spans="1:13" hidden="1" x14ac:dyDescent="0.2">
      <c r="A159" s="10" t="s">
        <v>558</v>
      </c>
      <c r="B159" t="s">
        <v>643</v>
      </c>
      <c r="C159" t="s">
        <v>658</v>
      </c>
      <c r="D159" t="s">
        <v>659</v>
      </c>
      <c r="E159" s="10" t="b">
        <f>IF(ISERROR(VLOOKUP( LEFT(B159, LEN(B159) - IF(ISNUMBER(RIGHT(B159, 1) * 1), 1, 0)),metadata_testudines!B$1:B$60,1,FALSE)),FALSE,TRUE)</f>
        <v>0</v>
      </c>
      <c r="F159" t="s">
        <v>660</v>
      </c>
      <c r="G159" t="s">
        <v>666</v>
      </c>
      <c r="H159">
        <v>177</v>
      </c>
      <c r="I159" t="s">
        <v>667</v>
      </c>
      <c r="J159" t="s">
        <v>668</v>
      </c>
      <c r="K159" t="s">
        <v>647</v>
      </c>
      <c r="L159" t="s">
        <v>664</v>
      </c>
      <c r="M159" t="s">
        <v>664</v>
      </c>
    </row>
    <row r="160" spans="1:13" hidden="1" x14ac:dyDescent="0.2">
      <c r="A160" s="10" t="s">
        <v>558</v>
      </c>
      <c r="B160" t="s">
        <v>643</v>
      </c>
      <c r="C160" t="s">
        <v>658</v>
      </c>
      <c r="D160" t="s">
        <v>659</v>
      </c>
      <c r="E160" s="10" t="b">
        <f>IF(ISERROR(VLOOKUP( LEFT(B160, LEN(B160) - IF(ISNUMBER(RIGHT(B160, 1) * 1), 1, 0)),metadata_testudines!B$1:B$60,1,FALSE)),FALSE,TRUE)</f>
        <v>0</v>
      </c>
      <c r="F160" t="s">
        <v>660</v>
      </c>
      <c r="G160" t="s">
        <v>666</v>
      </c>
      <c r="H160">
        <v>177</v>
      </c>
      <c r="I160" t="s">
        <v>667</v>
      </c>
      <c r="J160" t="s">
        <v>668</v>
      </c>
      <c r="K160" t="s">
        <v>647</v>
      </c>
      <c r="L160" t="s">
        <v>664</v>
      </c>
      <c r="M160" t="s">
        <v>664</v>
      </c>
    </row>
    <row r="161" spans="1:13" hidden="1" x14ac:dyDescent="0.2">
      <c r="A161" s="10" t="s">
        <v>558</v>
      </c>
      <c r="B161" t="s">
        <v>196</v>
      </c>
      <c r="C161" t="s">
        <v>658</v>
      </c>
      <c r="D161" t="s">
        <v>659</v>
      </c>
      <c r="E161" s="10" t="b">
        <f>IF(ISERROR(VLOOKUP( LEFT(B161, LEN(B161) - IF(ISNUMBER(RIGHT(B161, 1) * 1), 1, 0)),metadata_testudines!B$1:B$60,1,FALSE)),FALSE,TRUE)</f>
        <v>0</v>
      </c>
      <c r="F161" t="s">
        <v>660</v>
      </c>
      <c r="G161" t="s">
        <v>661</v>
      </c>
      <c r="H161">
        <v>10</v>
      </c>
      <c r="I161" t="s">
        <v>662</v>
      </c>
      <c r="J161" t="s">
        <v>663</v>
      </c>
      <c r="K161" t="s">
        <v>647</v>
      </c>
      <c r="L161" t="s">
        <v>664</v>
      </c>
      <c r="M161" t="s">
        <v>664</v>
      </c>
    </row>
    <row r="162" spans="1:13" hidden="1" x14ac:dyDescent="0.2">
      <c r="A162" s="10" t="s">
        <v>558</v>
      </c>
      <c r="B162" t="s">
        <v>196</v>
      </c>
      <c r="C162" t="s">
        <v>658</v>
      </c>
      <c r="D162" t="s">
        <v>659</v>
      </c>
      <c r="E162" s="10" t="b">
        <f>IF(ISERROR(VLOOKUP( LEFT(B162, LEN(B162) - IF(ISNUMBER(RIGHT(B162, 1) * 1), 1, 0)),metadata_testudines!B$1:B$60,1,FALSE)),FALSE,TRUE)</f>
        <v>0</v>
      </c>
      <c r="F162" t="s">
        <v>660</v>
      </c>
      <c r="G162" t="s">
        <v>666</v>
      </c>
      <c r="H162">
        <v>177</v>
      </c>
      <c r="I162" t="s">
        <v>667</v>
      </c>
      <c r="J162" t="s">
        <v>668</v>
      </c>
      <c r="K162" t="s">
        <v>647</v>
      </c>
      <c r="L162" t="s">
        <v>664</v>
      </c>
      <c r="M162" t="s">
        <v>664</v>
      </c>
    </row>
    <row r="163" spans="1:13" hidden="1" x14ac:dyDescent="0.2">
      <c r="A163" s="10" t="s">
        <v>558</v>
      </c>
      <c r="B163" t="s">
        <v>196</v>
      </c>
      <c r="C163" t="s">
        <v>658</v>
      </c>
      <c r="D163" t="s">
        <v>659</v>
      </c>
      <c r="E163" s="10" t="b">
        <f>IF(ISERROR(VLOOKUP( LEFT(B163, LEN(B163) - IF(ISNUMBER(RIGHT(B163, 1) * 1), 1, 0)),metadata_testudines!B$1:B$60,1,FALSE)),FALSE,TRUE)</f>
        <v>0</v>
      </c>
      <c r="F163" t="s">
        <v>660</v>
      </c>
      <c r="G163" t="s">
        <v>665</v>
      </c>
      <c r="H163">
        <v>3.3333821480000001</v>
      </c>
      <c r="I163" t="s">
        <v>662</v>
      </c>
      <c r="J163" t="s">
        <v>663</v>
      </c>
      <c r="K163" t="s">
        <v>647</v>
      </c>
      <c r="L163" t="s">
        <v>664</v>
      </c>
      <c r="M163" t="s">
        <v>664</v>
      </c>
    </row>
    <row r="164" spans="1:13" hidden="1" x14ac:dyDescent="0.2">
      <c r="A164" s="10" t="s">
        <v>558</v>
      </c>
      <c r="B164" t="s">
        <v>196</v>
      </c>
      <c r="C164" t="s">
        <v>658</v>
      </c>
      <c r="D164" t="s">
        <v>659</v>
      </c>
      <c r="E164" s="10" t="b">
        <f>IF(ISERROR(VLOOKUP( LEFT(B164, LEN(B164) - IF(ISNUMBER(RIGHT(B164, 1) * 1), 1, 0)),metadata_testudines!B$1:B$60,1,FALSE)),FALSE,TRUE)</f>
        <v>0</v>
      </c>
      <c r="F164" t="s">
        <v>660</v>
      </c>
      <c r="G164" t="s">
        <v>666</v>
      </c>
      <c r="H164">
        <v>100</v>
      </c>
      <c r="I164" t="s">
        <v>667</v>
      </c>
      <c r="J164" t="s">
        <v>668</v>
      </c>
      <c r="K164" t="s">
        <v>647</v>
      </c>
      <c r="L164" t="s">
        <v>664</v>
      </c>
      <c r="M164" t="s">
        <v>664</v>
      </c>
    </row>
    <row r="165" spans="1:13" hidden="1" x14ac:dyDescent="0.2">
      <c r="A165" s="10" t="s">
        <v>558</v>
      </c>
      <c r="B165" t="s">
        <v>196</v>
      </c>
      <c r="C165" t="s">
        <v>658</v>
      </c>
      <c r="D165" t="s">
        <v>659</v>
      </c>
      <c r="E165" s="10" t="b">
        <f>IF(ISERROR(VLOOKUP( LEFT(B165, LEN(B165) - IF(ISNUMBER(RIGHT(B165, 1) * 1), 1, 0)),metadata_testudines!B$1:B$60,1,FALSE)),FALSE,TRUE)</f>
        <v>0</v>
      </c>
      <c r="F165" t="s">
        <v>660</v>
      </c>
      <c r="G165" t="s">
        <v>661</v>
      </c>
      <c r="H165">
        <v>9.1999999999999993</v>
      </c>
      <c r="I165" t="s">
        <v>662</v>
      </c>
      <c r="J165" t="s">
        <v>663</v>
      </c>
      <c r="K165" t="s">
        <v>647</v>
      </c>
      <c r="L165" t="s">
        <v>664</v>
      </c>
      <c r="M165" t="s">
        <v>664</v>
      </c>
    </row>
    <row r="166" spans="1:13" hidden="1" x14ac:dyDescent="0.2">
      <c r="A166" s="10" t="s">
        <v>558</v>
      </c>
      <c r="B166" t="s">
        <v>196</v>
      </c>
      <c r="C166" t="s">
        <v>658</v>
      </c>
      <c r="D166" t="s">
        <v>659</v>
      </c>
      <c r="E166" s="10" t="b">
        <f>IF(ISERROR(VLOOKUP( LEFT(B166, LEN(B166) - IF(ISNUMBER(RIGHT(B166, 1) * 1), 1, 0)),metadata_testudines!B$1:B$60,1,FALSE)),FALSE,TRUE)</f>
        <v>0</v>
      </c>
      <c r="F166" t="s">
        <v>660</v>
      </c>
      <c r="G166" t="s">
        <v>661</v>
      </c>
      <c r="H166">
        <v>21</v>
      </c>
      <c r="I166" t="s">
        <v>662</v>
      </c>
      <c r="J166" t="s">
        <v>663</v>
      </c>
      <c r="K166" t="s">
        <v>647</v>
      </c>
      <c r="L166" t="s">
        <v>664</v>
      </c>
      <c r="M166" t="s">
        <v>664</v>
      </c>
    </row>
    <row r="167" spans="1:13" hidden="1" x14ac:dyDescent="0.2">
      <c r="A167" s="10" t="s">
        <v>558</v>
      </c>
      <c r="B167" t="s">
        <v>196</v>
      </c>
      <c r="C167" t="s">
        <v>658</v>
      </c>
      <c r="D167" t="s">
        <v>659</v>
      </c>
      <c r="E167" s="10" t="b">
        <f>IF(ISERROR(VLOOKUP( LEFT(B167, LEN(B167) - IF(ISNUMBER(RIGHT(B167, 1) * 1), 1, 0)),metadata_testudines!B$1:B$60,1,FALSE)),FALSE,TRUE)</f>
        <v>0</v>
      </c>
      <c r="F167" t="s">
        <v>660</v>
      </c>
      <c r="G167" t="s">
        <v>666</v>
      </c>
      <c r="H167">
        <v>177</v>
      </c>
      <c r="I167" t="s">
        <v>667</v>
      </c>
      <c r="J167" t="s">
        <v>668</v>
      </c>
      <c r="K167" t="s">
        <v>647</v>
      </c>
      <c r="L167" t="s">
        <v>664</v>
      </c>
      <c r="M167" t="s">
        <v>664</v>
      </c>
    </row>
    <row r="168" spans="1:13" hidden="1" x14ac:dyDescent="0.2">
      <c r="A168" s="10" t="s">
        <v>558</v>
      </c>
      <c r="B168" t="s">
        <v>196</v>
      </c>
      <c r="C168" t="s">
        <v>658</v>
      </c>
      <c r="D168" t="s">
        <v>659</v>
      </c>
      <c r="E168" s="10" t="b">
        <f>IF(ISERROR(VLOOKUP( LEFT(B168, LEN(B168) - IF(ISNUMBER(RIGHT(B168, 1) * 1), 1, 0)),metadata_testudines!B$1:B$60,1,FALSE)),FALSE,TRUE)</f>
        <v>0</v>
      </c>
      <c r="F168" t="s">
        <v>660</v>
      </c>
      <c r="G168" t="s">
        <v>666</v>
      </c>
      <c r="H168">
        <v>60</v>
      </c>
      <c r="I168" t="s">
        <v>667</v>
      </c>
      <c r="J168" t="s">
        <v>668</v>
      </c>
      <c r="K168" t="s">
        <v>647</v>
      </c>
      <c r="L168" t="s">
        <v>664</v>
      </c>
      <c r="M168" t="s">
        <v>664</v>
      </c>
    </row>
    <row r="169" spans="1:13" hidden="1" x14ac:dyDescent="0.2">
      <c r="A169" s="10" t="s">
        <v>558</v>
      </c>
      <c r="B169" t="s">
        <v>196</v>
      </c>
      <c r="C169" t="s">
        <v>658</v>
      </c>
      <c r="D169" t="s">
        <v>659</v>
      </c>
      <c r="E169" s="10" t="b">
        <f>IF(ISERROR(VLOOKUP( LEFT(B169, LEN(B169) - IF(ISNUMBER(RIGHT(B169, 1) * 1), 1, 0)),metadata_testudines!B$1:B$60,1,FALSE)),FALSE,TRUE)</f>
        <v>0</v>
      </c>
      <c r="F169" t="s">
        <v>660</v>
      </c>
      <c r="G169" t="s">
        <v>661</v>
      </c>
      <c r="H169">
        <v>11.428451880000001</v>
      </c>
      <c r="I169" t="s">
        <v>662</v>
      </c>
      <c r="J169" t="s">
        <v>663</v>
      </c>
      <c r="K169" t="s">
        <v>647</v>
      </c>
      <c r="L169" t="s">
        <v>664</v>
      </c>
      <c r="M169" t="s">
        <v>664</v>
      </c>
    </row>
    <row r="170" spans="1:13" hidden="1" x14ac:dyDescent="0.2">
      <c r="A170" s="10" t="s">
        <v>558</v>
      </c>
      <c r="B170" t="s">
        <v>196</v>
      </c>
      <c r="C170" t="s">
        <v>658</v>
      </c>
      <c r="D170" t="s">
        <v>659</v>
      </c>
      <c r="E170" s="10" t="b">
        <f>IF(ISERROR(VLOOKUP( LEFT(B170, LEN(B170) - IF(ISNUMBER(RIGHT(B170, 1) * 1), 1, 0)),metadata_testudines!B$1:B$60,1,FALSE)),FALSE,TRUE)</f>
        <v>0</v>
      </c>
      <c r="F170" t="s">
        <v>660</v>
      </c>
      <c r="G170" t="s">
        <v>661</v>
      </c>
      <c r="H170">
        <v>5</v>
      </c>
      <c r="I170" t="s">
        <v>662</v>
      </c>
      <c r="J170" t="s">
        <v>663</v>
      </c>
      <c r="K170" t="s">
        <v>647</v>
      </c>
      <c r="L170" t="s">
        <v>664</v>
      </c>
      <c r="M170" t="s">
        <v>664</v>
      </c>
    </row>
    <row r="171" spans="1:13" hidden="1" x14ac:dyDescent="0.2">
      <c r="A171" s="10" t="s">
        <v>558</v>
      </c>
      <c r="B171" t="s">
        <v>196</v>
      </c>
      <c r="C171" t="s">
        <v>658</v>
      </c>
      <c r="D171" t="s">
        <v>659</v>
      </c>
      <c r="E171" s="10" t="b">
        <f>IF(ISERROR(VLOOKUP( LEFT(B171, LEN(B171) - IF(ISNUMBER(RIGHT(B171, 1) * 1), 1, 0)),metadata_testudines!B$1:B$60,1,FALSE)),FALSE,TRUE)</f>
        <v>0</v>
      </c>
      <c r="F171" t="s">
        <v>660</v>
      </c>
      <c r="G171" t="s">
        <v>666</v>
      </c>
      <c r="H171">
        <v>70</v>
      </c>
      <c r="I171" t="s">
        <v>667</v>
      </c>
      <c r="J171" t="s">
        <v>668</v>
      </c>
      <c r="K171" t="s">
        <v>647</v>
      </c>
      <c r="L171" t="s">
        <v>664</v>
      </c>
      <c r="M171" t="s">
        <v>664</v>
      </c>
    </row>
    <row r="172" spans="1:13" hidden="1" x14ac:dyDescent="0.2">
      <c r="A172" s="10" t="s">
        <v>558</v>
      </c>
      <c r="B172" t="s">
        <v>197</v>
      </c>
      <c r="C172" t="s">
        <v>658</v>
      </c>
      <c r="D172" t="s">
        <v>659</v>
      </c>
      <c r="E172" s="10" t="b">
        <f>IF(ISERROR(VLOOKUP( LEFT(B172, LEN(B172) - IF(ISNUMBER(RIGHT(B172, 1) * 1), 1, 0)),metadata_testudines!B$1:B$60,1,FALSE)),FALSE,TRUE)</f>
        <v>0</v>
      </c>
      <c r="F172" t="s">
        <v>660</v>
      </c>
      <c r="G172" t="s">
        <v>666</v>
      </c>
      <c r="H172">
        <v>177</v>
      </c>
      <c r="I172" t="s">
        <v>667</v>
      </c>
      <c r="J172" t="s">
        <v>668</v>
      </c>
      <c r="K172" t="s">
        <v>647</v>
      </c>
      <c r="L172" t="s">
        <v>664</v>
      </c>
      <c r="M172" t="s">
        <v>664</v>
      </c>
    </row>
    <row r="173" spans="1:13" hidden="1" x14ac:dyDescent="0.2">
      <c r="A173" s="10" t="s">
        <v>558</v>
      </c>
      <c r="B173" t="s">
        <v>197</v>
      </c>
      <c r="C173" t="s">
        <v>658</v>
      </c>
      <c r="D173" t="s">
        <v>659</v>
      </c>
      <c r="E173" s="10" t="b">
        <f>IF(ISERROR(VLOOKUP( LEFT(B173, LEN(B173) - IF(ISNUMBER(RIGHT(B173, 1) * 1), 1, 0)),metadata_testudines!B$1:B$60,1,FALSE)),FALSE,TRUE)</f>
        <v>0</v>
      </c>
      <c r="F173" t="s">
        <v>660</v>
      </c>
      <c r="G173" t="s">
        <v>661</v>
      </c>
      <c r="H173">
        <v>10</v>
      </c>
      <c r="I173" t="s">
        <v>662</v>
      </c>
      <c r="J173" t="s">
        <v>663</v>
      </c>
      <c r="K173" t="s">
        <v>647</v>
      </c>
      <c r="L173" t="s">
        <v>664</v>
      </c>
      <c r="M173" t="s">
        <v>664</v>
      </c>
    </row>
    <row r="174" spans="1:13" hidden="1" x14ac:dyDescent="0.2">
      <c r="A174" s="10" t="s">
        <v>558</v>
      </c>
      <c r="B174" t="s">
        <v>197</v>
      </c>
      <c r="C174" t="s">
        <v>658</v>
      </c>
      <c r="D174" t="s">
        <v>659</v>
      </c>
      <c r="E174" s="10" t="b">
        <f>IF(ISERROR(VLOOKUP( LEFT(B174, LEN(B174) - IF(ISNUMBER(RIGHT(B174, 1) * 1), 1, 0)),metadata_testudines!B$1:B$60,1,FALSE)),FALSE,TRUE)</f>
        <v>0</v>
      </c>
      <c r="F174" t="s">
        <v>660</v>
      </c>
      <c r="G174" t="s">
        <v>661</v>
      </c>
      <c r="H174">
        <v>5</v>
      </c>
      <c r="I174" t="s">
        <v>662</v>
      </c>
      <c r="J174" t="s">
        <v>663</v>
      </c>
      <c r="K174" t="s">
        <v>647</v>
      </c>
      <c r="L174" t="s">
        <v>664</v>
      </c>
      <c r="M174" t="s">
        <v>664</v>
      </c>
    </row>
    <row r="175" spans="1:13" hidden="1" x14ac:dyDescent="0.2">
      <c r="A175" s="10" t="s">
        <v>558</v>
      </c>
      <c r="B175" t="s">
        <v>197</v>
      </c>
      <c r="C175" t="s">
        <v>658</v>
      </c>
      <c r="D175" t="s">
        <v>659</v>
      </c>
      <c r="E175" s="10" t="b">
        <f>IF(ISERROR(VLOOKUP( LEFT(B175, LEN(B175) - IF(ISNUMBER(RIGHT(B175, 1) * 1), 1, 0)),metadata_testudines!B$1:B$60,1,FALSE)),FALSE,TRUE)</f>
        <v>0</v>
      </c>
      <c r="F175" t="s">
        <v>660</v>
      </c>
      <c r="G175" t="s">
        <v>661</v>
      </c>
      <c r="H175">
        <v>11.428451880000001</v>
      </c>
      <c r="I175" t="s">
        <v>662</v>
      </c>
      <c r="J175" t="s">
        <v>663</v>
      </c>
      <c r="K175" t="s">
        <v>647</v>
      </c>
      <c r="L175" t="s">
        <v>664</v>
      </c>
      <c r="M175" t="s">
        <v>664</v>
      </c>
    </row>
    <row r="176" spans="1:13" hidden="1" x14ac:dyDescent="0.2">
      <c r="A176" s="10" t="s">
        <v>558</v>
      </c>
      <c r="B176" t="s">
        <v>197</v>
      </c>
      <c r="C176" t="s">
        <v>658</v>
      </c>
      <c r="D176" t="s">
        <v>659</v>
      </c>
      <c r="E176" s="10" t="b">
        <f>IF(ISERROR(VLOOKUP( LEFT(B176, LEN(B176) - IF(ISNUMBER(RIGHT(B176, 1) * 1), 1, 0)),metadata_testudines!B$1:B$60,1,FALSE)),FALSE,TRUE)</f>
        <v>0</v>
      </c>
      <c r="F176" t="s">
        <v>660</v>
      </c>
      <c r="G176" t="s">
        <v>666</v>
      </c>
      <c r="H176">
        <v>177</v>
      </c>
      <c r="I176" t="s">
        <v>667</v>
      </c>
      <c r="J176" t="s">
        <v>668</v>
      </c>
      <c r="K176" t="s">
        <v>647</v>
      </c>
      <c r="L176" t="s">
        <v>664</v>
      </c>
      <c r="M176" t="s">
        <v>664</v>
      </c>
    </row>
    <row r="177" spans="1:13" hidden="1" x14ac:dyDescent="0.2">
      <c r="A177" s="10" t="s">
        <v>558</v>
      </c>
      <c r="B177" t="s">
        <v>197</v>
      </c>
      <c r="C177" t="s">
        <v>658</v>
      </c>
      <c r="D177" t="s">
        <v>659</v>
      </c>
      <c r="E177" s="10" t="b">
        <f>IF(ISERROR(VLOOKUP( LEFT(B177, LEN(B177) - IF(ISNUMBER(RIGHT(B177, 1) * 1), 1, 0)),metadata_testudines!B$1:B$60,1,FALSE)),FALSE,TRUE)</f>
        <v>0</v>
      </c>
      <c r="F177" t="s">
        <v>660</v>
      </c>
      <c r="G177" t="s">
        <v>666</v>
      </c>
      <c r="H177">
        <v>60</v>
      </c>
      <c r="I177" t="s">
        <v>667</v>
      </c>
      <c r="J177" t="s">
        <v>668</v>
      </c>
      <c r="K177" t="s">
        <v>647</v>
      </c>
      <c r="L177" t="s">
        <v>664</v>
      </c>
      <c r="M177" t="s">
        <v>664</v>
      </c>
    </row>
    <row r="178" spans="1:13" hidden="1" x14ac:dyDescent="0.2">
      <c r="A178" s="10" t="s">
        <v>558</v>
      </c>
      <c r="B178" t="s">
        <v>197</v>
      </c>
      <c r="C178" t="s">
        <v>658</v>
      </c>
      <c r="D178" t="s">
        <v>659</v>
      </c>
      <c r="E178" s="10" t="b">
        <f>IF(ISERROR(VLOOKUP( LEFT(B178, LEN(B178) - IF(ISNUMBER(RIGHT(B178, 1) * 1), 1, 0)),metadata_testudines!B$1:B$60,1,FALSE)),FALSE,TRUE)</f>
        <v>0</v>
      </c>
      <c r="F178" t="s">
        <v>660</v>
      </c>
      <c r="G178" t="s">
        <v>665</v>
      </c>
      <c r="H178">
        <v>3.3333821480000001</v>
      </c>
      <c r="I178" t="s">
        <v>662</v>
      </c>
      <c r="J178" t="s">
        <v>663</v>
      </c>
      <c r="K178" t="s">
        <v>647</v>
      </c>
      <c r="L178" t="s">
        <v>664</v>
      </c>
      <c r="M178" t="s">
        <v>664</v>
      </c>
    </row>
    <row r="179" spans="1:13" hidden="1" x14ac:dyDescent="0.2">
      <c r="A179" s="10" t="s">
        <v>558</v>
      </c>
      <c r="B179" t="s">
        <v>197</v>
      </c>
      <c r="C179" t="s">
        <v>658</v>
      </c>
      <c r="D179" t="s">
        <v>659</v>
      </c>
      <c r="E179" s="10" t="b">
        <f>IF(ISERROR(VLOOKUP( LEFT(B179, LEN(B179) - IF(ISNUMBER(RIGHT(B179, 1) * 1), 1, 0)),metadata_testudines!B$1:B$60,1,FALSE)),FALSE,TRUE)</f>
        <v>0</v>
      </c>
      <c r="F179" t="s">
        <v>660</v>
      </c>
      <c r="G179" t="s">
        <v>661</v>
      </c>
      <c r="H179">
        <v>21</v>
      </c>
      <c r="I179" t="s">
        <v>662</v>
      </c>
      <c r="J179" t="s">
        <v>663</v>
      </c>
      <c r="K179" t="s">
        <v>647</v>
      </c>
      <c r="L179" t="s">
        <v>664</v>
      </c>
      <c r="M179" t="s">
        <v>664</v>
      </c>
    </row>
    <row r="180" spans="1:13" hidden="1" x14ac:dyDescent="0.2">
      <c r="A180" s="10" t="s">
        <v>558</v>
      </c>
      <c r="B180" t="s">
        <v>197</v>
      </c>
      <c r="C180" t="s">
        <v>658</v>
      </c>
      <c r="D180" t="s">
        <v>659</v>
      </c>
      <c r="E180" s="10" t="b">
        <f>IF(ISERROR(VLOOKUP( LEFT(B180, LEN(B180) - IF(ISNUMBER(RIGHT(B180, 1) * 1), 1, 0)),metadata_testudines!B$1:B$60,1,FALSE)),FALSE,TRUE)</f>
        <v>0</v>
      </c>
      <c r="F180" t="s">
        <v>660</v>
      </c>
      <c r="G180" t="s">
        <v>666</v>
      </c>
      <c r="H180">
        <v>100</v>
      </c>
      <c r="I180" t="s">
        <v>667</v>
      </c>
      <c r="J180" t="s">
        <v>668</v>
      </c>
      <c r="K180" t="s">
        <v>647</v>
      </c>
      <c r="L180" t="s">
        <v>664</v>
      </c>
      <c r="M180" t="s">
        <v>664</v>
      </c>
    </row>
    <row r="181" spans="1:13" hidden="1" x14ac:dyDescent="0.2">
      <c r="A181" s="10" t="s">
        <v>558</v>
      </c>
      <c r="B181" t="s">
        <v>197</v>
      </c>
      <c r="C181" t="s">
        <v>658</v>
      </c>
      <c r="D181" t="s">
        <v>659</v>
      </c>
      <c r="E181" s="10" t="b">
        <f>IF(ISERROR(VLOOKUP( LEFT(B181, LEN(B181) - IF(ISNUMBER(RIGHT(B181, 1) * 1), 1, 0)),metadata_testudines!B$1:B$60,1,FALSE)),FALSE,TRUE)</f>
        <v>0</v>
      </c>
      <c r="F181" t="s">
        <v>660</v>
      </c>
      <c r="G181" t="s">
        <v>666</v>
      </c>
      <c r="H181">
        <v>70</v>
      </c>
      <c r="I181" t="s">
        <v>667</v>
      </c>
      <c r="J181" t="s">
        <v>668</v>
      </c>
      <c r="K181" t="s">
        <v>647</v>
      </c>
      <c r="L181" t="s">
        <v>664</v>
      </c>
      <c r="M181" t="s">
        <v>664</v>
      </c>
    </row>
    <row r="182" spans="1:13" hidden="1" x14ac:dyDescent="0.2">
      <c r="A182" s="10" t="s">
        <v>558</v>
      </c>
      <c r="B182" t="s">
        <v>197</v>
      </c>
      <c r="C182" t="s">
        <v>658</v>
      </c>
      <c r="D182" t="s">
        <v>659</v>
      </c>
      <c r="E182" s="10" t="b">
        <f>IF(ISERROR(VLOOKUP( LEFT(B182, LEN(B182) - IF(ISNUMBER(RIGHT(B182, 1) * 1), 1, 0)),metadata_testudines!B$1:B$60,1,FALSE)),FALSE,TRUE)</f>
        <v>0</v>
      </c>
      <c r="F182" t="s">
        <v>660</v>
      </c>
      <c r="G182" t="s">
        <v>661</v>
      </c>
      <c r="H182">
        <v>9.1999999999999993</v>
      </c>
      <c r="I182" t="s">
        <v>662</v>
      </c>
      <c r="J182" t="s">
        <v>663</v>
      </c>
      <c r="K182" t="s">
        <v>647</v>
      </c>
      <c r="L182" t="s">
        <v>664</v>
      </c>
      <c r="M182" t="s">
        <v>664</v>
      </c>
    </row>
    <row r="183" spans="1:13" hidden="1" x14ac:dyDescent="0.2">
      <c r="A183" s="10" t="s">
        <v>558</v>
      </c>
      <c r="B183" t="s">
        <v>64</v>
      </c>
      <c r="C183" t="s">
        <v>658</v>
      </c>
      <c r="D183" t="s">
        <v>659</v>
      </c>
      <c r="E183" s="10" t="b">
        <f>IF(ISERROR(VLOOKUP( LEFT(B183, LEN(B183) - IF(ISNUMBER(RIGHT(B183, 1) * 1), 1, 0)),metadata_testudines!B$1:B$60,1,FALSE)),FALSE,TRUE)</f>
        <v>1</v>
      </c>
      <c r="F183" t="s">
        <v>660</v>
      </c>
      <c r="G183" t="s">
        <v>665</v>
      </c>
      <c r="H183">
        <v>6</v>
      </c>
      <c r="I183" t="s">
        <v>662</v>
      </c>
      <c r="J183" t="s">
        <v>663</v>
      </c>
      <c r="K183" t="s">
        <v>647</v>
      </c>
      <c r="L183" t="s">
        <v>664</v>
      </c>
      <c r="M183" t="s">
        <v>664</v>
      </c>
    </row>
    <row r="184" spans="1:13" hidden="1" x14ac:dyDescent="0.2">
      <c r="A184" s="10" t="s">
        <v>558</v>
      </c>
      <c r="B184" t="s">
        <v>64</v>
      </c>
      <c r="C184" t="s">
        <v>658</v>
      </c>
      <c r="D184" t="s">
        <v>659</v>
      </c>
      <c r="E184" s="10" t="b">
        <f>IF(ISERROR(VLOOKUP( LEFT(B184, LEN(B184) - IF(ISNUMBER(RIGHT(B184, 1) * 1), 1, 0)),metadata_testudines!B$1:B$60,1,FALSE)),FALSE,TRUE)</f>
        <v>1</v>
      </c>
      <c r="F184" t="s">
        <v>660</v>
      </c>
      <c r="G184" t="s">
        <v>665</v>
      </c>
      <c r="H184">
        <v>1</v>
      </c>
      <c r="I184" t="s">
        <v>662</v>
      </c>
      <c r="J184" t="s">
        <v>663</v>
      </c>
      <c r="K184" t="s">
        <v>647</v>
      </c>
      <c r="L184" t="s">
        <v>664</v>
      </c>
      <c r="M184" t="s">
        <v>664</v>
      </c>
    </row>
    <row r="185" spans="1:13" hidden="1" x14ac:dyDescent="0.2">
      <c r="A185" s="10" t="s">
        <v>558</v>
      </c>
      <c r="B185" t="s">
        <v>64</v>
      </c>
      <c r="C185" t="s">
        <v>658</v>
      </c>
      <c r="D185" t="s">
        <v>659</v>
      </c>
      <c r="E185" s="10" t="b">
        <f>IF(ISERROR(VLOOKUP( LEFT(B185, LEN(B185) - IF(ISNUMBER(RIGHT(B185, 1) * 1), 1, 0)),metadata_testudines!B$1:B$60,1,FALSE)),FALSE,TRUE)</f>
        <v>1</v>
      </c>
      <c r="F185" t="s">
        <v>660</v>
      </c>
      <c r="G185" t="s">
        <v>669</v>
      </c>
      <c r="H185">
        <v>3652.5</v>
      </c>
      <c r="I185" t="s">
        <v>662</v>
      </c>
      <c r="J185" t="s">
        <v>670</v>
      </c>
      <c r="K185" t="s">
        <v>647</v>
      </c>
      <c r="L185" t="s">
        <v>647</v>
      </c>
      <c r="M185" t="s">
        <v>664</v>
      </c>
    </row>
    <row r="186" spans="1:13" hidden="1" x14ac:dyDescent="0.2">
      <c r="A186" s="10" t="s">
        <v>558</v>
      </c>
      <c r="B186" t="s">
        <v>64</v>
      </c>
      <c r="C186" t="s">
        <v>658</v>
      </c>
      <c r="D186" t="s">
        <v>659</v>
      </c>
      <c r="E186" s="10" t="b">
        <f>IF(ISERROR(VLOOKUP( LEFT(B186, LEN(B186) - IF(ISNUMBER(RIGHT(B186, 1) * 1), 1, 0)),metadata_testudines!B$1:B$60,1,FALSE)),FALSE,TRUE)</f>
        <v>1</v>
      </c>
      <c r="F186" t="s">
        <v>660</v>
      </c>
      <c r="G186" t="s">
        <v>665</v>
      </c>
      <c r="H186">
        <v>5.1676767679999998</v>
      </c>
      <c r="I186" t="s">
        <v>662</v>
      </c>
      <c r="J186" t="s">
        <v>663</v>
      </c>
      <c r="K186" t="s">
        <v>647</v>
      </c>
      <c r="L186" t="s">
        <v>664</v>
      </c>
      <c r="M186" t="s">
        <v>664</v>
      </c>
    </row>
    <row r="187" spans="1:13" hidden="1" x14ac:dyDescent="0.2">
      <c r="A187" s="10" t="s">
        <v>558</v>
      </c>
      <c r="B187" t="s">
        <v>64</v>
      </c>
      <c r="C187" t="s">
        <v>658</v>
      </c>
      <c r="D187" t="s">
        <v>659</v>
      </c>
      <c r="E187" s="10" t="b">
        <f>IF(ISERROR(VLOOKUP( LEFT(B187, LEN(B187) - IF(ISNUMBER(RIGHT(B187, 1) * 1), 1, 0)),metadata_testudines!B$1:B$60,1,FALSE)),FALSE,TRUE)</f>
        <v>1</v>
      </c>
      <c r="F187" t="s">
        <v>660</v>
      </c>
      <c r="G187" t="s">
        <v>661</v>
      </c>
      <c r="H187">
        <v>1</v>
      </c>
      <c r="I187" t="s">
        <v>662</v>
      </c>
      <c r="J187" t="s">
        <v>663</v>
      </c>
      <c r="K187" t="s">
        <v>647</v>
      </c>
      <c r="L187" t="s">
        <v>664</v>
      </c>
      <c r="M187" t="s">
        <v>664</v>
      </c>
    </row>
    <row r="188" spans="1:13" hidden="1" x14ac:dyDescent="0.2">
      <c r="A188" s="10" t="s">
        <v>558</v>
      </c>
      <c r="B188" t="s">
        <v>64</v>
      </c>
      <c r="C188" t="s">
        <v>658</v>
      </c>
      <c r="D188" t="s">
        <v>659</v>
      </c>
      <c r="E188" s="10" t="b">
        <f>IF(ISERROR(VLOOKUP( LEFT(B188, LEN(B188) - IF(ISNUMBER(RIGHT(B188, 1) * 1), 1, 0)),metadata_testudines!B$1:B$60,1,FALSE)),FALSE,TRUE)</f>
        <v>1</v>
      </c>
      <c r="F188" t="s">
        <v>660</v>
      </c>
      <c r="G188" t="s">
        <v>679</v>
      </c>
      <c r="H188">
        <v>1</v>
      </c>
      <c r="I188" t="s">
        <v>662</v>
      </c>
      <c r="J188" t="s">
        <v>680</v>
      </c>
      <c r="K188" t="s">
        <v>647</v>
      </c>
      <c r="L188" t="s">
        <v>664</v>
      </c>
      <c r="M188" t="s">
        <v>664</v>
      </c>
    </row>
    <row r="189" spans="1:13" hidden="1" x14ac:dyDescent="0.2">
      <c r="A189" s="10" t="s">
        <v>558</v>
      </c>
      <c r="B189" t="s">
        <v>64</v>
      </c>
      <c r="C189" t="s">
        <v>658</v>
      </c>
      <c r="D189" t="s">
        <v>659</v>
      </c>
      <c r="E189" s="10" t="b">
        <f>IF(ISERROR(VLOOKUP( LEFT(B189, LEN(B189) - IF(ISNUMBER(RIGHT(B189, 1) * 1), 1, 0)),metadata_testudines!B$1:B$60,1,FALSE)),FALSE,TRUE)</f>
        <v>1</v>
      </c>
      <c r="F189" t="s">
        <v>660</v>
      </c>
      <c r="G189" t="s">
        <v>661</v>
      </c>
      <c r="H189">
        <v>1</v>
      </c>
      <c r="I189" t="s">
        <v>662</v>
      </c>
      <c r="J189" t="s">
        <v>663</v>
      </c>
      <c r="K189" t="s">
        <v>647</v>
      </c>
      <c r="L189" t="s">
        <v>664</v>
      </c>
      <c r="M189" t="s">
        <v>664</v>
      </c>
    </row>
    <row r="190" spans="1:13" hidden="1" x14ac:dyDescent="0.2">
      <c r="A190" s="10" t="s">
        <v>558</v>
      </c>
      <c r="B190" t="s">
        <v>64</v>
      </c>
      <c r="C190" t="s">
        <v>658</v>
      </c>
      <c r="D190" t="s">
        <v>659</v>
      </c>
      <c r="E190" s="10" t="b">
        <f>IF(ISERROR(VLOOKUP( LEFT(B190, LEN(B190) - IF(ISNUMBER(RIGHT(B190, 1) * 1), 1, 0)),metadata_testudines!B$1:B$60,1,FALSE)),FALSE,TRUE)</f>
        <v>1</v>
      </c>
      <c r="F190" t="s">
        <v>660</v>
      </c>
      <c r="G190" t="s">
        <v>661</v>
      </c>
      <c r="H190">
        <v>1</v>
      </c>
      <c r="I190" t="s">
        <v>662</v>
      </c>
      <c r="J190" t="s">
        <v>663</v>
      </c>
      <c r="K190" t="s">
        <v>647</v>
      </c>
      <c r="L190" t="s">
        <v>664</v>
      </c>
      <c r="M190" t="s">
        <v>664</v>
      </c>
    </row>
    <row r="191" spans="1:13" hidden="1" x14ac:dyDescent="0.2">
      <c r="A191" s="10" t="s">
        <v>558</v>
      </c>
      <c r="B191" t="s">
        <v>64</v>
      </c>
      <c r="C191" t="s">
        <v>658</v>
      </c>
      <c r="D191" t="s">
        <v>659</v>
      </c>
      <c r="E191" s="10" t="b">
        <f>IF(ISERROR(VLOOKUP( LEFT(B191, LEN(B191) - IF(ISNUMBER(RIGHT(B191, 1) * 1), 1, 0)),metadata_testudines!B$1:B$60,1,FALSE)),FALSE,TRUE)</f>
        <v>1</v>
      </c>
      <c r="F191" t="s">
        <v>660</v>
      </c>
      <c r="G191" t="s">
        <v>661</v>
      </c>
      <c r="H191">
        <v>1</v>
      </c>
      <c r="I191" t="s">
        <v>662</v>
      </c>
      <c r="J191" t="s">
        <v>663</v>
      </c>
      <c r="K191" t="s">
        <v>647</v>
      </c>
      <c r="L191" t="s">
        <v>664</v>
      </c>
      <c r="M191" t="s">
        <v>664</v>
      </c>
    </row>
    <row r="192" spans="1:13" hidden="1" x14ac:dyDescent="0.2">
      <c r="A192" s="10" t="s">
        <v>558</v>
      </c>
      <c r="B192" t="s">
        <v>64</v>
      </c>
      <c r="C192" t="s">
        <v>658</v>
      </c>
      <c r="D192" t="s">
        <v>659</v>
      </c>
      <c r="E192" s="10" t="b">
        <f>IF(ISERROR(VLOOKUP( LEFT(B192, LEN(B192) - IF(ISNUMBER(RIGHT(B192, 1) * 1), 1, 0)),metadata_testudines!B$1:B$60,1,FALSE)),FALSE,TRUE)</f>
        <v>1</v>
      </c>
      <c r="F192" t="s">
        <v>660</v>
      </c>
      <c r="G192" t="s">
        <v>679</v>
      </c>
      <c r="H192">
        <v>1</v>
      </c>
      <c r="I192" t="s">
        <v>662</v>
      </c>
      <c r="J192" t="s">
        <v>680</v>
      </c>
      <c r="K192" t="s">
        <v>647</v>
      </c>
      <c r="L192" t="s">
        <v>664</v>
      </c>
      <c r="M192" t="s">
        <v>664</v>
      </c>
    </row>
    <row r="193" spans="1:13" hidden="1" x14ac:dyDescent="0.2">
      <c r="A193" s="10" t="s">
        <v>558</v>
      </c>
      <c r="B193" t="s">
        <v>64</v>
      </c>
      <c r="C193" t="s">
        <v>658</v>
      </c>
      <c r="D193" t="s">
        <v>659</v>
      </c>
      <c r="E193" s="10" t="b">
        <f>IF(ISERROR(VLOOKUP( LEFT(B193, LEN(B193) - IF(ISNUMBER(RIGHT(B193, 1) * 1), 1, 0)),metadata_testudines!B$1:B$60,1,FALSE)),FALSE,TRUE)</f>
        <v>1</v>
      </c>
      <c r="F193" t="s">
        <v>660</v>
      </c>
      <c r="G193" t="s">
        <v>669</v>
      </c>
      <c r="H193">
        <v>3652.5</v>
      </c>
      <c r="I193" t="s">
        <v>662</v>
      </c>
      <c r="J193" t="s">
        <v>670</v>
      </c>
      <c r="K193" t="s">
        <v>647</v>
      </c>
      <c r="L193" t="s">
        <v>647</v>
      </c>
      <c r="M193" t="s">
        <v>664</v>
      </c>
    </row>
    <row r="194" spans="1:13" hidden="1" x14ac:dyDescent="0.2">
      <c r="A194" s="10" t="s">
        <v>558</v>
      </c>
      <c r="B194" t="s">
        <v>64</v>
      </c>
      <c r="C194" t="s">
        <v>658</v>
      </c>
      <c r="D194" t="s">
        <v>659</v>
      </c>
      <c r="E194" s="10" t="b">
        <f>IF(ISERROR(VLOOKUP( LEFT(B194, LEN(B194) - IF(ISNUMBER(RIGHT(B194, 1) * 1), 1, 0)),metadata_testudines!B$1:B$60,1,FALSE)),FALSE,TRUE)</f>
        <v>1</v>
      </c>
      <c r="F194" t="s">
        <v>660</v>
      </c>
      <c r="G194" t="s">
        <v>661</v>
      </c>
      <c r="H194">
        <v>1.5</v>
      </c>
      <c r="I194" t="s">
        <v>662</v>
      </c>
      <c r="J194" t="s">
        <v>663</v>
      </c>
      <c r="K194" t="s">
        <v>647</v>
      </c>
      <c r="L194" t="s">
        <v>664</v>
      </c>
      <c r="M194" t="s">
        <v>664</v>
      </c>
    </row>
    <row r="195" spans="1:13" hidden="1" x14ac:dyDescent="0.2">
      <c r="A195" s="10" t="s">
        <v>558</v>
      </c>
      <c r="B195" t="s">
        <v>64</v>
      </c>
      <c r="C195" t="s">
        <v>658</v>
      </c>
      <c r="D195" t="s">
        <v>659</v>
      </c>
      <c r="E195" s="10" t="b">
        <f>IF(ISERROR(VLOOKUP( LEFT(B195, LEN(B195) - IF(ISNUMBER(RIGHT(B195, 1) * 1), 1, 0)),metadata_testudines!B$1:B$60,1,FALSE)),FALSE,TRUE)</f>
        <v>1</v>
      </c>
      <c r="F195" t="s">
        <v>660</v>
      </c>
      <c r="G195" t="s">
        <v>661</v>
      </c>
      <c r="H195">
        <v>1</v>
      </c>
      <c r="I195" t="s">
        <v>662</v>
      </c>
      <c r="J195" t="s">
        <v>663</v>
      </c>
      <c r="K195" t="s">
        <v>647</v>
      </c>
      <c r="L195" t="s">
        <v>664</v>
      </c>
      <c r="M195" t="s">
        <v>664</v>
      </c>
    </row>
    <row r="196" spans="1:13" hidden="1" x14ac:dyDescent="0.2">
      <c r="A196" s="10" t="s">
        <v>558</v>
      </c>
      <c r="B196" t="s">
        <v>64</v>
      </c>
      <c r="C196" t="s">
        <v>658</v>
      </c>
      <c r="D196" t="s">
        <v>659</v>
      </c>
      <c r="E196" s="10" t="b">
        <f>IF(ISERROR(VLOOKUP( LEFT(B196, LEN(B196) - IF(ISNUMBER(RIGHT(B196, 1) * 1), 1, 0)),metadata_testudines!B$1:B$60,1,FALSE)),FALSE,TRUE)</f>
        <v>1</v>
      </c>
      <c r="F196" t="s">
        <v>660</v>
      </c>
      <c r="G196" t="s">
        <v>665</v>
      </c>
      <c r="H196">
        <v>1</v>
      </c>
      <c r="I196" t="s">
        <v>662</v>
      </c>
      <c r="J196" t="s">
        <v>663</v>
      </c>
      <c r="K196" t="s">
        <v>647</v>
      </c>
      <c r="L196" t="s">
        <v>664</v>
      </c>
      <c r="M196" t="s">
        <v>664</v>
      </c>
    </row>
    <row r="197" spans="1:13" hidden="1" x14ac:dyDescent="0.2">
      <c r="A197" s="10" t="s">
        <v>558</v>
      </c>
      <c r="B197" t="s">
        <v>64</v>
      </c>
      <c r="C197" t="s">
        <v>658</v>
      </c>
      <c r="D197" t="s">
        <v>659</v>
      </c>
      <c r="E197" s="10" t="b">
        <f>IF(ISERROR(VLOOKUP( LEFT(B197, LEN(B197) - IF(ISNUMBER(RIGHT(B197, 1) * 1), 1, 0)),metadata_testudines!B$1:B$60,1,FALSE)),FALSE,TRUE)</f>
        <v>1</v>
      </c>
      <c r="F197" t="s">
        <v>660</v>
      </c>
      <c r="G197" t="s">
        <v>661</v>
      </c>
      <c r="H197">
        <v>1.8</v>
      </c>
      <c r="I197" t="s">
        <v>662</v>
      </c>
      <c r="J197" t="s">
        <v>663</v>
      </c>
      <c r="K197" t="s">
        <v>647</v>
      </c>
      <c r="L197" t="s">
        <v>664</v>
      </c>
      <c r="M197" t="s">
        <v>664</v>
      </c>
    </row>
    <row r="198" spans="1:13" hidden="1" x14ac:dyDescent="0.2">
      <c r="A198" s="10" t="s">
        <v>558</v>
      </c>
      <c r="B198" t="s">
        <v>64</v>
      </c>
      <c r="C198" t="s">
        <v>658</v>
      </c>
      <c r="D198" t="s">
        <v>659</v>
      </c>
      <c r="E198" s="10" t="b">
        <f>IF(ISERROR(VLOOKUP( LEFT(B198, LEN(B198) - IF(ISNUMBER(RIGHT(B198, 1) * 1), 1, 0)),metadata_testudines!B$1:B$60,1,FALSE)),FALSE,TRUE)</f>
        <v>1</v>
      </c>
      <c r="F198" t="s">
        <v>660</v>
      </c>
      <c r="G198" t="s">
        <v>665</v>
      </c>
      <c r="H198">
        <v>6</v>
      </c>
      <c r="I198" t="s">
        <v>662</v>
      </c>
      <c r="J198" t="s">
        <v>663</v>
      </c>
      <c r="K198" t="s">
        <v>647</v>
      </c>
      <c r="L198" t="s">
        <v>664</v>
      </c>
      <c r="M198" t="s">
        <v>664</v>
      </c>
    </row>
    <row r="199" spans="1:13" hidden="1" x14ac:dyDescent="0.2">
      <c r="A199" s="10" t="s">
        <v>558</v>
      </c>
      <c r="B199" t="s">
        <v>707</v>
      </c>
      <c r="C199" t="s">
        <v>658</v>
      </c>
      <c r="D199" t="s">
        <v>659</v>
      </c>
      <c r="E199" s="10" t="b">
        <f>IF(ISERROR(VLOOKUP( LEFT(B199, LEN(B199) - IF(ISNUMBER(RIGHT(B199, 1) * 1), 1, 0)),metadata_testudines!B$1:B$60,1,FALSE)),FALSE,TRUE)</f>
        <v>0</v>
      </c>
      <c r="F199" t="s">
        <v>681</v>
      </c>
      <c r="G199" t="s">
        <v>682</v>
      </c>
      <c r="H199">
        <v>0.98</v>
      </c>
      <c r="I199" t="s">
        <v>667</v>
      </c>
      <c r="J199" t="s">
        <v>683</v>
      </c>
      <c r="K199" t="s">
        <v>645</v>
      </c>
      <c r="L199" t="s">
        <v>684</v>
      </c>
      <c r="M199" t="s">
        <v>664</v>
      </c>
    </row>
    <row r="200" spans="1:13" hidden="1" x14ac:dyDescent="0.2">
      <c r="A200" s="10" t="s">
        <v>558</v>
      </c>
      <c r="B200" t="s">
        <v>707</v>
      </c>
      <c r="C200" t="s">
        <v>658</v>
      </c>
      <c r="D200" t="s">
        <v>659</v>
      </c>
      <c r="E200" s="10" t="b">
        <f>IF(ISERROR(VLOOKUP( LEFT(B200, LEN(B200) - IF(ISNUMBER(RIGHT(B200, 1) * 1), 1, 0)),metadata_testudines!B$1:B$60,1,FALSE)),FALSE,TRUE)</f>
        <v>0</v>
      </c>
      <c r="F200" t="s">
        <v>681</v>
      </c>
      <c r="G200" t="s">
        <v>685</v>
      </c>
      <c r="H200">
        <v>0.98</v>
      </c>
      <c r="I200" t="s">
        <v>667</v>
      </c>
      <c r="J200" t="s">
        <v>683</v>
      </c>
      <c r="K200" t="s">
        <v>645</v>
      </c>
      <c r="L200" t="s">
        <v>684</v>
      </c>
      <c r="M200" t="s">
        <v>664</v>
      </c>
    </row>
    <row r="201" spans="1:13" hidden="1" x14ac:dyDescent="0.2">
      <c r="A201" s="10" t="s">
        <v>558</v>
      </c>
      <c r="B201" t="s">
        <v>707</v>
      </c>
      <c r="C201" t="s">
        <v>658</v>
      </c>
      <c r="D201" t="s">
        <v>659</v>
      </c>
      <c r="E201" s="10" t="b">
        <f>IF(ISERROR(VLOOKUP( LEFT(B201, LEN(B201) - IF(ISNUMBER(RIGHT(B201, 1) * 1), 1, 0)),metadata_testudines!B$1:B$60,1,FALSE)),FALSE,TRUE)</f>
        <v>0</v>
      </c>
      <c r="F201" t="s">
        <v>681</v>
      </c>
      <c r="G201" t="s">
        <v>685</v>
      </c>
      <c r="H201">
        <v>0.98</v>
      </c>
      <c r="I201" t="s">
        <v>667</v>
      </c>
      <c r="J201" t="s">
        <v>683</v>
      </c>
      <c r="K201" t="s">
        <v>645</v>
      </c>
      <c r="L201" t="s">
        <v>684</v>
      </c>
      <c r="M201" t="s">
        <v>664</v>
      </c>
    </row>
    <row r="202" spans="1:13" hidden="1" x14ac:dyDescent="0.2">
      <c r="A202" s="10" t="s">
        <v>558</v>
      </c>
      <c r="B202" t="s">
        <v>707</v>
      </c>
      <c r="C202" t="s">
        <v>658</v>
      </c>
      <c r="D202" t="s">
        <v>659</v>
      </c>
      <c r="E202" s="10" t="b">
        <f>IF(ISERROR(VLOOKUP( LEFT(B202, LEN(B202) - IF(ISNUMBER(RIGHT(B202, 1) * 1), 1, 0)),metadata_testudines!B$1:B$60,1,FALSE)),FALSE,TRUE)</f>
        <v>0</v>
      </c>
      <c r="F202" t="s">
        <v>681</v>
      </c>
      <c r="G202" t="s">
        <v>682</v>
      </c>
      <c r="H202">
        <v>0.98</v>
      </c>
      <c r="I202" t="s">
        <v>667</v>
      </c>
      <c r="J202" t="s">
        <v>683</v>
      </c>
      <c r="K202" t="s">
        <v>645</v>
      </c>
      <c r="L202" t="s">
        <v>684</v>
      </c>
      <c r="M202" t="s">
        <v>664</v>
      </c>
    </row>
    <row r="203" spans="1:13" hidden="1" x14ac:dyDescent="0.2">
      <c r="A203" s="10" t="s">
        <v>558</v>
      </c>
      <c r="B203" t="s">
        <v>707</v>
      </c>
      <c r="C203" t="s">
        <v>658</v>
      </c>
      <c r="D203" t="s">
        <v>659</v>
      </c>
      <c r="E203" s="10" t="b">
        <f>IF(ISERROR(VLOOKUP( LEFT(B203, LEN(B203) - IF(ISNUMBER(RIGHT(B203, 1) * 1), 1, 0)),metadata_testudines!B$1:B$60,1,FALSE)),FALSE,TRUE)</f>
        <v>0</v>
      </c>
      <c r="F203" t="s">
        <v>681</v>
      </c>
      <c r="G203" t="s">
        <v>685</v>
      </c>
      <c r="H203">
        <v>0.98</v>
      </c>
      <c r="I203" t="s">
        <v>667</v>
      </c>
      <c r="J203" t="s">
        <v>683</v>
      </c>
      <c r="K203" t="s">
        <v>645</v>
      </c>
      <c r="L203" t="s">
        <v>684</v>
      </c>
      <c r="M203" t="s">
        <v>664</v>
      </c>
    </row>
    <row r="204" spans="1:13" hidden="1" x14ac:dyDescent="0.2">
      <c r="A204" s="10" t="s">
        <v>558</v>
      </c>
      <c r="B204" t="s">
        <v>707</v>
      </c>
      <c r="C204" t="s">
        <v>658</v>
      </c>
      <c r="D204" t="s">
        <v>659</v>
      </c>
      <c r="E204" s="10" t="b">
        <f>IF(ISERROR(VLOOKUP( LEFT(B204, LEN(B204) - IF(ISNUMBER(RIGHT(B204, 1) * 1), 1, 0)),metadata_testudines!B$1:B$60,1,FALSE)),FALSE,TRUE)</f>
        <v>0</v>
      </c>
      <c r="F204" t="s">
        <v>681</v>
      </c>
      <c r="G204" t="s">
        <v>682</v>
      </c>
      <c r="H204">
        <v>0.98</v>
      </c>
      <c r="I204" t="s">
        <v>667</v>
      </c>
      <c r="J204" t="s">
        <v>683</v>
      </c>
      <c r="K204" t="s">
        <v>645</v>
      </c>
      <c r="L204" t="s">
        <v>684</v>
      </c>
      <c r="M204" t="s">
        <v>664</v>
      </c>
    </row>
    <row r="205" spans="1:13" hidden="1" x14ac:dyDescent="0.2">
      <c r="A205" s="10" t="s">
        <v>558</v>
      </c>
      <c r="B205" t="s">
        <v>707</v>
      </c>
      <c r="C205" t="s">
        <v>658</v>
      </c>
      <c r="D205" t="s">
        <v>659</v>
      </c>
      <c r="E205" s="10" t="b">
        <f>IF(ISERROR(VLOOKUP( LEFT(B205, LEN(B205) - IF(ISNUMBER(RIGHT(B205, 1) * 1), 1, 0)),metadata_testudines!B$1:B$60,1,FALSE)),FALSE,TRUE)</f>
        <v>0</v>
      </c>
      <c r="F205" t="s">
        <v>681</v>
      </c>
      <c r="G205" t="s">
        <v>682</v>
      </c>
      <c r="H205">
        <v>0.98</v>
      </c>
      <c r="I205" t="s">
        <v>667</v>
      </c>
      <c r="J205" t="s">
        <v>683</v>
      </c>
      <c r="K205" t="s">
        <v>645</v>
      </c>
      <c r="L205" t="s">
        <v>684</v>
      </c>
      <c r="M205" t="s">
        <v>664</v>
      </c>
    </row>
    <row r="206" spans="1:13" hidden="1" x14ac:dyDescent="0.2">
      <c r="A206" s="10" t="s">
        <v>558</v>
      </c>
      <c r="B206" t="s">
        <v>707</v>
      </c>
      <c r="C206" t="s">
        <v>658</v>
      </c>
      <c r="D206" t="s">
        <v>659</v>
      </c>
      <c r="E206" s="10" t="b">
        <f>IF(ISERROR(VLOOKUP( LEFT(B206, LEN(B206) - IF(ISNUMBER(RIGHT(B206, 1) * 1), 1, 0)),metadata_testudines!B$1:B$60,1,FALSE)),FALSE,TRUE)</f>
        <v>0</v>
      </c>
      <c r="F206" t="s">
        <v>681</v>
      </c>
      <c r="G206" t="s">
        <v>685</v>
      </c>
      <c r="H206">
        <v>0.98</v>
      </c>
      <c r="I206" t="s">
        <v>667</v>
      </c>
      <c r="J206" t="s">
        <v>683</v>
      </c>
      <c r="K206" t="s">
        <v>645</v>
      </c>
      <c r="L206" t="s">
        <v>684</v>
      </c>
      <c r="M206" t="s">
        <v>664</v>
      </c>
    </row>
    <row r="207" spans="1:13" hidden="1" x14ac:dyDescent="0.2">
      <c r="A207" s="10" t="s">
        <v>558</v>
      </c>
      <c r="B207" t="s">
        <v>708</v>
      </c>
      <c r="C207" t="s">
        <v>658</v>
      </c>
      <c r="D207" t="s">
        <v>659</v>
      </c>
      <c r="E207" s="10" t="b">
        <f>IF(ISERROR(VLOOKUP( LEFT(B207, LEN(B207) - IF(ISNUMBER(RIGHT(B207, 1) * 1), 1, 0)),metadata_testudines!B$1:B$60,1,FALSE)),FALSE,TRUE)</f>
        <v>0</v>
      </c>
      <c r="F207" t="s">
        <v>660</v>
      </c>
      <c r="G207" t="s">
        <v>661</v>
      </c>
      <c r="H207">
        <v>5.3</v>
      </c>
      <c r="I207" t="s">
        <v>662</v>
      </c>
      <c r="J207" t="s">
        <v>663</v>
      </c>
      <c r="K207" t="s">
        <v>647</v>
      </c>
      <c r="L207" t="s">
        <v>664</v>
      </c>
      <c r="M207" t="s">
        <v>664</v>
      </c>
    </row>
    <row r="208" spans="1:13" hidden="1" x14ac:dyDescent="0.2">
      <c r="A208" s="10" t="s">
        <v>558</v>
      </c>
      <c r="B208" t="s">
        <v>708</v>
      </c>
      <c r="C208" t="s">
        <v>658</v>
      </c>
      <c r="D208" t="s">
        <v>659</v>
      </c>
      <c r="E208" s="10" t="b">
        <f>IF(ISERROR(VLOOKUP( LEFT(B208, LEN(B208) - IF(ISNUMBER(RIGHT(B208, 1) * 1), 1, 0)),metadata_testudines!B$1:B$60,1,FALSE)),FALSE,TRUE)</f>
        <v>0</v>
      </c>
      <c r="F208" t="s">
        <v>681</v>
      </c>
      <c r="G208" t="s">
        <v>682</v>
      </c>
      <c r="H208">
        <v>0.98</v>
      </c>
      <c r="I208" t="s">
        <v>667</v>
      </c>
      <c r="J208" t="s">
        <v>683</v>
      </c>
      <c r="K208" t="s">
        <v>645</v>
      </c>
      <c r="L208" t="s">
        <v>684</v>
      </c>
      <c r="M208" t="s">
        <v>664</v>
      </c>
    </row>
    <row r="209" spans="1:13" hidden="1" x14ac:dyDescent="0.2">
      <c r="A209" s="10" t="s">
        <v>558</v>
      </c>
      <c r="B209" t="s">
        <v>708</v>
      </c>
      <c r="C209" t="s">
        <v>658</v>
      </c>
      <c r="D209" t="s">
        <v>659</v>
      </c>
      <c r="E209" s="10" t="b">
        <f>IF(ISERROR(VLOOKUP( LEFT(B209, LEN(B209) - IF(ISNUMBER(RIGHT(B209, 1) * 1), 1, 0)),metadata_testudines!B$1:B$60,1,FALSE)),FALSE,TRUE)</f>
        <v>0</v>
      </c>
      <c r="F209" t="s">
        <v>681</v>
      </c>
      <c r="G209" t="s">
        <v>682</v>
      </c>
      <c r="H209">
        <v>0.4</v>
      </c>
      <c r="I209" t="s">
        <v>667</v>
      </c>
      <c r="J209" t="s">
        <v>683</v>
      </c>
      <c r="K209" t="s">
        <v>645</v>
      </c>
      <c r="L209" t="s">
        <v>646</v>
      </c>
      <c r="M209" t="s">
        <v>664</v>
      </c>
    </row>
    <row r="210" spans="1:13" hidden="1" x14ac:dyDescent="0.2">
      <c r="A210" s="10" t="s">
        <v>558</v>
      </c>
      <c r="B210" t="s">
        <v>708</v>
      </c>
      <c r="C210" t="s">
        <v>658</v>
      </c>
      <c r="D210" t="s">
        <v>659</v>
      </c>
      <c r="E210" s="10" t="b">
        <f>IF(ISERROR(VLOOKUP( LEFT(B210, LEN(B210) - IF(ISNUMBER(RIGHT(B210, 1) * 1), 1, 0)),metadata_testudines!B$1:B$60,1,FALSE)),FALSE,TRUE)</f>
        <v>0</v>
      </c>
      <c r="F210" t="s">
        <v>681</v>
      </c>
      <c r="G210" t="s">
        <v>682</v>
      </c>
      <c r="H210">
        <v>0.4</v>
      </c>
      <c r="I210" t="s">
        <v>667</v>
      </c>
      <c r="J210" t="s">
        <v>683</v>
      </c>
      <c r="K210" t="s">
        <v>645</v>
      </c>
      <c r="L210" t="s">
        <v>646</v>
      </c>
      <c r="M210" t="s">
        <v>664</v>
      </c>
    </row>
    <row r="211" spans="1:13" hidden="1" x14ac:dyDescent="0.2">
      <c r="A211" s="10" t="s">
        <v>558</v>
      </c>
      <c r="B211" t="s">
        <v>708</v>
      </c>
      <c r="C211" t="s">
        <v>658</v>
      </c>
      <c r="D211" t="s">
        <v>659</v>
      </c>
      <c r="E211" s="10" t="b">
        <f>IF(ISERROR(VLOOKUP( LEFT(B211, LEN(B211) - IF(ISNUMBER(RIGHT(B211, 1) * 1), 1, 0)),metadata_testudines!B$1:B$60,1,FALSE)),FALSE,TRUE)</f>
        <v>0</v>
      </c>
      <c r="F211" t="s">
        <v>660</v>
      </c>
      <c r="G211" t="s">
        <v>661</v>
      </c>
      <c r="H211">
        <v>4</v>
      </c>
      <c r="I211" t="s">
        <v>662</v>
      </c>
      <c r="J211" t="s">
        <v>663</v>
      </c>
      <c r="K211" t="s">
        <v>647</v>
      </c>
      <c r="L211" t="s">
        <v>664</v>
      </c>
      <c r="M211" t="s">
        <v>664</v>
      </c>
    </row>
    <row r="212" spans="1:13" hidden="1" x14ac:dyDescent="0.2">
      <c r="A212" s="10" t="s">
        <v>558</v>
      </c>
      <c r="B212" t="s">
        <v>708</v>
      </c>
      <c r="C212" t="s">
        <v>658</v>
      </c>
      <c r="D212" t="s">
        <v>659</v>
      </c>
      <c r="E212" s="10" t="b">
        <f>IF(ISERROR(VLOOKUP( LEFT(B212, LEN(B212) - IF(ISNUMBER(RIGHT(B212, 1) * 1), 1, 0)),metadata_testudines!B$1:B$60,1,FALSE)),FALSE,TRUE)</f>
        <v>0</v>
      </c>
      <c r="F212" t="s">
        <v>660</v>
      </c>
      <c r="G212" t="s">
        <v>675</v>
      </c>
      <c r="H212">
        <v>9131.25</v>
      </c>
      <c r="I212" t="s">
        <v>662</v>
      </c>
      <c r="J212" t="s">
        <v>670</v>
      </c>
      <c r="K212" t="s">
        <v>647</v>
      </c>
      <c r="L212" t="s">
        <v>646</v>
      </c>
      <c r="M212" t="s">
        <v>664</v>
      </c>
    </row>
    <row r="213" spans="1:13" hidden="1" x14ac:dyDescent="0.2">
      <c r="A213" s="10" t="s">
        <v>558</v>
      </c>
      <c r="B213" t="s">
        <v>708</v>
      </c>
      <c r="C213" t="s">
        <v>658</v>
      </c>
      <c r="D213" t="s">
        <v>659</v>
      </c>
      <c r="E213" s="10" t="b">
        <f>IF(ISERROR(VLOOKUP( LEFT(B213, LEN(B213) - IF(ISNUMBER(RIGHT(B213, 1) * 1), 1, 0)),metadata_testudines!B$1:B$60,1,FALSE)),FALSE,TRUE)</f>
        <v>0</v>
      </c>
      <c r="F213" t="s">
        <v>660</v>
      </c>
      <c r="G213" t="s">
        <v>661</v>
      </c>
      <c r="H213">
        <v>25</v>
      </c>
      <c r="I213" t="s">
        <v>662</v>
      </c>
      <c r="J213" t="s">
        <v>663</v>
      </c>
      <c r="K213" t="s">
        <v>647</v>
      </c>
      <c r="L213" t="s">
        <v>664</v>
      </c>
      <c r="M213" t="s">
        <v>664</v>
      </c>
    </row>
    <row r="214" spans="1:13" hidden="1" x14ac:dyDescent="0.2">
      <c r="A214" s="10" t="s">
        <v>558</v>
      </c>
      <c r="B214" t="s">
        <v>708</v>
      </c>
      <c r="C214" t="s">
        <v>658</v>
      </c>
      <c r="D214" t="s">
        <v>659</v>
      </c>
      <c r="E214" s="10" t="b">
        <f>IF(ISERROR(VLOOKUP( LEFT(B214, LEN(B214) - IF(ISNUMBER(RIGHT(B214, 1) * 1), 1, 0)),metadata_testudines!B$1:B$60,1,FALSE)),FALSE,TRUE)</f>
        <v>0</v>
      </c>
      <c r="F214" t="s">
        <v>671</v>
      </c>
      <c r="G214" t="s">
        <v>672</v>
      </c>
      <c r="H214">
        <v>152</v>
      </c>
      <c r="I214" t="s">
        <v>667</v>
      </c>
      <c r="J214" t="s">
        <v>668</v>
      </c>
      <c r="K214" t="s">
        <v>673</v>
      </c>
      <c r="L214" t="s">
        <v>664</v>
      </c>
      <c r="M214" t="s">
        <v>678</v>
      </c>
    </row>
    <row r="215" spans="1:13" hidden="1" x14ac:dyDescent="0.2">
      <c r="A215" s="10" t="s">
        <v>558</v>
      </c>
      <c r="B215" t="s">
        <v>708</v>
      </c>
      <c r="C215" t="s">
        <v>658</v>
      </c>
      <c r="D215" t="s">
        <v>659</v>
      </c>
      <c r="E215" s="10" t="b">
        <f>IF(ISERROR(VLOOKUP( LEFT(B215, LEN(B215) - IF(ISNUMBER(RIGHT(B215, 1) * 1), 1, 0)),metadata_testudines!B$1:B$60,1,FALSE)),FALSE,TRUE)</f>
        <v>0</v>
      </c>
      <c r="F215" t="s">
        <v>681</v>
      </c>
      <c r="G215" t="s">
        <v>682</v>
      </c>
      <c r="H215">
        <v>0.98</v>
      </c>
      <c r="I215" t="s">
        <v>667</v>
      </c>
      <c r="J215" t="s">
        <v>683</v>
      </c>
      <c r="K215" t="s">
        <v>645</v>
      </c>
      <c r="L215" t="s">
        <v>684</v>
      </c>
      <c r="M215" t="s">
        <v>664</v>
      </c>
    </row>
    <row r="216" spans="1:13" hidden="1" x14ac:dyDescent="0.2">
      <c r="A216" s="10" t="s">
        <v>558</v>
      </c>
      <c r="B216" t="s">
        <v>708</v>
      </c>
      <c r="C216" t="s">
        <v>658</v>
      </c>
      <c r="D216" t="s">
        <v>659</v>
      </c>
      <c r="E216" s="10" t="b">
        <f>IF(ISERROR(VLOOKUP( LEFT(B216, LEN(B216) - IF(ISNUMBER(RIGHT(B216, 1) * 1), 1, 0)),metadata_testudines!B$1:B$60,1,FALSE)),FALSE,TRUE)</f>
        <v>0</v>
      </c>
      <c r="F216" t="s">
        <v>681</v>
      </c>
      <c r="G216" t="s">
        <v>685</v>
      </c>
      <c r="H216">
        <v>0.98</v>
      </c>
      <c r="I216" t="s">
        <v>667</v>
      </c>
      <c r="J216" t="s">
        <v>683</v>
      </c>
      <c r="K216" t="s">
        <v>645</v>
      </c>
      <c r="L216" t="s">
        <v>684</v>
      </c>
      <c r="M216" t="s">
        <v>664</v>
      </c>
    </row>
    <row r="217" spans="1:13" hidden="1" x14ac:dyDescent="0.2">
      <c r="A217" s="10" t="s">
        <v>558</v>
      </c>
      <c r="B217" t="s">
        <v>708</v>
      </c>
      <c r="C217" t="s">
        <v>658</v>
      </c>
      <c r="D217" t="s">
        <v>659</v>
      </c>
      <c r="E217" s="10" t="b">
        <f>IF(ISERROR(VLOOKUP( LEFT(B217, LEN(B217) - IF(ISNUMBER(RIGHT(B217, 1) * 1), 1, 0)),metadata_testudines!B$1:B$60,1,FALSE)),FALSE,TRUE)</f>
        <v>0</v>
      </c>
      <c r="F217" t="s">
        <v>681</v>
      </c>
      <c r="G217" t="s">
        <v>682</v>
      </c>
      <c r="H217">
        <v>0.98</v>
      </c>
      <c r="I217" t="s">
        <v>667</v>
      </c>
      <c r="J217" t="s">
        <v>683</v>
      </c>
      <c r="K217" t="s">
        <v>645</v>
      </c>
      <c r="L217" t="s">
        <v>684</v>
      </c>
      <c r="M217" t="s">
        <v>664</v>
      </c>
    </row>
    <row r="218" spans="1:13" hidden="1" x14ac:dyDescent="0.2">
      <c r="A218" s="10" t="s">
        <v>558</v>
      </c>
      <c r="B218" t="s">
        <v>708</v>
      </c>
      <c r="C218" t="s">
        <v>658</v>
      </c>
      <c r="D218" t="s">
        <v>659</v>
      </c>
      <c r="E218" s="10" t="b">
        <f>IF(ISERROR(VLOOKUP( LEFT(B218, LEN(B218) - IF(ISNUMBER(RIGHT(B218, 1) * 1), 1, 0)),metadata_testudines!B$1:B$60,1,FALSE)),FALSE,TRUE)</f>
        <v>0</v>
      </c>
      <c r="F218" t="s">
        <v>660</v>
      </c>
      <c r="G218" t="s">
        <v>661</v>
      </c>
      <c r="H218">
        <v>13.5</v>
      </c>
      <c r="I218" t="s">
        <v>662</v>
      </c>
      <c r="J218" t="s">
        <v>663</v>
      </c>
      <c r="K218" t="s">
        <v>647</v>
      </c>
      <c r="L218" t="s">
        <v>664</v>
      </c>
      <c r="M218" t="s">
        <v>664</v>
      </c>
    </row>
    <row r="219" spans="1:13" hidden="1" x14ac:dyDescent="0.2">
      <c r="A219" s="10" t="s">
        <v>558</v>
      </c>
      <c r="B219" t="s">
        <v>708</v>
      </c>
      <c r="C219" t="s">
        <v>658</v>
      </c>
      <c r="D219" t="s">
        <v>659</v>
      </c>
      <c r="E219" s="10" t="b">
        <f>IF(ISERROR(VLOOKUP( LEFT(B219, LEN(B219) - IF(ISNUMBER(RIGHT(B219, 1) * 1), 1, 0)),metadata_testudines!B$1:B$60,1,FALSE)),FALSE,TRUE)</f>
        <v>0</v>
      </c>
      <c r="F219" t="s">
        <v>681</v>
      </c>
      <c r="G219" t="s">
        <v>682</v>
      </c>
      <c r="H219">
        <v>0.98</v>
      </c>
      <c r="I219" t="s">
        <v>667</v>
      </c>
      <c r="J219" t="s">
        <v>683</v>
      </c>
      <c r="K219" t="s">
        <v>645</v>
      </c>
      <c r="L219" t="s">
        <v>684</v>
      </c>
      <c r="M219" t="s">
        <v>664</v>
      </c>
    </row>
    <row r="220" spans="1:13" hidden="1" x14ac:dyDescent="0.2">
      <c r="A220" s="10" t="s">
        <v>558</v>
      </c>
      <c r="B220" t="s">
        <v>708</v>
      </c>
      <c r="C220" t="s">
        <v>658</v>
      </c>
      <c r="D220" t="s">
        <v>659</v>
      </c>
      <c r="E220" s="10" t="b">
        <f>IF(ISERROR(VLOOKUP( LEFT(B220, LEN(B220) - IF(ISNUMBER(RIGHT(B220, 1) * 1), 1, 0)),metadata_testudines!B$1:B$60,1,FALSE)),FALSE,TRUE)</f>
        <v>0</v>
      </c>
      <c r="F220" t="s">
        <v>660</v>
      </c>
      <c r="G220" t="s">
        <v>666</v>
      </c>
      <c r="H220">
        <v>70</v>
      </c>
      <c r="I220" t="s">
        <v>667</v>
      </c>
      <c r="J220" t="s">
        <v>668</v>
      </c>
      <c r="K220" t="s">
        <v>647</v>
      </c>
      <c r="L220" t="s">
        <v>664</v>
      </c>
      <c r="M220" t="s">
        <v>664</v>
      </c>
    </row>
    <row r="221" spans="1:13" hidden="1" x14ac:dyDescent="0.2">
      <c r="A221" s="10" t="s">
        <v>558</v>
      </c>
      <c r="B221" t="s">
        <v>708</v>
      </c>
      <c r="C221" t="s">
        <v>658</v>
      </c>
      <c r="D221" t="s">
        <v>659</v>
      </c>
      <c r="E221" s="10" t="b">
        <f>IF(ISERROR(VLOOKUP( LEFT(B221, LEN(B221) - IF(ISNUMBER(RIGHT(B221, 1) * 1), 1, 0)),metadata_testudines!B$1:B$60,1,FALSE)),FALSE,TRUE)</f>
        <v>0</v>
      </c>
      <c r="F221" t="s">
        <v>681</v>
      </c>
      <c r="G221" t="s">
        <v>682</v>
      </c>
      <c r="H221">
        <v>0.98</v>
      </c>
      <c r="I221" t="s">
        <v>667</v>
      </c>
      <c r="J221" t="s">
        <v>683</v>
      </c>
      <c r="K221" t="s">
        <v>645</v>
      </c>
      <c r="L221" t="s">
        <v>684</v>
      </c>
      <c r="M221" t="s">
        <v>664</v>
      </c>
    </row>
    <row r="222" spans="1:13" hidden="1" x14ac:dyDescent="0.2">
      <c r="A222" s="10" t="s">
        <v>558</v>
      </c>
      <c r="B222" t="s">
        <v>708</v>
      </c>
      <c r="C222" t="s">
        <v>658</v>
      </c>
      <c r="D222" t="s">
        <v>659</v>
      </c>
      <c r="E222" s="10" t="b">
        <f>IF(ISERROR(VLOOKUP( LEFT(B222, LEN(B222) - IF(ISNUMBER(RIGHT(B222, 1) * 1), 1, 0)),metadata_testudines!B$1:B$60,1,FALSE)),FALSE,TRUE)</f>
        <v>0</v>
      </c>
      <c r="F222" t="s">
        <v>681</v>
      </c>
      <c r="G222" t="s">
        <v>685</v>
      </c>
      <c r="H222">
        <v>0.4</v>
      </c>
      <c r="I222" t="s">
        <v>667</v>
      </c>
      <c r="J222" t="s">
        <v>683</v>
      </c>
      <c r="K222" t="s">
        <v>645</v>
      </c>
      <c r="L222" t="s">
        <v>646</v>
      </c>
      <c r="M222" t="s">
        <v>664</v>
      </c>
    </row>
    <row r="223" spans="1:13" hidden="1" x14ac:dyDescent="0.2">
      <c r="A223" s="10" t="s">
        <v>558</v>
      </c>
      <c r="B223" t="s">
        <v>708</v>
      </c>
      <c r="C223" t="s">
        <v>658</v>
      </c>
      <c r="D223" t="s">
        <v>659</v>
      </c>
      <c r="E223" s="10" t="b">
        <f>IF(ISERROR(VLOOKUP( LEFT(B223, LEN(B223) - IF(ISNUMBER(RIGHT(B223, 1) * 1), 1, 0)),metadata_testudines!B$1:B$60,1,FALSE)),FALSE,TRUE)</f>
        <v>0</v>
      </c>
      <c r="F223" t="s">
        <v>681</v>
      </c>
      <c r="G223" t="s">
        <v>685</v>
      </c>
      <c r="H223">
        <v>0.98</v>
      </c>
      <c r="I223" t="s">
        <v>667</v>
      </c>
      <c r="J223" t="s">
        <v>683</v>
      </c>
      <c r="K223" t="s">
        <v>645</v>
      </c>
      <c r="L223" t="s">
        <v>684</v>
      </c>
      <c r="M223" t="s">
        <v>664</v>
      </c>
    </row>
    <row r="224" spans="1:13" hidden="1" x14ac:dyDescent="0.2">
      <c r="A224" s="10" t="s">
        <v>558</v>
      </c>
      <c r="B224" t="s">
        <v>708</v>
      </c>
      <c r="C224" t="s">
        <v>658</v>
      </c>
      <c r="D224" t="s">
        <v>659</v>
      </c>
      <c r="E224" s="10" t="b">
        <f>IF(ISERROR(VLOOKUP( LEFT(B224, LEN(B224) - IF(ISNUMBER(RIGHT(B224, 1) * 1), 1, 0)),metadata_testudines!B$1:B$60,1,FALSE)),FALSE,TRUE)</f>
        <v>0</v>
      </c>
      <c r="F224" t="s">
        <v>681</v>
      </c>
      <c r="G224" t="s">
        <v>685</v>
      </c>
      <c r="H224">
        <v>0.98</v>
      </c>
      <c r="I224" t="s">
        <v>667</v>
      </c>
      <c r="J224" t="s">
        <v>683</v>
      </c>
      <c r="K224" t="s">
        <v>645</v>
      </c>
      <c r="L224" t="s">
        <v>684</v>
      </c>
      <c r="M224" t="s">
        <v>664</v>
      </c>
    </row>
    <row r="225" spans="1:13" hidden="1" x14ac:dyDescent="0.2">
      <c r="A225" s="10" t="s">
        <v>558</v>
      </c>
      <c r="B225" t="s">
        <v>708</v>
      </c>
      <c r="C225" t="s">
        <v>658</v>
      </c>
      <c r="D225" t="s">
        <v>659</v>
      </c>
      <c r="E225" s="10" t="b">
        <f>IF(ISERROR(VLOOKUP( LEFT(B225, LEN(B225) - IF(ISNUMBER(RIGHT(B225, 1) * 1), 1, 0)),metadata_testudines!B$1:B$60,1,FALSE)),FALSE,TRUE)</f>
        <v>0</v>
      </c>
      <c r="F225" t="s">
        <v>681</v>
      </c>
      <c r="G225" t="s">
        <v>685</v>
      </c>
      <c r="H225">
        <v>0.4</v>
      </c>
      <c r="I225" t="s">
        <v>667</v>
      </c>
      <c r="J225" t="s">
        <v>683</v>
      </c>
      <c r="K225" t="s">
        <v>645</v>
      </c>
      <c r="L225" t="s">
        <v>646</v>
      </c>
      <c r="M225" t="s">
        <v>664</v>
      </c>
    </row>
    <row r="226" spans="1:13" hidden="1" x14ac:dyDescent="0.2">
      <c r="A226" s="10" t="s">
        <v>558</v>
      </c>
      <c r="B226" t="s">
        <v>708</v>
      </c>
      <c r="C226" t="s">
        <v>658</v>
      </c>
      <c r="D226" t="s">
        <v>659</v>
      </c>
      <c r="E226" s="10" t="b">
        <f>IF(ISERROR(VLOOKUP( LEFT(B226, LEN(B226) - IF(ISNUMBER(RIGHT(B226, 1) * 1), 1, 0)),metadata_testudines!B$1:B$60,1,FALSE)),FALSE,TRUE)</f>
        <v>0</v>
      </c>
      <c r="F226" t="s">
        <v>660</v>
      </c>
      <c r="G226" t="s">
        <v>669</v>
      </c>
      <c r="H226">
        <v>10957.5</v>
      </c>
      <c r="I226" t="s">
        <v>662</v>
      </c>
      <c r="J226" t="s">
        <v>670</v>
      </c>
      <c r="K226" t="s">
        <v>647</v>
      </c>
      <c r="L226" t="s">
        <v>647</v>
      </c>
      <c r="M226" t="s">
        <v>664</v>
      </c>
    </row>
    <row r="227" spans="1:13" hidden="1" x14ac:dyDescent="0.2">
      <c r="A227" s="10" t="s">
        <v>558</v>
      </c>
      <c r="B227" t="s">
        <v>708</v>
      </c>
      <c r="C227" t="s">
        <v>658</v>
      </c>
      <c r="D227" t="s">
        <v>659</v>
      </c>
      <c r="E227" s="10" t="b">
        <f>IF(ISERROR(VLOOKUP( LEFT(B227, LEN(B227) - IF(ISNUMBER(RIGHT(B227, 1) * 1), 1, 0)),metadata_testudines!B$1:B$60,1,FALSE)),FALSE,TRUE)</f>
        <v>0</v>
      </c>
      <c r="F227" t="s">
        <v>681</v>
      </c>
      <c r="G227" t="s">
        <v>682</v>
      </c>
      <c r="H227">
        <v>0.98</v>
      </c>
      <c r="I227" t="s">
        <v>667</v>
      </c>
      <c r="J227" t="s">
        <v>683</v>
      </c>
      <c r="K227" t="s">
        <v>645</v>
      </c>
      <c r="L227" t="s">
        <v>684</v>
      </c>
      <c r="M227" t="s">
        <v>664</v>
      </c>
    </row>
    <row r="228" spans="1:13" hidden="1" x14ac:dyDescent="0.2">
      <c r="A228" s="10" t="s">
        <v>558</v>
      </c>
      <c r="B228" t="s">
        <v>708</v>
      </c>
      <c r="C228" t="s">
        <v>658</v>
      </c>
      <c r="D228" t="s">
        <v>659</v>
      </c>
      <c r="E228" s="10" t="b">
        <f>IF(ISERROR(VLOOKUP( LEFT(B228, LEN(B228) - IF(ISNUMBER(RIGHT(B228, 1) * 1), 1, 0)),metadata_testudines!B$1:B$60,1,FALSE)),FALSE,TRUE)</f>
        <v>0</v>
      </c>
      <c r="F228" t="s">
        <v>681</v>
      </c>
      <c r="G228" t="s">
        <v>685</v>
      </c>
      <c r="H228">
        <v>0.98</v>
      </c>
      <c r="I228" t="s">
        <v>667</v>
      </c>
      <c r="J228" t="s">
        <v>683</v>
      </c>
      <c r="K228" t="s">
        <v>645</v>
      </c>
      <c r="L228" t="s">
        <v>684</v>
      </c>
      <c r="M228" t="s">
        <v>664</v>
      </c>
    </row>
    <row r="229" spans="1:13" hidden="1" x14ac:dyDescent="0.2">
      <c r="A229" s="10" t="s">
        <v>558</v>
      </c>
      <c r="B229" t="s">
        <v>708</v>
      </c>
      <c r="C229" t="s">
        <v>658</v>
      </c>
      <c r="D229" t="s">
        <v>659</v>
      </c>
      <c r="E229" s="10" t="b">
        <f>IF(ISERROR(VLOOKUP( LEFT(B229, LEN(B229) - IF(ISNUMBER(RIGHT(B229, 1) * 1), 1, 0)),metadata_testudines!B$1:B$60,1,FALSE)),FALSE,TRUE)</f>
        <v>0</v>
      </c>
      <c r="F229" t="s">
        <v>660</v>
      </c>
      <c r="G229" t="s">
        <v>666</v>
      </c>
      <c r="H229">
        <v>152</v>
      </c>
      <c r="I229" t="s">
        <v>667</v>
      </c>
      <c r="J229" t="s">
        <v>668</v>
      </c>
      <c r="K229" t="s">
        <v>647</v>
      </c>
      <c r="L229" t="s">
        <v>664</v>
      </c>
      <c r="M229" t="s">
        <v>664</v>
      </c>
    </row>
    <row r="230" spans="1:13" hidden="1" x14ac:dyDescent="0.2">
      <c r="A230" s="10" t="s">
        <v>558</v>
      </c>
      <c r="B230" t="s">
        <v>708</v>
      </c>
      <c r="C230" t="s">
        <v>658</v>
      </c>
      <c r="D230" t="s">
        <v>659</v>
      </c>
      <c r="E230" s="10" t="b">
        <f>IF(ISERROR(VLOOKUP( LEFT(B230, LEN(B230) - IF(ISNUMBER(RIGHT(B230, 1) * 1), 1, 0)),metadata_testudines!B$1:B$60,1,FALSE)),FALSE,TRUE)</f>
        <v>0</v>
      </c>
      <c r="F230" t="s">
        <v>681</v>
      </c>
      <c r="G230" t="s">
        <v>685</v>
      </c>
      <c r="H230">
        <v>0.98</v>
      </c>
      <c r="I230" t="s">
        <v>667</v>
      </c>
      <c r="J230" t="s">
        <v>683</v>
      </c>
      <c r="K230" t="s">
        <v>645</v>
      </c>
      <c r="L230" t="s">
        <v>684</v>
      </c>
      <c r="M230" t="s">
        <v>664</v>
      </c>
    </row>
    <row r="231" spans="1:13" hidden="1" x14ac:dyDescent="0.2">
      <c r="A231" s="10" t="s">
        <v>558</v>
      </c>
      <c r="B231" t="s">
        <v>708</v>
      </c>
      <c r="C231" t="s">
        <v>658</v>
      </c>
      <c r="D231" t="s">
        <v>659</v>
      </c>
      <c r="E231" s="10" t="b">
        <f>IF(ISERROR(VLOOKUP( LEFT(B231, LEN(B231) - IF(ISNUMBER(RIGHT(B231, 1) * 1), 1, 0)),metadata_testudines!B$1:B$60,1,FALSE)),FALSE,TRUE)</f>
        <v>0</v>
      </c>
      <c r="F231" t="s">
        <v>660</v>
      </c>
      <c r="G231" t="s">
        <v>666</v>
      </c>
      <c r="H231">
        <v>55</v>
      </c>
      <c r="I231" t="s">
        <v>667</v>
      </c>
      <c r="J231" t="s">
        <v>668</v>
      </c>
      <c r="K231" t="s">
        <v>647</v>
      </c>
      <c r="L231" t="s">
        <v>664</v>
      </c>
      <c r="M231" t="s">
        <v>664</v>
      </c>
    </row>
    <row r="232" spans="1:13" hidden="1" x14ac:dyDescent="0.2">
      <c r="A232" s="10" t="s">
        <v>558</v>
      </c>
      <c r="B232" t="s">
        <v>708</v>
      </c>
      <c r="C232" t="s">
        <v>658</v>
      </c>
      <c r="D232" t="s">
        <v>659</v>
      </c>
      <c r="E232" s="10" t="b">
        <f>IF(ISERROR(VLOOKUP( LEFT(B232, LEN(B232) - IF(ISNUMBER(RIGHT(B232, 1) * 1), 1, 0)),metadata_testudines!B$1:B$60,1,FALSE)),FALSE,TRUE)</f>
        <v>0</v>
      </c>
      <c r="F232" t="s">
        <v>681</v>
      </c>
      <c r="G232" t="s">
        <v>682</v>
      </c>
      <c r="H232">
        <v>0.98</v>
      </c>
      <c r="I232" t="s">
        <v>667</v>
      </c>
      <c r="J232" t="s">
        <v>683</v>
      </c>
      <c r="K232" t="s">
        <v>645</v>
      </c>
      <c r="L232" t="s">
        <v>684</v>
      </c>
      <c r="M232" t="s">
        <v>664</v>
      </c>
    </row>
    <row r="233" spans="1:13" hidden="1" x14ac:dyDescent="0.2">
      <c r="A233" s="10" t="s">
        <v>558</v>
      </c>
      <c r="B233" t="s">
        <v>708</v>
      </c>
      <c r="C233" t="s">
        <v>658</v>
      </c>
      <c r="D233" t="s">
        <v>659</v>
      </c>
      <c r="E233" s="10" t="b">
        <f>IF(ISERROR(VLOOKUP( LEFT(B233, LEN(B233) - IF(ISNUMBER(RIGHT(B233, 1) * 1), 1, 0)),metadata_testudines!B$1:B$60,1,FALSE)),FALSE,TRUE)</f>
        <v>0</v>
      </c>
      <c r="F233" t="s">
        <v>681</v>
      </c>
      <c r="G233" t="s">
        <v>685</v>
      </c>
      <c r="H233">
        <v>0.98</v>
      </c>
      <c r="I233" t="s">
        <v>667</v>
      </c>
      <c r="J233" t="s">
        <v>683</v>
      </c>
      <c r="K233" t="s">
        <v>645</v>
      </c>
      <c r="L233" t="s">
        <v>684</v>
      </c>
      <c r="M233" t="s">
        <v>664</v>
      </c>
    </row>
    <row r="234" spans="1:13" hidden="1" x14ac:dyDescent="0.2">
      <c r="A234" s="10" t="s">
        <v>558</v>
      </c>
      <c r="B234" t="s">
        <v>708</v>
      </c>
      <c r="C234" t="s">
        <v>658</v>
      </c>
      <c r="D234" t="s">
        <v>659</v>
      </c>
      <c r="E234" s="10" t="b">
        <f>IF(ISERROR(VLOOKUP( LEFT(B234, LEN(B234) - IF(ISNUMBER(RIGHT(B234, 1) * 1), 1, 0)),metadata_testudines!B$1:B$60,1,FALSE)),FALSE,TRUE)</f>
        <v>0</v>
      </c>
      <c r="F234" t="s">
        <v>681</v>
      </c>
      <c r="G234" t="s">
        <v>682</v>
      </c>
      <c r="H234">
        <v>0.98</v>
      </c>
      <c r="I234" t="s">
        <v>667</v>
      </c>
      <c r="J234" t="s">
        <v>683</v>
      </c>
      <c r="K234" t="s">
        <v>645</v>
      </c>
      <c r="L234" t="s">
        <v>684</v>
      </c>
      <c r="M234" t="s">
        <v>664</v>
      </c>
    </row>
    <row r="235" spans="1:13" hidden="1" x14ac:dyDescent="0.2">
      <c r="A235" s="10" t="s">
        <v>558</v>
      </c>
      <c r="B235" t="s">
        <v>708</v>
      </c>
      <c r="C235" t="s">
        <v>658</v>
      </c>
      <c r="D235" t="s">
        <v>659</v>
      </c>
      <c r="E235" s="10" t="b">
        <f>IF(ISERROR(VLOOKUP( LEFT(B235, LEN(B235) - IF(ISNUMBER(RIGHT(B235, 1) * 1), 1, 0)),metadata_testudines!B$1:B$60,1,FALSE)),FALSE,TRUE)</f>
        <v>0</v>
      </c>
      <c r="F235" t="s">
        <v>681</v>
      </c>
      <c r="G235" t="s">
        <v>685</v>
      </c>
      <c r="H235">
        <v>0.98</v>
      </c>
      <c r="I235" t="s">
        <v>667</v>
      </c>
      <c r="J235" t="s">
        <v>683</v>
      </c>
      <c r="K235" t="s">
        <v>645</v>
      </c>
      <c r="L235" t="s">
        <v>684</v>
      </c>
      <c r="M235" t="s">
        <v>664</v>
      </c>
    </row>
    <row r="236" spans="1:13" hidden="1" x14ac:dyDescent="0.2">
      <c r="A236" s="10" t="s">
        <v>558</v>
      </c>
      <c r="B236" t="s">
        <v>708</v>
      </c>
      <c r="C236" t="s">
        <v>658</v>
      </c>
      <c r="D236" t="s">
        <v>659</v>
      </c>
      <c r="E236" s="10" t="b">
        <f>IF(ISERROR(VLOOKUP( LEFT(B236, LEN(B236) - IF(ISNUMBER(RIGHT(B236, 1) * 1), 1, 0)),metadata_testudines!B$1:B$60,1,FALSE)),FALSE,TRUE)</f>
        <v>0</v>
      </c>
      <c r="F236" t="s">
        <v>660</v>
      </c>
      <c r="G236" t="s">
        <v>661</v>
      </c>
      <c r="H236">
        <v>9</v>
      </c>
      <c r="I236" t="s">
        <v>662</v>
      </c>
      <c r="J236" t="s">
        <v>663</v>
      </c>
      <c r="K236" t="s">
        <v>647</v>
      </c>
      <c r="L236" t="s">
        <v>664</v>
      </c>
      <c r="M236" t="s">
        <v>664</v>
      </c>
    </row>
    <row r="237" spans="1:13" hidden="1" x14ac:dyDescent="0.2">
      <c r="A237" s="10" t="s">
        <v>558</v>
      </c>
      <c r="B237" t="s">
        <v>708</v>
      </c>
      <c r="C237" t="s">
        <v>658</v>
      </c>
      <c r="D237" t="s">
        <v>659</v>
      </c>
      <c r="E237" s="10" t="b">
        <f>IF(ISERROR(VLOOKUP( LEFT(B237, LEN(B237) - IF(ISNUMBER(RIGHT(B237, 1) * 1), 1, 0)),metadata_testudines!B$1:B$60,1,FALSE)),FALSE,TRUE)</f>
        <v>0</v>
      </c>
      <c r="F237" t="s">
        <v>660</v>
      </c>
      <c r="G237" t="s">
        <v>676</v>
      </c>
      <c r="H237">
        <v>9131.25</v>
      </c>
      <c r="I237" t="s">
        <v>662</v>
      </c>
      <c r="J237" t="s">
        <v>670</v>
      </c>
      <c r="K237" t="s">
        <v>647</v>
      </c>
      <c r="L237" t="s">
        <v>677</v>
      </c>
      <c r="M237" t="s">
        <v>664</v>
      </c>
    </row>
    <row r="238" spans="1:13" hidden="1" x14ac:dyDescent="0.2">
      <c r="A238" s="10" t="s">
        <v>558</v>
      </c>
      <c r="B238" t="s">
        <v>708</v>
      </c>
      <c r="C238" t="s">
        <v>658</v>
      </c>
      <c r="D238" t="s">
        <v>659</v>
      </c>
      <c r="E238" s="10" t="b">
        <f>IF(ISERROR(VLOOKUP( LEFT(B238, LEN(B238) - IF(ISNUMBER(RIGHT(B238, 1) * 1), 1, 0)),metadata_testudines!B$1:B$60,1,FALSE)),FALSE,TRUE)</f>
        <v>0</v>
      </c>
      <c r="F238" t="s">
        <v>660</v>
      </c>
      <c r="G238" t="s">
        <v>666</v>
      </c>
      <c r="H238">
        <v>176</v>
      </c>
      <c r="I238" t="s">
        <v>667</v>
      </c>
      <c r="J238" t="s">
        <v>668</v>
      </c>
      <c r="K238" t="s">
        <v>647</v>
      </c>
      <c r="L238" t="s">
        <v>664</v>
      </c>
      <c r="M238" t="s">
        <v>664</v>
      </c>
    </row>
    <row r="239" spans="1:13" hidden="1" x14ac:dyDescent="0.2">
      <c r="A239" s="10" t="s">
        <v>558</v>
      </c>
      <c r="B239" t="s">
        <v>708</v>
      </c>
      <c r="C239" t="s">
        <v>658</v>
      </c>
      <c r="D239" t="s">
        <v>659</v>
      </c>
      <c r="E239" s="10" t="b">
        <f>IF(ISERROR(VLOOKUP( LEFT(B239, LEN(B239) - IF(ISNUMBER(RIGHT(B239, 1) * 1), 1, 0)),metadata_testudines!B$1:B$60,1,FALSE)),FALSE,TRUE)</f>
        <v>0</v>
      </c>
      <c r="F239" t="s">
        <v>681</v>
      </c>
      <c r="G239" t="s">
        <v>685</v>
      </c>
      <c r="H239">
        <v>0.98</v>
      </c>
      <c r="I239" t="s">
        <v>667</v>
      </c>
      <c r="J239" t="s">
        <v>683</v>
      </c>
      <c r="K239" t="s">
        <v>645</v>
      </c>
      <c r="L239" t="s">
        <v>684</v>
      </c>
      <c r="M239" t="s">
        <v>664</v>
      </c>
    </row>
    <row r="240" spans="1:13" hidden="1" x14ac:dyDescent="0.2">
      <c r="A240" s="10" t="s">
        <v>558</v>
      </c>
      <c r="B240" t="s">
        <v>708</v>
      </c>
      <c r="C240" t="s">
        <v>658</v>
      </c>
      <c r="D240" t="s">
        <v>659</v>
      </c>
      <c r="E240" s="10" t="b">
        <f>IF(ISERROR(VLOOKUP( LEFT(B240, LEN(B240) - IF(ISNUMBER(RIGHT(B240, 1) * 1), 1, 0)),metadata_testudines!B$1:B$60,1,FALSE)),FALSE,TRUE)</f>
        <v>0</v>
      </c>
      <c r="F240" t="s">
        <v>686</v>
      </c>
      <c r="G240" t="s">
        <v>687</v>
      </c>
      <c r="H240">
        <v>23</v>
      </c>
      <c r="I240" t="s">
        <v>662</v>
      </c>
      <c r="J240" t="s">
        <v>670</v>
      </c>
      <c r="K240" t="s">
        <v>647</v>
      </c>
      <c r="L240" t="s">
        <v>646</v>
      </c>
      <c r="M240" t="s">
        <v>664</v>
      </c>
    </row>
    <row r="241" spans="1:13" hidden="1" x14ac:dyDescent="0.2">
      <c r="A241" s="10" t="s">
        <v>558</v>
      </c>
      <c r="B241" t="s">
        <v>708</v>
      </c>
      <c r="C241" t="s">
        <v>658</v>
      </c>
      <c r="D241" t="s">
        <v>659</v>
      </c>
      <c r="E241" s="10" t="b">
        <f>IF(ISERROR(VLOOKUP( LEFT(B241, LEN(B241) - IF(ISNUMBER(RIGHT(B241, 1) * 1), 1, 0)),metadata_testudines!B$1:B$60,1,FALSE)),FALSE,TRUE)</f>
        <v>0</v>
      </c>
      <c r="F241" t="s">
        <v>681</v>
      </c>
      <c r="G241" t="s">
        <v>688</v>
      </c>
      <c r="H241">
        <v>1</v>
      </c>
      <c r="I241" t="s">
        <v>662</v>
      </c>
      <c r="J241" t="s">
        <v>670</v>
      </c>
      <c r="K241" t="s">
        <v>645</v>
      </c>
      <c r="L241" t="s">
        <v>646</v>
      </c>
      <c r="M241" t="s">
        <v>664</v>
      </c>
    </row>
    <row r="242" spans="1:13" hidden="1" x14ac:dyDescent="0.2">
      <c r="A242" s="10" t="s">
        <v>558</v>
      </c>
      <c r="B242" t="s">
        <v>708</v>
      </c>
      <c r="C242" t="s">
        <v>658</v>
      </c>
      <c r="D242" t="s">
        <v>659</v>
      </c>
      <c r="E242" s="10" t="b">
        <f>IF(ISERROR(VLOOKUP( LEFT(B242, LEN(B242) - IF(ISNUMBER(RIGHT(B242, 1) * 1), 1, 0)),metadata_testudines!B$1:B$60,1,FALSE)),FALSE,TRUE)</f>
        <v>0</v>
      </c>
      <c r="F242" t="s">
        <v>681</v>
      </c>
      <c r="G242" t="s">
        <v>682</v>
      </c>
      <c r="H242">
        <v>0.98</v>
      </c>
      <c r="I242" t="s">
        <v>667</v>
      </c>
      <c r="J242" t="s">
        <v>683</v>
      </c>
      <c r="K242" t="s">
        <v>645</v>
      </c>
      <c r="L242" t="s">
        <v>684</v>
      </c>
      <c r="M242" t="s">
        <v>664</v>
      </c>
    </row>
    <row r="243" spans="1:13" hidden="1" x14ac:dyDescent="0.2">
      <c r="A243" s="10" t="s">
        <v>558</v>
      </c>
      <c r="B243" t="s">
        <v>708</v>
      </c>
      <c r="C243" t="s">
        <v>658</v>
      </c>
      <c r="D243" t="s">
        <v>659</v>
      </c>
      <c r="E243" s="10" t="b">
        <f>IF(ISERROR(VLOOKUP( LEFT(B243, LEN(B243) - IF(ISNUMBER(RIGHT(B243, 1) * 1), 1, 0)),metadata_testudines!B$1:B$60,1,FALSE)),FALSE,TRUE)</f>
        <v>0</v>
      </c>
      <c r="F243" t="s">
        <v>681</v>
      </c>
      <c r="G243" t="s">
        <v>682</v>
      </c>
      <c r="H243">
        <v>0.98</v>
      </c>
      <c r="I243" t="s">
        <v>667</v>
      </c>
      <c r="J243" t="s">
        <v>683</v>
      </c>
      <c r="K243" t="s">
        <v>645</v>
      </c>
      <c r="L243" t="s">
        <v>684</v>
      </c>
      <c r="M243" t="s">
        <v>664</v>
      </c>
    </row>
    <row r="244" spans="1:13" hidden="1" x14ac:dyDescent="0.2">
      <c r="A244" s="10" t="s">
        <v>558</v>
      </c>
      <c r="B244" t="s">
        <v>708</v>
      </c>
      <c r="C244" t="s">
        <v>658</v>
      </c>
      <c r="D244" t="s">
        <v>659</v>
      </c>
      <c r="E244" s="10" t="b">
        <f>IF(ISERROR(VLOOKUP( LEFT(B244, LEN(B244) - IF(ISNUMBER(RIGHT(B244, 1) * 1), 1, 0)),metadata_testudines!B$1:B$60,1,FALSE)),FALSE,TRUE)</f>
        <v>0</v>
      </c>
      <c r="F244" t="s">
        <v>681</v>
      </c>
      <c r="G244" t="s">
        <v>682</v>
      </c>
      <c r="H244">
        <v>0.98</v>
      </c>
      <c r="I244" t="s">
        <v>667</v>
      </c>
      <c r="J244" t="s">
        <v>683</v>
      </c>
      <c r="K244" t="s">
        <v>645</v>
      </c>
      <c r="L244" t="s">
        <v>684</v>
      </c>
      <c r="M244" t="s">
        <v>664</v>
      </c>
    </row>
    <row r="245" spans="1:13" hidden="1" x14ac:dyDescent="0.2">
      <c r="A245" s="10" t="s">
        <v>558</v>
      </c>
      <c r="B245" t="s">
        <v>708</v>
      </c>
      <c r="C245" t="s">
        <v>658</v>
      </c>
      <c r="D245" t="s">
        <v>659</v>
      </c>
      <c r="E245" s="10" t="b">
        <f>IF(ISERROR(VLOOKUP( LEFT(B245, LEN(B245) - IF(ISNUMBER(RIGHT(B245, 1) * 1), 1, 0)),metadata_testudines!B$1:B$60,1,FALSE)),FALSE,TRUE)</f>
        <v>0</v>
      </c>
      <c r="F245" t="s">
        <v>660</v>
      </c>
      <c r="G245" t="s">
        <v>661</v>
      </c>
      <c r="H245">
        <v>4</v>
      </c>
      <c r="I245" t="s">
        <v>662</v>
      </c>
      <c r="J245" t="s">
        <v>663</v>
      </c>
      <c r="K245" t="s">
        <v>647</v>
      </c>
      <c r="L245" t="s">
        <v>664</v>
      </c>
      <c r="M245" t="s">
        <v>664</v>
      </c>
    </row>
    <row r="246" spans="1:13" hidden="1" x14ac:dyDescent="0.2">
      <c r="A246" s="10" t="s">
        <v>558</v>
      </c>
      <c r="B246" t="s">
        <v>708</v>
      </c>
      <c r="C246" t="s">
        <v>658</v>
      </c>
      <c r="D246" t="s">
        <v>659</v>
      </c>
      <c r="E246" s="10" t="b">
        <f>IF(ISERROR(VLOOKUP( LEFT(B246, LEN(B246) - IF(ISNUMBER(RIGHT(B246, 1) * 1), 1, 0)),metadata_testudines!B$1:B$60,1,FALSE)),FALSE,TRUE)</f>
        <v>0</v>
      </c>
      <c r="F246" t="s">
        <v>681</v>
      </c>
      <c r="G246" t="s">
        <v>682</v>
      </c>
      <c r="H246">
        <v>0.98</v>
      </c>
      <c r="I246" t="s">
        <v>667</v>
      </c>
      <c r="J246" t="s">
        <v>683</v>
      </c>
      <c r="K246" t="s">
        <v>645</v>
      </c>
      <c r="L246" t="s">
        <v>684</v>
      </c>
      <c r="M246" t="s">
        <v>664</v>
      </c>
    </row>
    <row r="247" spans="1:13" hidden="1" x14ac:dyDescent="0.2">
      <c r="A247" s="10" t="s">
        <v>558</v>
      </c>
      <c r="B247" t="s">
        <v>708</v>
      </c>
      <c r="C247" t="s">
        <v>658</v>
      </c>
      <c r="D247" t="s">
        <v>659</v>
      </c>
      <c r="E247" s="10" t="b">
        <f>IF(ISERROR(VLOOKUP( LEFT(B247, LEN(B247) - IF(ISNUMBER(RIGHT(B247, 1) * 1), 1, 0)),metadata_testudines!B$1:B$60,1,FALSE)),FALSE,TRUE)</f>
        <v>0</v>
      </c>
      <c r="F247" t="s">
        <v>681</v>
      </c>
      <c r="G247" t="s">
        <v>685</v>
      </c>
      <c r="H247">
        <v>0.97</v>
      </c>
      <c r="I247" t="s">
        <v>667</v>
      </c>
      <c r="J247" t="s">
        <v>683</v>
      </c>
      <c r="K247" t="s">
        <v>645</v>
      </c>
      <c r="L247" t="s">
        <v>646</v>
      </c>
      <c r="M247" t="s">
        <v>664</v>
      </c>
    </row>
    <row r="248" spans="1:13" hidden="1" x14ac:dyDescent="0.2">
      <c r="A248" s="10" t="s">
        <v>558</v>
      </c>
      <c r="B248" t="s">
        <v>708</v>
      </c>
      <c r="C248" t="s">
        <v>658</v>
      </c>
      <c r="D248" t="s">
        <v>659</v>
      </c>
      <c r="E248" s="10" t="b">
        <f>IF(ISERROR(VLOOKUP( LEFT(B248, LEN(B248) - IF(ISNUMBER(RIGHT(B248, 1) * 1), 1, 0)),metadata_testudines!B$1:B$60,1,FALSE)),FALSE,TRUE)</f>
        <v>0</v>
      </c>
      <c r="F248" t="s">
        <v>681</v>
      </c>
      <c r="G248" t="s">
        <v>682</v>
      </c>
      <c r="H248">
        <v>0.98</v>
      </c>
      <c r="I248" t="s">
        <v>667</v>
      </c>
      <c r="J248" t="s">
        <v>683</v>
      </c>
      <c r="K248" t="s">
        <v>645</v>
      </c>
      <c r="L248" t="s">
        <v>684</v>
      </c>
      <c r="M248" t="s">
        <v>664</v>
      </c>
    </row>
    <row r="249" spans="1:13" hidden="1" x14ac:dyDescent="0.2">
      <c r="A249" s="10" t="s">
        <v>558</v>
      </c>
      <c r="B249" t="s">
        <v>708</v>
      </c>
      <c r="C249" t="s">
        <v>658</v>
      </c>
      <c r="D249" t="s">
        <v>659</v>
      </c>
      <c r="E249" s="10" t="b">
        <f>IF(ISERROR(VLOOKUP( LEFT(B249, LEN(B249) - IF(ISNUMBER(RIGHT(B249, 1) * 1), 1, 0)),metadata_testudines!B$1:B$60,1,FALSE)),FALSE,TRUE)</f>
        <v>0</v>
      </c>
      <c r="F249" t="s">
        <v>681</v>
      </c>
      <c r="G249" t="s">
        <v>685</v>
      </c>
      <c r="H249">
        <v>0.98</v>
      </c>
      <c r="I249" t="s">
        <v>667</v>
      </c>
      <c r="J249" t="s">
        <v>683</v>
      </c>
      <c r="K249" t="s">
        <v>645</v>
      </c>
      <c r="L249" t="s">
        <v>684</v>
      </c>
      <c r="M249" t="s">
        <v>664</v>
      </c>
    </row>
    <row r="250" spans="1:13" hidden="1" x14ac:dyDescent="0.2">
      <c r="A250" s="10" t="s">
        <v>558</v>
      </c>
      <c r="B250" t="s">
        <v>708</v>
      </c>
      <c r="C250" t="s">
        <v>658</v>
      </c>
      <c r="D250" t="s">
        <v>659</v>
      </c>
      <c r="E250" s="10" t="b">
        <f>IF(ISERROR(VLOOKUP( LEFT(B250, LEN(B250) - IF(ISNUMBER(RIGHT(B250, 1) * 1), 1, 0)),metadata_testudines!B$1:B$60,1,FALSE)),FALSE,TRUE)</f>
        <v>0</v>
      </c>
      <c r="F250" t="s">
        <v>681</v>
      </c>
      <c r="G250" t="s">
        <v>685</v>
      </c>
      <c r="H250">
        <v>0.98</v>
      </c>
      <c r="I250" t="s">
        <v>667</v>
      </c>
      <c r="J250" t="s">
        <v>683</v>
      </c>
      <c r="K250" t="s">
        <v>645</v>
      </c>
      <c r="L250" t="s">
        <v>684</v>
      </c>
      <c r="M250" t="s">
        <v>664</v>
      </c>
    </row>
    <row r="251" spans="1:13" hidden="1" x14ac:dyDescent="0.2">
      <c r="A251" s="10" t="s">
        <v>558</v>
      </c>
      <c r="B251" t="s">
        <v>708</v>
      </c>
      <c r="C251" t="s">
        <v>658</v>
      </c>
      <c r="D251" t="s">
        <v>659</v>
      </c>
      <c r="E251" s="10" t="b">
        <f>IF(ISERROR(VLOOKUP( LEFT(B251, LEN(B251) - IF(ISNUMBER(RIGHT(B251, 1) * 1), 1, 0)),metadata_testudines!B$1:B$60,1,FALSE)),FALSE,TRUE)</f>
        <v>0</v>
      </c>
      <c r="F251" t="s">
        <v>681</v>
      </c>
      <c r="G251" t="s">
        <v>682</v>
      </c>
      <c r="H251">
        <v>0.97</v>
      </c>
      <c r="I251" t="s">
        <v>667</v>
      </c>
      <c r="J251" t="s">
        <v>683</v>
      </c>
      <c r="K251" t="s">
        <v>645</v>
      </c>
      <c r="L251" t="s">
        <v>646</v>
      </c>
      <c r="M251" t="s">
        <v>664</v>
      </c>
    </row>
    <row r="252" spans="1:13" hidden="1" x14ac:dyDescent="0.2">
      <c r="A252" s="10" t="s">
        <v>558</v>
      </c>
      <c r="B252" t="s">
        <v>708</v>
      </c>
      <c r="C252" t="s">
        <v>658</v>
      </c>
      <c r="D252" t="s">
        <v>659</v>
      </c>
      <c r="E252" s="10" t="b">
        <f>IF(ISERROR(VLOOKUP( LEFT(B252, LEN(B252) - IF(ISNUMBER(RIGHT(B252, 1) * 1), 1, 0)),metadata_testudines!B$1:B$60,1,FALSE)),FALSE,TRUE)</f>
        <v>0</v>
      </c>
      <c r="F252" t="s">
        <v>681</v>
      </c>
      <c r="G252" t="s">
        <v>682</v>
      </c>
      <c r="H252">
        <v>0.98</v>
      </c>
      <c r="I252" t="s">
        <v>667</v>
      </c>
      <c r="J252" t="s">
        <v>683</v>
      </c>
      <c r="K252" t="s">
        <v>645</v>
      </c>
      <c r="L252" t="s">
        <v>684</v>
      </c>
      <c r="M252" t="s">
        <v>664</v>
      </c>
    </row>
    <row r="253" spans="1:13" hidden="1" x14ac:dyDescent="0.2">
      <c r="A253" s="10" t="s">
        <v>558</v>
      </c>
      <c r="B253" t="s">
        <v>708</v>
      </c>
      <c r="C253" t="s">
        <v>658</v>
      </c>
      <c r="D253" t="s">
        <v>659</v>
      </c>
      <c r="E253" s="10" t="b">
        <f>IF(ISERROR(VLOOKUP( LEFT(B253, LEN(B253) - IF(ISNUMBER(RIGHT(B253, 1) * 1), 1, 0)),metadata_testudines!B$1:B$60,1,FALSE)),FALSE,TRUE)</f>
        <v>0</v>
      </c>
      <c r="F253" t="s">
        <v>660</v>
      </c>
      <c r="G253" t="s">
        <v>666</v>
      </c>
      <c r="H253">
        <v>152</v>
      </c>
      <c r="I253" t="s">
        <v>667</v>
      </c>
      <c r="J253" t="s">
        <v>668</v>
      </c>
      <c r="K253" t="s">
        <v>647</v>
      </c>
      <c r="L253" t="s">
        <v>664</v>
      </c>
      <c r="M253" t="s">
        <v>664</v>
      </c>
    </row>
    <row r="254" spans="1:13" hidden="1" x14ac:dyDescent="0.2">
      <c r="A254" s="10" t="s">
        <v>558</v>
      </c>
      <c r="B254" t="s">
        <v>708</v>
      </c>
      <c r="C254" t="s">
        <v>658</v>
      </c>
      <c r="D254" t="s">
        <v>659</v>
      </c>
      <c r="E254" s="10" t="b">
        <f>IF(ISERROR(VLOOKUP( LEFT(B254, LEN(B254) - IF(ISNUMBER(RIGHT(B254, 1) * 1), 1, 0)),metadata_testudines!B$1:B$60,1,FALSE)),FALSE,TRUE)</f>
        <v>0</v>
      </c>
      <c r="F254" t="s">
        <v>681</v>
      </c>
      <c r="G254" t="s">
        <v>685</v>
      </c>
      <c r="H254">
        <v>0.98</v>
      </c>
      <c r="I254" t="s">
        <v>667</v>
      </c>
      <c r="J254" t="s">
        <v>683</v>
      </c>
      <c r="K254" t="s">
        <v>645</v>
      </c>
      <c r="L254" t="s">
        <v>684</v>
      </c>
      <c r="M254" t="s">
        <v>664</v>
      </c>
    </row>
    <row r="255" spans="1:13" hidden="1" x14ac:dyDescent="0.2">
      <c r="A255" s="10" t="s">
        <v>558</v>
      </c>
      <c r="B255" t="s">
        <v>708</v>
      </c>
      <c r="C255" t="s">
        <v>658</v>
      </c>
      <c r="D255" t="s">
        <v>659</v>
      </c>
      <c r="E255" s="10" t="b">
        <f>IF(ISERROR(VLOOKUP( LEFT(B255, LEN(B255) - IF(ISNUMBER(RIGHT(B255, 1) * 1), 1, 0)),metadata_testudines!B$1:B$60,1,FALSE)),FALSE,TRUE)</f>
        <v>0</v>
      </c>
      <c r="F255" t="s">
        <v>681</v>
      </c>
      <c r="G255" t="s">
        <v>682</v>
      </c>
      <c r="H255">
        <v>0.98</v>
      </c>
      <c r="I255" t="s">
        <v>667</v>
      </c>
      <c r="J255" t="s">
        <v>683</v>
      </c>
      <c r="K255" t="s">
        <v>645</v>
      </c>
      <c r="L255" t="s">
        <v>684</v>
      </c>
      <c r="M255" t="s">
        <v>664</v>
      </c>
    </row>
    <row r="256" spans="1:13" hidden="1" x14ac:dyDescent="0.2">
      <c r="A256" s="10" t="s">
        <v>558</v>
      </c>
      <c r="B256" t="s">
        <v>708</v>
      </c>
      <c r="C256" t="s">
        <v>658</v>
      </c>
      <c r="D256" t="s">
        <v>659</v>
      </c>
      <c r="E256" s="10" t="b">
        <f>IF(ISERROR(VLOOKUP( LEFT(B256, LEN(B256) - IF(ISNUMBER(RIGHT(B256, 1) * 1), 1, 0)),metadata_testudines!B$1:B$60,1,FALSE)),FALSE,TRUE)</f>
        <v>0</v>
      </c>
      <c r="F256" t="s">
        <v>681</v>
      </c>
      <c r="G256" t="s">
        <v>685</v>
      </c>
      <c r="H256">
        <v>0.98</v>
      </c>
      <c r="I256" t="s">
        <v>667</v>
      </c>
      <c r="J256" t="s">
        <v>683</v>
      </c>
      <c r="K256" t="s">
        <v>645</v>
      </c>
      <c r="L256" t="s">
        <v>684</v>
      </c>
      <c r="M256" t="s">
        <v>664</v>
      </c>
    </row>
    <row r="257" spans="1:13" hidden="1" x14ac:dyDescent="0.2">
      <c r="A257" s="10" t="s">
        <v>558</v>
      </c>
      <c r="B257" t="s">
        <v>708</v>
      </c>
      <c r="C257" t="s">
        <v>658</v>
      </c>
      <c r="D257" t="s">
        <v>659</v>
      </c>
      <c r="E257" s="10" t="b">
        <f>IF(ISERROR(VLOOKUP( LEFT(B257, LEN(B257) - IF(ISNUMBER(RIGHT(B257, 1) * 1), 1, 0)),metadata_testudines!B$1:B$60,1,FALSE)),FALSE,TRUE)</f>
        <v>0</v>
      </c>
      <c r="F257" t="s">
        <v>660</v>
      </c>
      <c r="G257" t="s">
        <v>661</v>
      </c>
      <c r="H257">
        <v>25</v>
      </c>
      <c r="I257" t="s">
        <v>662</v>
      </c>
      <c r="J257" t="s">
        <v>663</v>
      </c>
      <c r="K257" t="s">
        <v>647</v>
      </c>
      <c r="L257" t="s">
        <v>664</v>
      </c>
      <c r="M257" t="s">
        <v>664</v>
      </c>
    </row>
    <row r="258" spans="1:13" hidden="1" x14ac:dyDescent="0.2">
      <c r="A258" s="10" t="s">
        <v>558</v>
      </c>
      <c r="B258" t="s">
        <v>708</v>
      </c>
      <c r="C258" t="s">
        <v>658</v>
      </c>
      <c r="D258" t="s">
        <v>659</v>
      </c>
      <c r="E258" s="10" t="b">
        <f>IF(ISERROR(VLOOKUP( LEFT(B258, LEN(B258) - IF(ISNUMBER(RIGHT(B258, 1) * 1), 1, 0)),metadata_testudines!B$1:B$60,1,FALSE)),FALSE,TRUE)</f>
        <v>0</v>
      </c>
      <c r="F258" t="s">
        <v>681</v>
      </c>
      <c r="G258" t="s">
        <v>685</v>
      </c>
      <c r="H258">
        <v>0.98</v>
      </c>
      <c r="I258" t="s">
        <v>667</v>
      </c>
      <c r="J258" t="s">
        <v>683</v>
      </c>
      <c r="K258" t="s">
        <v>645</v>
      </c>
      <c r="L258" t="s">
        <v>684</v>
      </c>
      <c r="M258" t="s">
        <v>664</v>
      </c>
    </row>
    <row r="259" spans="1:13" hidden="1" x14ac:dyDescent="0.2">
      <c r="A259" s="10" t="s">
        <v>558</v>
      </c>
      <c r="B259" t="s">
        <v>708</v>
      </c>
      <c r="C259" t="s">
        <v>658</v>
      </c>
      <c r="D259" t="s">
        <v>659</v>
      </c>
      <c r="E259" s="10" t="b">
        <f>IF(ISERROR(VLOOKUP( LEFT(B259, LEN(B259) - IF(ISNUMBER(RIGHT(B259, 1) * 1), 1, 0)),metadata_testudines!B$1:B$60,1,FALSE)),FALSE,TRUE)</f>
        <v>0</v>
      </c>
      <c r="F259" t="s">
        <v>681</v>
      </c>
      <c r="G259" t="s">
        <v>682</v>
      </c>
      <c r="H259">
        <v>0.97</v>
      </c>
      <c r="I259" t="s">
        <v>667</v>
      </c>
      <c r="J259" t="s">
        <v>683</v>
      </c>
      <c r="K259" t="s">
        <v>645</v>
      </c>
      <c r="L259" t="s">
        <v>646</v>
      </c>
      <c r="M259" t="s">
        <v>664</v>
      </c>
    </row>
    <row r="260" spans="1:13" hidden="1" x14ac:dyDescent="0.2">
      <c r="A260" s="10" t="s">
        <v>558</v>
      </c>
      <c r="B260" t="s">
        <v>708</v>
      </c>
      <c r="C260" t="s">
        <v>658</v>
      </c>
      <c r="D260" t="s">
        <v>659</v>
      </c>
      <c r="E260" s="10" t="b">
        <f>IF(ISERROR(VLOOKUP( LEFT(B260, LEN(B260) - IF(ISNUMBER(RIGHT(B260, 1) * 1), 1, 0)),metadata_testudines!B$1:B$60,1,FALSE)),FALSE,TRUE)</f>
        <v>0</v>
      </c>
      <c r="F260" t="s">
        <v>681</v>
      </c>
      <c r="G260" t="s">
        <v>682</v>
      </c>
      <c r="H260">
        <v>0.98</v>
      </c>
      <c r="I260" t="s">
        <v>667</v>
      </c>
      <c r="J260" t="s">
        <v>683</v>
      </c>
      <c r="K260" t="s">
        <v>645</v>
      </c>
      <c r="L260" t="s">
        <v>684</v>
      </c>
      <c r="M260" t="s">
        <v>664</v>
      </c>
    </row>
    <row r="261" spans="1:13" hidden="1" x14ac:dyDescent="0.2">
      <c r="A261" s="10" t="s">
        <v>558</v>
      </c>
      <c r="B261" t="s">
        <v>708</v>
      </c>
      <c r="C261" t="s">
        <v>658</v>
      </c>
      <c r="D261" t="s">
        <v>659</v>
      </c>
      <c r="E261" s="10" t="b">
        <f>IF(ISERROR(VLOOKUP( LEFT(B261, LEN(B261) - IF(ISNUMBER(RIGHT(B261, 1) * 1), 1, 0)),metadata_testudines!B$1:B$60,1,FALSE)),FALSE,TRUE)</f>
        <v>0</v>
      </c>
      <c r="F261" t="s">
        <v>681</v>
      </c>
      <c r="G261" t="s">
        <v>685</v>
      </c>
      <c r="H261">
        <v>0.98</v>
      </c>
      <c r="I261" t="s">
        <v>667</v>
      </c>
      <c r="J261" t="s">
        <v>683</v>
      </c>
      <c r="K261" t="s">
        <v>645</v>
      </c>
      <c r="L261" t="s">
        <v>684</v>
      </c>
      <c r="M261" t="s">
        <v>664</v>
      </c>
    </row>
    <row r="262" spans="1:13" hidden="1" x14ac:dyDescent="0.2">
      <c r="A262" s="10" t="s">
        <v>558</v>
      </c>
      <c r="B262" t="s">
        <v>708</v>
      </c>
      <c r="C262" t="s">
        <v>658</v>
      </c>
      <c r="D262" t="s">
        <v>659</v>
      </c>
      <c r="E262" s="10" t="b">
        <f>IF(ISERROR(VLOOKUP( LEFT(B262, LEN(B262) - IF(ISNUMBER(RIGHT(B262, 1) * 1), 1, 0)),metadata_testudines!B$1:B$60,1,FALSE)),FALSE,TRUE)</f>
        <v>0</v>
      </c>
      <c r="F262" t="s">
        <v>681</v>
      </c>
      <c r="G262" t="s">
        <v>682</v>
      </c>
      <c r="H262">
        <v>0.98</v>
      </c>
      <c r="I262" t="s">
        <v>667</v>
      </c>
      <c r="J262" t="s">
        <v>683</v>
      </c>
      <c r="K262" t="s">
        <v>645</v>
      </c>
      <c r="L262" t="s">
        <v>684</v>
      </c>
      <c r="M262" t="s">
        <v>664</v>
      </c>
    </row>
    <row r="263" spans="1:13" hidden="1" x14ac:dyDescent="0.2">
      <c r="A263" s="10" t="s">
        <v>558</v>
      </c>
      <c r="B263" t="s">
        <v>708</v>
      </c>
      <c r="C263" t="s">
        <v>658</v>
      </c>
      <c r="D263" t="s">
        <v>659</v>
      </c>
      <c r="E263" s="10" t="b">
        <f>IF(ISERROR(VLOOKUP( LEFT(B263, LEN(B263) - IF(ISNUMBER(RIGHT(B263, 1) * 1), 1, 0)),metadata_testudines!B$1:B$60,1,FALSE)),FALSE,TRUE)</f>
        <v>0</v>
      </c>
      <c r="F263" t="s">
        <v>681</v>
      </c>
      <c r="G263" t="s">
        <v>685</v>
      </c>
      <c r="H263">
        <v>0.98</v>
      </c>
      <c r="I263" t="s">
        <v>667</v>
      </c>
      <c r="J263" t="s">
        <v>683</v>
      </c>
      <c r="K263" t="s">
        <v>645</v>
      </c>
      <c r="L263" t="s">
        <v>684</v>
      </c>
      <c r="M263" t="s">
        <v>664</v>
      </c>
    </row>
    <row r="264" spans="1:13" hidden="1" x14ac:dyDescent="0.2">
      <c r="A264" s="10" t="s">
        <v>558</v>
      </c>
      <c r="B264" t="s">
        <v>708</v>
      </c>
      <c r="C264" t="s">
        <v>658</v>
      </c>
      <c r="D264" t="s">
        <v>659</v>
      </c>
      <c r="E264" s="10" t="b">
        <f>IF(ISERROR(VLOOKUP( LEFT(B264, LEN(B264) - IF(ISNUMBER(RIGHT(B264, 1) * 1), 1, 0)),metadata_testudines!B$1:B$60,1,FALSE)),FALSE,TRUE)</f>
        <v>0</v>
      </c>
      <c r="F264" t="s">
        <v>660</v>
      </c>
      <c r="G264" t="s">
        <v>679</v>
      </c>
      <c r="H264">
        <v>1</v>
      </c>
      <c r="I264" t="s">
        <v>662</v>
      </c>
      <c r="J264" t="s">
        <v>680</v>
      </c>
      <c r="K264" t="s">
        <v>647</v>
      </c>
      <c r="L264" t="s">
        <v>664</v>
      </c>
      <c r="M264" t="s">
        <v>664</v>
      </c>
    </row>
    <row r="265" spans="1:13" hidden="1" x14ac:dyDescent="0.2">
      <c r="A265" s="10" t="s">
        <v>558</v>
      </c>
      <c r="B265" t="s">
        <v>708</v>
      </c>
      <c r="C265" t="s">
        <v>658</v>
      </c>
      <c r="D265" t="s">
        <v>659</v>
      </c>
      <c r="E265" s="10" t="b">
        <f>IF(ISERROR(VLOOKUP( LEFT(B265, LEN(B265) - IF(ISNUMBER(RIGHT(B265, 1) * 1), 1, 0)),metadata_testudines!B$1:B$60,1,FALSE)),FALSE,TRUE)</f>
        <v>0</v>
      </c>
      <c r="F265" t="s">
        <v>686</v>
      </c>
      <c r="G265" t="s">
        <v>689</v>
      </c>
      <c r="H265">
        <v>0.03</v>
      </c>
      <c r="I265" t="s">
        <v>667</v>
      </c>
      <c r="J265" t="s">
        <v>683</v>
      </c>
      <c r="K265" t="s">
        <v>647</v>
      </c>
      <c r="L265" t="s">
        <v>646</v>
      </c>
      <c r="M265" t="s">
        <v>664</v>
      </c>
    </row>
    <row r="266" spans="1:13" hidden="1" x14ac:dyDescent="0.2">
      <c r="A266" s="10" t="s">
        <v>558</v>
      </c>
      <c r="B266" t="s">
        <v>708</v>
      </c>
      <c r="C266" t="s">
        <v>658</v>
      </c>
      <c r="D266" t="s">
        <v>659</v>
      </c>
      <c r="E266" s="10" t="b">
        <f>IF(ISERROR(VLOOKUP( LEFT(B266, LEN(B266) - IF(ISNUMBER(RIGHT(B266, 1) * 1), 1, 0)),metadata_testudines!B$1:B$60,1,FALSE)),FALSE,TRUE)</f>
        <v>0</v>
      </c>
      <c r="F266" t="s">
        <v>681</v>
      </c>
      <c r="G266" t="s">
        <v>685</v>
      </c>
      <c r="H266">
        <v>0.98</v>
      </c>
      <c r="I266" t="s">
        <v>667</v>
      </c>
      <c r="J266" t="s">
        <v>683</v>
      </c>
      <c r="K266" t="s">
        <v>645</v>
      </c>
      <c r="L266" t="s">
        <v>684</v>
      </c>
      <c r="M266" t="s">
        <v>664</v>
      </c>
    </row>
    <row r="267" spans="1:13" hidden="1" x14ac:dyDescent="0.2">
      <c r="A267" s="10" t="s">
        <v>558</v>
      </c>
      <c r="B267" t="s">
        <v>708</v>
      </c>
      <c r="C267" t="s">
        <v>658</v>
      </c>
      <c r="D267" t="s">
        <v>659</v>
      </c>
      <c r="E267" s="10" t="b">
        <f>IF(ISERROR(VLOOKUP( LEFT(B267, LEN(B267) - IF(ISNUMBER(RIGHT(B267, 1) * 1), 1, 0)),metadata_testudines!B$1:B$60,1,FALSE)),FALSE,TRUE)</f>
        <v>0</v>
      </c>
      <c r="F267" t="s">
        <v>681</v>
      </c>
      <c r="G267" t="s">
        <v>685</v>
      </c>
      <c r="H267">
        <v>0.98</v>
      </c>
      <c r="I267" t="s">
        <v>667</v>
      </c>
      <c r="J267" t="s">
        <v>683</v>
      </c>
      <c r="K267" t="s">
        <v>645</v>
      </c>
      <c r="L267" t="s">
        <v>684</v>
      </c>
      <c r="M267" t="s">
        <v>664</v>
      </c>
    </row>
    <row r="268" spans="1:13" hidden="1" x14ac:dyDescent="0.2">
      <c r="A268" s="10" t="s">
        <v>558</v>
      </c>
      <c r="B268" t="s">
        <v>708</v>
      </c>
      <c r="C268" t="s">
        <v>658</v>
      </c>
      <c r="D268" t="s">
        <v>659</v>
      </c>
      <c r="E268" s="10" t="b">
        <f>IF(ISERROR(VLOOKUP( LEFT(B268, LEN(B268) - IF(ISNUMBER(RIGHT(B268, 1) * 1), 1, 0)),metadata_testudines!B$1:B$60,1,FALSE)),FALSE,TRUE)</f>
        <v>0</v>
      </c>
      <c r="F268" t="s">
        <v>660</v>
      </c>
      <c r="G268" t="s">
        <v>661</v>
      </c>
      <c r="H268">
        <v>28</v>
      </c>
      <c r="I268" t="s">
        <v>662</v>
      </c>
      <c r="J268" t="s">
        <v>663</v>
      </c>
      <c r="K268" t="s">
        <v>647</v>
      </c>
      <c r="L268" t="s">
        <v>664</v>
      </c>
      <c r="M268" t="s">
        <v>664</v>
      </c>
    </row>
    <row r="269" spans="1:13" hidden="1" x14ac:dyDescent="0.2">
      <c r="A269" s="10" t="s">
        <v>558</v>
      </c>
      <c r="B269" t="s">
        <v>708</v>
      </c>
      <c r="C269" t="s">
        <v>658</v>
      </c>
      <c r="D269" t="s">
        <v>659</v>
      </c>
      <c r="E269" s="10" t="b">
        <f>IF(ISERROR(VLOOKUP( LEFT(B269, LEN(B269) - IF(ISNUMBER(RIGHT(B269, 1) * 1), 1, 0)),metadata_testudines!B$1:B$60,1,FALSE)),FALSE,TRUE)</f>
        <v>0</v>
      </c>
      <c r="F269" t="s">
        <v>681</v>
      </c>
      <c r="G269" t="s">
        <v>682</v>
      </c>
      <c r="H269">
        <v>0.98</v>
      </c>
      <c r="I269" t="s">
        <v>667</v>
      </c>
      <c r="J269" t="s">
        <v>683</v>
      </c>
      <c r="K269" t="s">
        <v>645</v>
      </c>
      <c r="L269" t="s">
        <v>684</v>
      </c>
      <c r="M269" t="s">
        <v>664</v>
      </c>
    </row>
    <row r="270" spans="1:13" hidden="1" x14ac:dyDescent="0.2">
      <c r="A270" s="10" t="s">
        <v>558</v>
      </c>
      <c r="B270" t="s">
        <v>708</v>
      </c>
      <c r="C270" t="s">
        <v>658</v>
      </c>
      <c r="D270" t="s">
        <v>659</v>
      </c>
      <c r="E270" s="10" t="b">
        <f>IF(ISERROR(VLOOKUP( LEFT(B270, LEN(B270) - IF(ISNUMBER(RIGHT(B270, 1) * 1), 1, 0)),metadata_testudines!B$1:B$60,1,FALSE)),FALSE,TRUE)</f>
        <v>0</v>
      </c>
      <c r="F270" t="s">
        <v>681</v>
      </c>
      <c r="G270" t="s">
        <v>685</v>
      </c>
      <c r="H270">
        <v>0.98</v>
      </c>
      <c r="I270" t="s">
        <v>667</v>
      </c>
      <c r="J270" t="s">
        <v>683</v>
      </c>
      <c r="K270" t="s">
        <v>645</v>
      </c>
      <c r="L270" t="s">
        <v>684</v>
      </c>
      <c r="M270" t="s">
        <v>664</v>
      </c>
    </row>
    <row r="271" spans="1:13" hidden="1" x14ac:dyDescent="0.2">
      <c r="A271" s="10" t="s">
        <v>558</v>
      </c>
      <c r="B271" t="s">
        <v>708</v>
      </c>
      <c r="C271" t="s">
        <v>658</v>
      </c>
      <c r="D271" t="s">
        <v>659</v>
      </c>
      <c r="E271" s="10" t="b">
        <f>IF(ISERROR(VLOOKUP( LEFT(B271, LEN(B271) - IF(ISNUMBER(RIGHT(B271, 1) * 1), 1, 0)),metadata_testudines!B$1:B$60,1,FALSE)),FALSE,TRUE)</f>
        <v>0</v>
      </c>
      <c r="F271" t="s">
        <v>660</v>
      </c>
      <c r="G271" t="s">
        <v>665</v>
      </c>
      <c r="H271">
        <v>2</v>
      </c>
      <c r="I271" t="s">
        <v>662</v>
      </c>
      <c r="J271" t="s">
        <v>663</v>
      </c>
      <c r="K271" t="s">
        <v>647</v>
      </c>
      <c r="L271" t="s">
        <v>664</v>
      </c>
      <c r="M271" t="s">
        <v>664</v>
      </c>
    </row>
    <row r="272" spans="1:13" hidden="1" x14ac:dyDescent="0.2">
      <c r="A272" s="10" t="s">
        <v>558</v>
      </c>
      <c r="B272" t="s">
        <v>708</v>
      </c>
      <c r="C272" t="s">
        <v>658</v>
      </c>
      <c r="D272" t="s">
        <v>659</v>
      </c>
      <c r="E272" s="10" t="b">
        <f>IF(ISERROR(VLOOKUP( LEFT(B272, LEN(B272) - IF(ISNUMBER(RIGHT(B272, 1) * 1), 1, 0)),metadata_testudines!B$1:B$60,1,FALSE)),FALSE,TRUE)</f>
        <v>0</v>
      </c>
      <c r="F272" t="s">
        <v>681</v>
      </c>
      <c r="G272" t="s">
        <v>685</v>
      </c>
      <c r="H272">
        <v>0.98</v>
      </c>
      <c r="I272" t="s">
        <v>667</v>
      </c>
      <c r="J272" t="s">
        <v>683</v>
      </c>
      <c r="K272" t="s">
        <v>645</v>
      </c>
      <c r="L272" t="s">
        <v>684</v>
      </c>
      <c r="M272" t="s">
        <v>664</v>
      </c>
    </row>
    <row r="273" spans="1:13" hidden="1" x14ac:dyDescent="0.2">
      <c r="A273" s="10" t="s">
        <v>558</v>
      </c>
      <c r="B273" t="s">
        <v>708</v>
      </c>
      <c r="C273" t="s">
        <v>658</v>
      </c>
      <c r="D273" t="s">
        <v>659</v>
      </c>
      <c r="E273" s="10" t="b">
        <f>IF(ISERROR(VLOOKUP( LEFT(B273, LEN(B273) - IF(ISNUMBER(RIGHT(B273, 1) * 1), 1, 0)),metadata_testudines!B$1:B$60,1,FALSE)),FALSE,TRUE)</f>
        <v>0</v>
      </c>
      <c r="F273" t="s">
        <v>681</v>
      </c>
      <c r="G273" t="s">
        <v>682</v>
      </c>
      <c r="H273">
        <v>0.98</v>
      </c>
      <c r="I273" t="s">
        <v>667</v>
      </c>
      <c r="J273" t="s">
        <v>683</v>
      </c>
      <c r="K273" t="s">
        <v>645</v>
      </c>
      <c r="L273" t="s">
        <v>684</v>
      </c>
      <c r="M273" t="s">
        <v>664</v>
      </c>
    </row>
    <row r="274" spans="1:13" hidden="1" x14ac:dyDescent="0.2">
      <c r="A274" s="10" t="s">
        <v>558</v>
      </c>
      <c r="B274" t="s">
        <v>708</v>
      </c>
      <c r="C274" t="s">
        <v>658</v>
      </c>
      <c r="D274" t="s">
        <v>659</v>
      </c>
      <c r="E274" s="10" t="b">
        <f>IF(ISERROR(VLOOKUP( LEFT(B274, LEN(B274) - IF(ISNUMBER(RIGHT(B274, 1) * 1), 1, 0)),metadata_testudines!B$1:B$60,1,FALSE)),FALSE,TRUE)</f>
        <v>0</v>
      </c>
      <c r="F274" t="s">
        <v>681</v>
      </c>
      <c r="G274" t="s">
        <v>685</v>
      </c>
      <c r="H274">
        <v>0.98</v>
      </c>
      <c r="I274" t="s">
        <v>667</v>
      </c>
      <c r="J274" t="s">
        <v>683</v>
      </c>
      <c r="K274" t="s">
        <v>645</v>
      </c>
      <c r="L274" t="s">
        <v>684</v>
      </c>
      <c r="M274" t="s">
        <v>664</v>
      </c>
    </row>
    <row r="275" spans="1:13" hidden="1" x14ac:dyDescent="0.2">
      <c r="A275" s="10" t="s">
        <v>558</v>
      </c>
      <c r="B275" t="s">
        <v>708</v>
      </c>
      <c r="C275" t="s">
        <v>658</v>
      </c>
      <c r="D275" t="s">
        <v>659</v>
      </c>
      <c r="E275" s="10" t="b">
        <f>IF(ISERROR(VLOOKUP( LEFT(B275, LEN(B275) - IF(ISNUMBER(RIGHT(B275, 1) * 1), 1, 0)),metadata_testudines!B$1:B$60,1,FALSE)),FALSE,TRUE)</f>
        <v>0</v>
      </c>
      <c r="F275" t="s">
        <v>660</v>
      </c>
      <c r="G275" t="s">
        <v>661</v>
      </c>
      <c r="H275">
        <v>14</v>
      </c>
      <c r="I275" t="s">
        <v>662</v>
      </c>
      <c r="J275" t="s">
        <v>663</v>
      </c>
      <c r="K275" t="s">
        <v>647</v>
      </c>
      <c r="L275" t="s">
        <v>664</v>
      </c>
      <c r="M275" t="s">
        <v>664</v>
      </c>
    </row>
    <row r="276" spans="1:13" hidden="1" x14ac:dyDescent="0.2">
      <c r="A276" s="10" t="s">
        <v>558</v>
      </c>
      <c r="B276" t="s">
        <v>708</v>
      </c>
      <c r="C276" t="s">
        <v>658</v>
      </c>
      <c r="D276" t="s">
        <v>659</v>
      </c>
      <c r="E276" s="10" t="b">
        <f>IF(ISERROR(VLOOKUP( LEFT(B276, LEN(B276) - IF(ISNUMBER(RIGHT(B276, 1) * 1), 1, 0)),metadata_testudines!B$1:B$60,1,FALSE)),FALSE,TRUE)</f>
        <v>0</v>
      </c>
      <c r="F276" t="s">
        <v>681</v>
      </c>
      <c r="G276" t="s">
        <v>682</v>
      </c>
      <c r="H276">
        <v>0.98</v>
      </c>
      <c r="I276" t="s">
        <v>667</v>
      </c>
      <c r="J276" t="s">
        <v>683</v>
      </c>
      <c r="K276" t="s">
        <v>645</v>
      </c>
      <c r="L276" t="s">
        <v>684</v>
      </c>
      <c r="M276" t="s">
        <v>664</v>
      </c>
    </row>
    <row r="277" spans="1:13" hidden="1" x14ac:dyDescent="0.2">
      <c r="A277" s="10" t="s">
        <v>558</v>
      </c>
      <c r="B277" t="s">
        <v>708</v>
      </c>
      <c r="C277" t="s">
        <v>658</v>
      </c>
      <c r="D277" t="s">
        <v>659</v>
      </c>
      <c r="E277" s="10" t="b">
        <f>IF(ISERROR(VLOOKUP( LEFT(B277, LEN(B277) - IF(ISNUMBER(RIGHT(B277, 1) * 1), 1, 0)),metadata_testudines!B$1:B$60,1,FALSE)),FALSE,TRUE)</f>
        <v>0</v>
      </c>
      <c r="F277" t="s">
        <v>660</v>
      </c>
      <c r="G277" t="s">
        <v>669</v>
      </c>
      <c r="H277">
        <v>8400.75</v>
      </c>
      <c r="I277" t="s">
        <v>662</v>
      </c>
      <c r="J277" t="s">
        <v>670</v>
      </c>
      <c r="K277" t="s">
        <v>647</v>
      </c>
      <c r="L277" t="s">
        <v>647</v>
      </c>
      <c r="M277" t="s">
        <v>664</v>
      </c>
    </row>
    <row r="278" spans="1:13" hidden="1" x14ac:dyDescent="0.2">
      <c r="A278" s="10" t="s">
        <v>558</v>
      </c>
      <c r="B278" t="s">
        <v>708</v>
      </c>
      <c r="C278" t="s">
        <v>658</v>
      </c>
      <c r="D278" t="s">
        <v>659</v>
      </c>
      <c r="E278" s="10" t="b">
        <f>IF(ISERROR(VLOOKUP( LEFT(B278, LEN(B278) - IF(ISNUMBER(RIGHT(B278, 1) * 1), 1, 0)),metadata_testudines!B$1:B$60,1,FALSE)),FALSE,TRUE)</f>
        <v>0</v>
      </c>
      <c r="F278" t="s">
        <v>686</v>
      </c>
      <c r="G278" t="s">
        <v>690</v>
      </c>
      <c r="H278">
        <v>0.97</v>
      </c>
      <c r="I278" t="s">
        <v>667</v>
      </c>
      <c r="J278" t="s">
        <v>683</v>
      </c>
      <c r="K278" t="s">
        <v>647</v>
      </c>
      <c r="L278" t="s">
        <v>646</v>
      </c>
      <c r="M278" t="s">
        <v>664</v>
      </c>
    </row>
    <row r="279" spans="1:13" hidden="1" x14ac:dyDescent="0.2">
      <c r="A279" s="10" t="s">
        <v>558</v>
      </c>
      <c r="B279" t="s">
        <v>708</v>
      </c>
      <c r="C279" t="s">
        <v>658</v>
      </c>
      <c r="D279" t="s">
        <v>659</v>
      </c>
      <c r="E279" s="10" t="b">
        <f>IF(ISERROR(VLOOKUP( LEFT(B279, LEN(B279) - IF(ISNUMBER(RIGHT(B279, 1) * 1), 1, 0)),metadata_testudines!B$1:B$60,1,FALSE)),FALSE,TRUE)</f>
        <v>0</v>
      </c>
      <c r="F279" t="s">
        <v>681</v>
      </c>
      <c r="G279" t="s">
        <v>682</v>
      </c>
      <c r="H279">
        <v>0.98</v>
      </c>
      <c r="I279" t="s">
        <v>667</v>
      </c>
      <c r="J279" t="s">
        <v>683</v>
      </c>
      <c r="K279" t="s">
        <v>645</v>
      </c>
      <c r="L279" t="s">
        <v>684</v>
      </c>
      <c r="M279" t="s">
        <v>664</v>
      </c>
    </row>
    <row r="280" spans="1:13" hidden="1" x14ac:dyDescent="0.2">
      <c r="A280" s="10" t="s">
        <v>558</v>
      </c>
      <c r="B280" t="s">
        <v>708</v>
      </c>
      <c r="C280" t="s">
        <v>658</v>
      </c>
      <c r="D280" t="s">
        <v>659</v>
      </c>
      <c r="E280" s="10" t="b">
        <f>IF(ISERROR(VLOOKUP( LEFT(B280, LEN(B280) - IF(ISNUMBER(RIGHT(B280, 1) * 1), 1, 0)),metadata_testudines!B$1:B$60,1,FALSE)),FALSE,TRUE)</f>
        <v>0</v>
      </c>
      <c r="F280" t="s">
        <v>660</v>
      </c>
      <c r="G280" t="s">
        <v>679</v>
      </c>
      <c r="H280">
        <v>0.5</v>
      </c>
      <c r="I280" t="s">
        <v>662</v>
      </c>
      <c r="J280" t="s">
        <v>680</v>
      </c>
      <c r="K280" t="s">
        <v>647</v>
      </c>
      <c r="L280" t="s">
        <v>664</v>
      </c>
      <c r="M280" t="s">
        <v>664</v>
      </c>
    </row>
    <row r="281" spans="1:13" hidden="1" x14ac:dyDescent="0.2">
      <c r="A281" s="10" t="s">
        <v>558</v>
      </c>
      <c r="B281" t="s">
        <v>708</v>
      </c>
      <c r="C281" t="s">
        <v>658</v>
      </c>
      <c r="D281" t="s">
        <v>659</v>
      </c>
      <c r="E281" s="10" t="b">
        <f>IF(ISERROR(VLOOKUP( LEFT(B281, LEN(B281) - IF(ISNUMBER(RIGHT(B281, 1) * 1), 1, 0)),metadata_testudines!B$1:B$60,1,FALSE)),FALSE,TRUE)</f>
        <v>0</v>
      </c>
      <c r="F281" t="s">
        <v>681</v>
      </c>
      <c r="G281" t="s">
        <v>685</v>
      </c>
      <c r="H281">
        <v>0.98</v>
      </c>
      <c r="I281" t="s">
        <v>667</v>
      </c>
      <c r="J281" t="s">
        <v>683</v>
      </c>
      <c r="K281" t="s">
        <v>645</v>
      </c>
      <c r="L281" t="s">
        <v>684</v>
      </c>
      <c r="M281" t="s">
        <v>664</v>
      </c>
    </row>
    <row r="282" spans="1:13" hidden="1" x14ac:dyDescent="0.2">
      <c r="A282" s="10" t="s">
        <v>558</v>
      </c>
      <c r="B282" t="s">
        <v>708</v>
      </c>
      <c r="C282" t="s">
        <v>658</v>
      </c>
      <c r="D282" t="s">
        <v>659</v>
      </c>
      <c r="E282" s="10" t="b">
        <f>IF(ISERROR(VLOOKUP( LEFT(B282, LEN(B282) - IF(ISNUMBER(RIGHT(B282, 1) * 1), 1, 0)),metadata_testudines!B$1:B$60,1,FALSE)),FALSE,TRUE)</f>
        <v>0</v>
      </c>
      <c r="F282" t="s">
        <v>681</v>
      </c>
      <c r="G282" t="s">
        <v>685</v>
      </c>
      <c r="H282">
        <v>0.97</v>
      </c>
      <c r="I282" t="s">
        <v>667</v>
      </c>
      <c r="J282" t="s">
        <v>683</v>
      </c>
      <c r="K282" t="s">
        <v>645</v>
      </c>
      <c r="L282" t="s">
        <v>646</v>
      </c>
      <c r="M282" t="s">
        <v>664</v>
      </c>
    </row>
    <row r="283" spans="1:13" hidden="1" x14ac:dyDescent="0.2">
      <c r="A283" s="10" t="s">
        <v>558</v>
      </c>
      <c r="B283" t="s">
        <v>709</v>
      </c>
      <c r="C283" t="s">
        <v>658</v>
      </c>
      <c r="D283" t="s">
        <v>659</v>
      </c>
      <c r="E283" s="10" t="b">
        <f>IF(ISERROR(VLOOKUP( LEFT(B283, LEN(B283) - IF(ISNUMBER(RIGHT(B283, 1) * 1), 1, 0)),metadata_testudines!B$1:B$60,1,FALSE)),FALSE,TRUE)</f>
        <v>0</v>
      </c>
      <c r="F283" t="s">
        <v>681</v>
      </c>
      <c r="G283" t="s">
        <v>685</v>
      </c>
      <c r="H283">
        <v>0.98</v>
      </c>
      <c r="I283" t="s">
        <v>667</v>
      </c>
      <c r="J283" t="s">
        <v>683</v>
      </c>
      <c r="K283" t="s">
        <v>645</v>
      </c>
      <c r="L283" t="s">
        <v>684</v>
      </c>
      <c r="M283" t="s">
        <v>664</v>
      </c>
    </row>
    <row r="284" spans="1:13" hidden="1" x14ac:dyDescent="0.2">
      <c r="A284" s="10" t="s">
        <v>558</v>
      </c>
      <c r="B284" t="s">
        <v>709</v>
      </c>
      <c r="C284" t="s">
        <v>658</v>
      </c>
      <c r="D284" t="s">
        <v>659</v>
      </c>
      <c r="E284" s="10" t="b">
        <f>IF(ISERROR(VLOOKUP( LEFT(B284, LEN(B284) - IF(ISNUMBER(RIGHT(B284, 1) * 1), 1, 0)),metadata_testudines!B$1:B$60,1,FALSE)),FALSE,TRUE)</f>
        <v>0</v>
      </c>
      <c r="F284" t="s">
        <v>681</v>
      </c>
      <c r="G284" t="s">
        <v>685</v>
      </c>
      <c r="H284">
        <v>0.98</v>
      </c>
      <c r="I284" t="s">
        <v>667</v>
      </c>
      <c r="J284" t="s">
        <v>683</v>
      </c>
      <c r="K284" t="s">
        <v>645</v>
      </c>
      <c r="L284" t="s">
        <v>684</v>
      </c>
      <c r="M284" t="s">
        <v>664</v>
      </c>
    </row>
    <row r="285" spans="1:13" hidden="1" x14ac:dyDescent="0.2">
      <c r="A285" s="10" t="s">
        <v>558</v>
      </c>
      <c r="B285" t="s">
        <v>709</v>
      </c>
      <c r="C285" t="s">
        <v>658</v>
      </c>
      <c r="D285" t="s">
        <v>659</v>
      </c>
      <c r="E285" s="10" t="b">
        <f>IF(ISERROR(VLOOKUP( LEFT(B285, LEN(B285) - IF(ISNUMBER(RIGHT(B285, 1) * 1), 1, 0)),metadata_testudines!B$1:B$60,1,FALSE)),FALSE,TRUE)</f>
        <v>0</v>
      </c>
      <c r="F285" t="s">
        <v>681</v>
      </c>
      <c r="G285" t="s">
        <v>682</v>
      </c>
      <c r="H285">
        <v>0.98</v>
      </c>
      <c r="I285" t="s">
        <v>667</v>
      </c>
      <c r="J285" t="s">
        <v>683</v>
      </c>
      <c r="K285" t="s">
        <v>645</v>
      </c>
      <c r="L285" t="s">
        <v>684</v>
      </c>
      <c r="M285" t="s">
        <v>664</v>
      </c>
    </row>
    <row r="286" spans="1:13" hidden="1" x14ac:dyDescent="0.2">
      <c r="A286" s="10" t="s">
        <v>558</v>
      </c>
      <c r="B286" t="s">
        <v>709</v>
      </c>
      <c r="C286" t="s">
        <v>658</v>
      </c>
      <c r="D286" t="s">
        <v>659</v>
      </c>
      <c r="E286" s="10" t="b">
        <f>IF(ISERROR(VLOOKUP( LEFT(B286, LEN(B286) - IF(ISNUMBER(RIGHT(B286, 1) * 1), 1, 0)),metadata_testudines!B$1:B$60,1,FALSE)),FALSE,TRUE)</f>
        <v>0</v>
      </c>
      <c r="F286" t="s">
        <v>681</v>
      </c>
      <c r="G286" t="s">
        <v>682</v>
      </c>
      <c r="H286">
        <v>0.98</v>
      </c>
      <c r="I286" t="s">
        <v>667</v>
      </c>
      <c r="J286" t="s">
        <v>683</v>
      </c>
      <c r="K286" t="s">
        <v>645</v>
      </c>
      <c r="L286" t="s">
        <v>684</v>
      </c>
      <c r="M286" t="s">
        <v>664</v>
      </c>
    </row>
    <row r="287" spans="1:13" hidden="1" x14ac:dyDescent="0.2">
      <c r="A287" s="10" t="s">
        <v>558</v>
      </c>
      <c r="B287" t="s">
        <v>60</v>
      </c>
      <c r="C287" t="s">
        <v>658</v>
      </c>
      <c r="D287" t="s">
        <v>659</v>
      </c>
      <c r="E287" s="10" t="b">
        <f>IF(ISERROR(VLOOKUP( LEFT(B287, LEN(B287) - IF(ISNUMBER(RIGHT(B287, 1) * 1), 1, 0)),metadata_testudines!B$1:B$60,1,FALSE)),FALSE,TRUE)</f>
        <v>1</v>
      </c>
      <c r="F287" t="s">
        <v>660</v>
      </c>
      <c r="G287" t="s">
        <v>665</v>
      </c>
      <c r="H287">
        <v>1.85</v>
      </c>
      <c r="I287" t="s">
        <v>662</v>
      </c>
      <c r="J287" t="s">
        <v>663</v>
      </c>
      <c r="K287" t="s">
        <v>647</v>
      </c>
      <c r="L287" t="s">
        <v>664</v>
      </c>
      <c r="M287" t="s">
        <v>664</v>
      </c>
    </row>
    <row r="288" spans="1:13" hidden="1" x14ac:dyDescent="0.2">
      <c r="A288" s="10" t="s">
        <v>558</v>
      </c>
      <c r="B288" t="s">
        <v>60</v>
      </c>
      <c r="C288" t="s">
        <v>658</v>
      </c>
      <c r="D288" t="s">
        <v>659</v>
      </c>
      <c r="E288" s="10" t="b">
        <f>IF(ISERROR(VLOOKUP( LEFT(B288, LEN(B288) - IF(ISNUMBER(RIGHT(B288, 1) * 1), 1, 0)),metadata_testudines!B$1:B$60,1,FALSE)),FALSE,TRUE)</f>
        <v>1</v>
      </c>
      <c r="F288" t="s">
        <v>660</v>
      </c>
      <c r="G288" t="s">
        <v>661</v>
      </c>
      <c r="H288">
        <v>1</v>
      </c>
      <c r="I288" t="s">
        <v>662</v>
      </c>
      <c r="J288" t="s">
        <v>663</v>
      </c>
      <c r="K288" t="s">
        <v>647</v>
      </c>
      <c r="L288" t="s">
        <v>664</v>
      </c>
      <c r="M288" t="s">
        <v>664</v>
      </c>
    </row>
    <row r="289" spans="1:13" hidden="1" x14ac:dyDescent="0.2">
      <c r="A289" s="10" t="s">
        <v>558</v>
      </c>
      <c r="B289" t="s">
        <v>60</v>
      </c>
      <c r="C289" t="s">
        <v>658</v>
      </c>
      <c r="D289" t="s">
        <v>659</v>
      </c>
      <c r="E289" s="10" t="b">
        <f>IF(ISERROR(VLOOKUP( LEFT(B289, LEN(B289) - IF(ISNUMBER(RIGHT(B289, 1) * 1), 1, 0)),metadata_testudines!B$1:B$60,1,FALSE)),FALSE,TRUE)</f>
        <v>1</v>
      </c>
      <c r="F289" t="s">
        <v>660</v>
      </c>
      <c r="G289" t="s">
        <v>666</v>
      </c>
      <c r="H289">
        <v>24.3</v>
      </c>
      <c r="I289" t="s">
        <v>667</v>
      </c>
      <c r="J289" t="s">
        <v>668</v>
      </c>
      <c r="K289" t="s">
        <v>647</v>
      </c>
      <c r="L289" t="s">
        <v>664</v>
      </c>
      <c r="M289" t="s">
        <v>664</v>
      </c>
    </row>
    <row r="290" spans="1:13" hidden="1" x14ac:dyDescent="0.2">
      <c r="A290" s="10" t="s">
        <v>558</v>
      </c>
      <c r="B290" t="s">
        <v>60</v>
      </c>
      <c r="C290" t="s">
        <v>658</v>
      </c>
      <c r="D290" t="s">
        <v>659</v>
      </c>
      <c r="E290" s="10" t="b">
        <f>IF(ISERROR(VLOOKUP( LEFT(B290, LEN(B290) - IF(ISNUMBER(RIGHT(B290, 1) * 1), 1, 0)),metadata_testudines!B$1:B$60,1,FALSE)),FALSE,TRUE)</f>
        <v>1</v>
      </c>
      <c r="F290" t="s">
        <v>671</v>
      </c>
      <c r="G290" t="s">
        <v>672</v>
      </c>
      <c r="H290">
        <v>24.3</v>
      </c>
      <c r="I290" t="s">
        <v>667</v>
      </c>
      <c r="J290" t="s">
        <v>668</v>
      </c>
      <c r="K290" t="s">
        <v>673</v>
      </c>
      <c r="L290" t="s">
        <v>664</v>
      </c>
      <c r="M290" t="s">
        <v>678</v>
      </c>
    </row>
    <row r="291" spans="1:13" hidden="1" x14ac:dyDescent="0.2">
      <c r="A291" s="10" t="s">
        <v>558</v>
      </c>
      <c r="B291" t="s">
        <v>60</v>
      </c>
      <c r="C291" t="s">
        <v>658</v>
      </c>
      <c r="D291" t="s">
        <v>659</v>
      </c>
      <c r="E291" s="10" t="b">
        <f>IF(ISERROR(VLOOKUP( LEFT(B291, LEN(B291) - IF(ISNUMBER(RIGHT(B291, 1) * 1), 1, 0)),metadata_testudines!B$1:B$60,1,FALSE)),FALSE,TRUE)</f>
        <v>1</v>
      </c>
      <c r="F291" t="s">
        <v>660</v>
      </c>
      <c r="G291" t="s">
        <v>675</v>
      </c>
      <c r="H291">
        <v>3650</v>
      </c>
      <c r="I291" t="s">
        <v>662</v>
      </c>
      <c r="J291" t="s">
        <v>670</v>
      </c>
      <c r="K291" t="s">
        <v>647</v>
      </c>
      <c r="L291" t="s">
        <v>646</v>
      </c>
      <c r="M291" t="s">
        <v>664</v>
      </c>
    </row>
    <row r="292" spans="1:13" hidden="1" x14ac:dyDescent="0.2">
      <c r="A292" s="10" t="s">
        <v>558</v>
      </c>
      <c r="B292" t="s">
        <v>60</v>
      </c>
      <c r="C292" t="s">
        <v>658</v>
      </c>
      <c r="D292" t="s">
        <v>659</v>
      </c>
      <c r="E292" s="10" t="b">
        <f>IF(ISERROR(VLOOKUP( LEFT(B292, LEN(B292) - IF(ISNUMBER(RIGHT(B292, 1) * 1), 1, 0)),metadata_testudines!B$1:B$60,1,FALSE)),FALSE,TRUE)</f>
        <v>1</v>
      </c>
      <c r="F292" t="s">
        <v>660</v>
      </c>
      <c r="G292" t="s">
        <v>661</v>
      </c>
      <c r="H292">
        <v>10</v>
      </c>
      <c r="I292" t="s">
        <v>662</v>
      </c>
      <c r="J292" t="s">
        <v>663</v>
      </c>
      <c r="K292" t="s">
        <v>647</v>
      </c>
      <c r="L292" t="s">
        <v>664</v>
      </c>
      <c r="M292" t="s">
        <v>664</v>
      </c>
    </row>
    <row r="293" spans="1:13" hidden="1" x14ac:dyDescent="0.2">
      <c r="A293" s="10" t="s">
        <v>558</v>
      </c>
      <c r="B293" t="s">
        <v>60</v>
      </c>
      <c r="C293" t="s">
        <v>658</v>
      </c>
      <c r="D293" t="s">
        <v>659</v>
      </c>
      <c r="E293" s="10" t="b">
        <f>IF(ISERROR(VLOOKUP( LEFT(B293, LEN(B293) - IF(ISNUMBER(RIGHT(B293, 1) * 1), 1, 0)),metadata_testudines!B$1:B$60,1,FALSE)),FALSE,TRUE)</f>
        <v>1</v>
      </c>
      <c r="F293" t="s">
        <v>660</v>
      </c>
      <c r="G293" t="s">
        <v>666</v>
      </c>
      <c r="H293">
        <v>24.3</v>
      </c>
      <c r="I293" t="s">
        <v>667</v>
      </c>
      <c r="J293" t="s">
        <v>668</v>
      </c>
      <c r="K293" t="s">
        <v>647</v>
      </c>
      <c r="L293" t="s">
        <v>664</v>
      </c>
      <c r="M293" t="s">
        <v>664</v>
      </c>
    </row>
    <row r="294" spans="1:13" hidden="1" x14ac:dyDescent="0.2">
      <c r="A294" s="10" t="s">
        <v>558</v>
      </c>
      <c r="B294" t="s">
        <v>60</v>
      </c>
      <c r="C294" t="s">
        <v>658</v>
      </c>
      <c r="D294" t="s">
        <v>659</v>
      </c>
      <c r="E294" s="10" t="b">
        <f>IF(ISERROR(VLOOKUP( LEFT(B294, LEN(B294) - IF(ISNUMBER(RIGHT(B294, 1) * 1), 1, 0)),metadata_testudines!B$1:B$60,1,FALSE)),FALSE,TRUE)</f>
        <v>1</v>
      </c>
      <c r="F294" t="s">
        <v>660</v>
      </c>
      <c r="G294" t="s">
        <v>661</v>
      </c>
      <c r="H294">
        <v>5.87</v>
      </c>
      <c r="I294" t="s">
        <v>662</v>
      </c>
      <c r="J294" t="s">
        <v>663</v>
      </c>
      <c r="K294" t="s">
        <v>647</v>
      </c>
      <c r="L294" t="s">
        <v>664</v>
      </c>
      <c r="M294" t="s">
        <v>664</v>
      </c>
    </row>
    <row r="295" spans="1:13" hidden="1" x14ac:dyDescent="0.2">
      <c r="A295" s="10" t="s">
        <v>558</v>
      </c>
      <c r="B295" t="s">
        <v>60</v>
      </c>
      <c r="C295" t="s">
        <v>658</v>
      </c>
      <c r="D295" t="s">
        <v>659</v>
      </c>
      <c r="E295" s="10" t="b">
        <f>IF(ISERROR(VLOOKUP( LEFT(B295, LEN(B295) - IF(ISNUMBER(RIGHT(B295, 1) * 1), 1, 0)),metadata_testudines!B$1:B$60,1,FALSE)),FALSE,TRUE)</f>
        <v>1</v>
      </c>
      <c r="F295" t="s">
        <v>660</v>
      </c>
      <c r="G295" t="s">
        <v>665</v>
      </c>
      <c r="H295">
        <v>2.5693707350000001</v>
      </c>
      <c r="I295" t="s">
        <v>662</v>
      </c>
      <c r="J295" t="s">
        <v>663</v>
      </c>
      <c r="K295" t="s">
        <v>647</v>
      </c>
      <c r="L295" t="s">
        <v>664</v>
      </c>
      <c r="M295" t="s">
        <v>664</v>
      </c>
    </row>
    <row r="296" spans="1:13" hidden="1" x14ac:dyDescent="0.2">
      <c r="A296" s="10" t="s">
        <v>558</v>
      </c>
      <c r="B296" t="s">
        <v>60</v>
      </c>
      <c r="C296" t="s">
        <v>658</v>
      </c>
      <c r="D296" t="s">
        <v>659</v>
      </c>
      <c r="E296" s="10" t="b">
        <f>IF(ISERROR(VLOOKUP( LEFT(B296, LEN(B296) - IF(ISNUMBER(RIGHT(B296, 1) * 1), 1, 0)),metadata_testudines!B$1:B$60,1,FALSE)),FALSE,TRUE)</f>
        <v>1</v>
      </c>
      <c r="F296" t="s">
        <v>660</v>
      </c>
      <c r="G296" t="s">
        <v>661</v>
      </c>
      <c r="H296">
        <v>4.710714286</v>
      </c>
      <c r="I296" t="s">
        <v>662</v>
      </c>
      <c r="J296" t="s">
        <v>663</v>
      </c>
      <c r="K296" t="s">
        <v>647</v>
      </c>
      <c r="L296" t="s">
        <v>664</v>
      </c>
      <c r="M296" t="s">
        <v>664</v>
      </c>
    </row>
    <row r="297" spans="1:13" hidden="1" x14ac:dyDescent="0.2">
      <c r="A297" s="10" t="s">
        <v>558</v>
      </c>
      <c r="B297" t="s">
        <v>198</v>
      </c>
      <c r="C297" t="s">
        <v>658</v>
      </c>
      <c r="D297" t="s">
        <v>659</v>
      </c>
      <c r="E297" s="10" t="b">
        <f>IF(ISERROR(VLOOKUP( LEFT(B297, LEN(B297) - IF(ISNUMBER(RIGHT(B297, 1) * 1), 1, 0)),metadata_testudines!B$1:B$60,1,FALSE)),FALSE,TRUE)</f>
        <v>0</v>
      </c>
      <c r="F297" t="s">
        <v>660</v>
      </c>
      <c r="G297" t="s">
        <v>666</v>
      </c>
      <c r="H297">
        <v>24.3</v>
      </c>
      <c r="I297" t="s">
        <v>667</v>
      </c>
      <c r="J297" t="s">
        <v>668</v>
      </c>
      <c r="K297" t="s">
        <v>647</v>
      </c>
      <c r="L297" t="s">
        <v>664</v>
      </c>
      <c r="M297" t="s">
        <v>664</v>
      </c>
    </row>
    <row r="298" spans="1:13" hidden="1" x14ac:dyDescent="0.2">
      <c r="A298" s="10" t="s">
        <v>558</v>
      </c>
      <c r="B298" t="s">
        <v>198</v>
      </c>
      <c r="C298" t="s">
        <v>658</v>
      </c>
      <c r="D298" t="s">
        <v>659</v>
      </c>
      <c r="E298" s="10" t="b">
        <f>IF(ISERROR(VLOOKUP( LEFT(B298, LEN(B298) - IF(ISNUMBER(RIGHT(B298, 1) * 1), 1, 0)),metadata_testudines!B$1:B$60,1,FALSE)),FALSE,TRUE)</f>
        <v>0</v>
      </c>
      <c r="F298" t="s">
        <v>660</v>
      </c>
      <c r="G298" t="s">
        <v>661</v>
      </c>
      <c r="H298">
        <v>10</v>
      </c>
      <c r="I298" t="s">
        <v>662</v>
      </c>
      <c r="J298" t="s">
        <v>663</v>
      </c>
      <c r="K298" t="s">
        <v>647</v>
      </c>
      <c r="L298" t="s">
        <v>664</v>
      </c>
      <c r="M298" t="s">
        <v>664</v>
      </c>
    </row>
    <row r="299" spans="1:13" hidden="1" x14ac:dyDescent="0.2">
      <c r="A299" s="10" t="s">
        <v>558</v>
      </c>
      <c r="B299" t="s">
        <v>198</v>
      </c>
      <c r="C299" t="s">
        <v>658</v>
      </c>
      <c r="D299" t="s">
        <v>659</v>
      </c>
      <c r="E299" s="10" t="b">
        <f>IF(ISERROR(VLOOKUP( LEFT(B299, LEN(B299) - IF(ISNUMBER(RIGHT(B299, 1) * 1), 1, 0)),metadata_testudines!B$1:B$60,1,FALSE)),FALSE,TRUE)</f>
        <v>0</v>
      </c>
      <c r="F299" t="s">
        <v>660</v>
      </c>
      <c r="G299" t="s">
        <v>665</v>
      </c>
      <c r="H299">
        <v>1.85</v>
      </c>
      <c r="I299" t="s">
        <v>662</v>
      </c>
      <c r="J299" t="s">
        <v>663</v>
      </c>
      <c r="K299" t="s">
        <v>647</v>
      </c>
      <c r="L299" t="s">
        <v>664</v>
      </c>
      <c r="M299" t="s">
        <v>664</v>
      </c>
    </row>
    <row r="300" spans="1:13" hidden="1" x14ac:dyDescent="0.2">
      <c r="A300" s="10" t="s">
        <v>558</v>
      </c>
      <c r="B300" t="s">
        <v>198</v>
      </c>
      <c r="C300" t="s">
        <v>658</v>
      </c>
      <c r="D300" t="s">
        <v>659</v>
      </c>
      <c r="E300" s="10" t="b">
        <f>IF(ISERROR(VLOOKUP( LEFT(B300, LEN(B300) - IF(ISNUMBER(RIGHT(B300, 1) * 1), 1, 0)),metadata_testudines!B$1:B$60,1,FALSE)),FALSE,TRUE)</f>
        <v>0</v>
      </c>
      <c r="F300" t="s">
        <v>660</v>
      </c>
      <c r="G300" t="s">
        <v>661</v>
      </c>
      <c r="H300">
        <v>5.87</v>
      </c>
      <c r="I300" t="s">
        <v>662</v>
      </c>
      <c r="J300" t="s">
        <v>663</v>
      </c>
      <c r="K300" t="s">
        <v>647</v>
      </c>
      <c r="L300" t="s">
        <v>664</v>
      </c>
      <c r="M300" t="s">
        <v>664</v>
      </c>
    </row>
    <row r="301" spans="1:13" hidden="1" x14ac:dyDescent="0.2">
      <c r="A301" s="10" t="s">
        <v>558</v>
      </c>
      <c r="B301" t="s">
        <v>198</v>
      </c>
      <c r="C301" t="s">
        <v>658</v>
      </c>
      <c r="D301" t="s">
        <v>659</v>
      </c>
      <c r="E301" s="10" t="b">
        <f>IF(ISERROR(VLOOKUP( LEFT(B301, LEN(B301) - IF(ISNUMBER(RIGHT(B301, 1) * 1), 1, 0)),metadata_testudines!B$1:B$60,1,FALSE)),FALSE,TRUE)</f>
        <v>0</v>
      </c>
      <c r="F301" t="s">
        <v>660</v>
      </c>
      <c r="G301" t="s">
        <v>661</v>
      </c>
      <c r="H301">
        <v>4.710714286</v>
      </c>
      <c r="I301" t="s">
        <v>662</v>
      </c>
      <c r="J301" t="s">
        <v>663</v>
      </c>
      <c r="K301" t="s">
        <v>647</v>
      </c>
      <c r="L301" t="s">
        <v>664</v>
      </c>
      <c r="M301" t="s">
        <v>664</v>
      </c>
    </row>
    <row r="302" spans="1:13" hidden="1" x14ac:dyDescent="0.2">
      <c r="A302" s="10" t="s">
        <v>558</v>
      </c>
      <c r="B302" t="s">
        <v>198</v>
      </c>
      <c r="C302" t="s">
        <v>658</v>
      </c>
      <c r="D302" t="s">
        <v>659</v>
      </c>
      <c r="E302" s="10" t="b">
        <f>IF(ISERROR(VLOOKUP( LEFT(B302, LEN(B302) - IF(ISNUMBER(RIGHT(B302, 1) * 1), 1, 0)),metadata_testudines!B$1:B$60,1,FALSE)),FALSE,TRUE)</f>
        <v>0</v>
      </c>
      <c r="F302" t="s">
        <v>660</v>
      </c>
      <c r="G302" t="s">
        <v>666</v>
      </c>
      <c r="H302">
        <v>24.3</v>
      </c>
      <c r="I302" t="s">
        <v>667</v>
      </c>
      <c r="J302" t="s">
        <v>668</v>
      </c>
      <c r="K302" t="s">
        <v>647</v>
      </c>
      <c r="L302" t="s">
        <v>664</v>
      </c>
      <c r="M302" t="s">
        <v>664</v>
      </c>
    </row>
    <row r="303" spans="1:13" hidden="1" x14ac:dyDescent="0.2">
      <c r="A303" s="10" t="s">
        <v>558</v>
      </c>
      <c r="B303" t="s">
        <v>198</v>
      </c>
      <c r="C303" t="s">
        <v>658</v>
      </c>
      <c r="D303" t="s">
        <v>659</v>
      </c>
      <c r="E303" s="10" t="b">
        <f>IF(ISERROR(VLOOKUP( LEFT(B303, LEN(B303) - IF(ISNUMBER(RIGHT(B303, 1) * 1), 1, 0)),metadata_testudines!B$1:B$60,1,FALSE)),FALSE,TRUE)</f>
        <v>0</v>
      </c>
      <c r="F303" t="s">
        <v>660</v>
      </c>
      <c r="G303" t="s">
        <v>675</v>
      </c>
      <c r="H303">
        <v>3650</v>
      </c>
      <c r="I303" t="s">
        <v>662</v>
      </c>
      <c r="J303" t="s">
        <v>670</v>
      </c>
      <c r="K303" t="s">
        <v>647</v>
      </c>
      <c r="L303" t="s">
        <v>646</v>
      </c>
      <c r="M303" t="s">
        <v>664</v>
      </c>
    </row>
    <row r="304" spans="1:13" hidden="1" x14ac:dyDescent="0.2">
      <c r="A304" s="10" t="s">
        <v>558</v>
      </c>
      <c r="B304" t="s">
        <v>198</v>
      </c>
      <c r="C304" t="s">
        <v>658</v>
      </c>
      <c r="D304" t="s">
        <v>659</v>
      </c>
      <c r="E304" s="10" t="b">
        <f>IF(ISERROR(VLOOKUP( LEFT(B304, LEN(B304) - IF(ISNUMBER(RIGHT(B304, 1) * 1), 1, 0)),metadata_testudines!B$1:B$60,1,FALSE)),FALSE,TRUE)</f>
        <v>0</v>
      </c>
      <c r="F304" t="s">
        <v>660</v>
      </c>
      <c r="G304" t="s">
        <v>665</v>
      </c>
      <c r="H304">
        <v>2.5693707350000001</v>
      </c>
      <c r="I304" t="s">
        <v>662</v>
      </c>
      <c r="J304" t="s">
        <v>663</v>
      </c>
      <c r="K304" t="s">
        <v>647</v>
      </c>
      <c r="L304" t="s">
        <v>664</v>
      </c>
      <c r="M304" t="s">
        <v>664</v>
      </c>
    </row>
    <row r="305" spans="1:13" hidden="1" x14ac:dyDescent="0.2">
      <c r="A305" s="10" t="s">
        <v>558</v>
      </c>
      <c r="B305" t="s">
        <v>198</v>
      </c>
      <c r="C305" t="s">
        <v>658</v>
      </c>
      <c r="D305" t="s">
        <v>659</v>
      </c>
      <c r="E305" s="10" t="b">
        <f>IF(ISERROR(VLOOKUP( LEFT(B305, LEN(B305) - IF(ISNUMBER(RIGHT(B305, 1) * 1), 1, 0)),metadata_testudines!B$1:B$60,1,FALSE)),FALSE,TRUE)</f>
        <v>0</v>
      </c>
      <c r="F305" t="s">
        <v>660</v>
      </c>
      <c r="G305" t="s">
        <v>661</v>
      </c>
      <c r="H305">
        <v>1</v>
      </c>
      <c r="I305" t="s">
        <v>662</v>
      </c>
      <c r="J305" t="s">
        <v>663</v>
      </c>
      <c r="K305" t="s">
        <v>647</v>
      </c>
      <c r="L305" t="s">
        <v>664</v>
      </c>
      <c r="M305" t="s">
        <v>664</v>
      </c>
    </row>
    <row r="306" spans="1:13" hidden="1" x14ac:dyDescent="0.2">
      <c r="A306" s="10" t="s">
        <v>558</v>
      </c>
      <c r="B306" t="s">
        <v>199</v>
      </c>
      <c r="C306" t="s">
        <v>658</v>
      </c>
      <c r="D306" t="s">
        <v>659</v>
      </c>
      <c r="E306" s="10" t="b">
        <f>IF(ISERROR(VLOOKUP( LEFT(B306, LEN(B306) - IF(ISNUMBER(RIGHT(B306, 1) * 1), 1, 0)),metadata_testudines!B$1:B$60,1,FALSE)),FALSE,TRUE)</f>
        <v>0</v>
      </c>
      <c r="F306" t="s">
        <v>660</v>
      </c>
      <c r="G306" t="s">
        <v>661</v>
      </c>
      <c r="H306">
        <v>16.7167019</v>
      </c>
      <c r="I306" t="s">
        <v>662</v>
      </c>
      <c r="J306" t="s">
        <v>663</v>
      </c>
      <c r="K306" t="s">
        <v>647</v>
      </c>
      <c r="L306" t="s">
        <v>664</v>
      </c>
      <c r="M306" t="s">
        <v>664</v>
      </c>
    </row>
    <row r="307" spans="1:13" hidden="1" x14ac:dyDescent="0.2">
      <c r="A307" s="10" t="s">
        <v>558</v>
      </c>
      <c r="B307" t="s">
        <v>199</v>
      </c>
      <c r="C307" t="s">
        <v>658</v>
      </c>
      <c r="D307" t="s">
        <v>659</v>
      </c>
      <c r="E307" s="10" t="b">
        <f>IF(ISERROR(VLOOKUP( LEFT(B307, LEN(B307) - IF(ISNUMBER(RIGHT(B307, 1) * 1), 1, 0)),metadata_testudines!B$1:B$60,1,FALSE)),FALSE,TRUE)</f>
        <v>0</v>
      </c>
      <c r="F307" t="s">
        <v>660</v>
      </c>
      <c r="G307" t="s">
        <v>666</v>
      </c>
      <c r="H307">
        <v>54.3</v>
      </c>
      <c r="I307" t="s">
        <v>667</v>
      </c>
      <c r="J307" t="s">
        <v>668</v>
      </c>
      <c r="K307" t="s">
        <v>647</v>
      </c>
      <c r="L307" t="s">
        <v>664</v>
      </c>
      <c r="M307" t="s">
        <v>664</v>
      </c>
    </row>
    <row r="308" spans="1:13" hidden="1" x14ac:dyDescent="0.2">
      <c r="A308" s="10" t="s">
        <v>558</v>
      </c>
      <c r="B308" t="s">
        <v>199</v>
      </c>
      <c r="C308" t="s">
        <v>658</v>
      </c>
      <c r="D308" t="s">
        <v>659</v>
      </c>
      <c r="E308" s="10" t="b">
        <f>IF(ISERROR(VLOOKUP( LEFT(B308, LEN(B308) - IF(ISNUMBER(RIGHT(B308, 1) * 1), 1, 0)),metadata_testudines!B$1:B$60,1,FALSE)),FALSE,TRUE)</f>
        <v>0</v>
      </c>
      <c r="F308" t="s">
        <v>660</v>
      </c>
      <c r="G308" t="s">
        <v>661</v>
      </c>
      <c r="H308">
        <v>15</v>
      </c>
      <c r="I308" t="s">
        <v>662</v>
      </c>
      <c r="J308" t="s">
        <v>663</v>
      </c>
      <c r="K308" t="s">
        <v>647</v>
      </c>
      <c r="L308" t="s">
        <v>664</v>
      </c>
      <c r="M308" t="s">
        <v>664</v>
      </c>
    </row>
    <row r="309" spans="1:13" hidden="1" x14ac:dyDescent="0.2">
      <c r="A309" s="10" t="s">
        <v>558</v>
      </c>
      <c r="B309" t="s">
        <v>199</v>
      </c>
      <c r="C309" t="s">
        <v>658</v>
      </c>
      <c r="D309" t="s">
        <v>659</v>
      </c>
      <c r="E309" s="10" t="b">
        <f>IF(ISERROR(VLOOKUP( LEFT(B309, LEN(B309) - IF(ISNUMBER(RIGHT(B309, 1) * 1), 1, 0)),metadata_testudines!B$1:B$60,1,FALSE)),FALSE,TRUE)</f>
        <v>0</v>
      </c>
      <c r="F309" t="s">
        <v>660</v>
      </c>
      <c r="G309" t="s">
        <v>665</v>
      </c>
      <c r="H309">
        <v>4</v>
      </c>
      <c r="I309" t="s">
        <v>662</v>
      </c>
      <c r="J309" t="s">
        <v>663</v>
      </c>
      <c r="K309" t="s">
        <v>647</v>
      </c>
      <c r="L309" t="s">
        <v>664</v>
      </c>
      <c r="M309" t="s">
        <v>664</v>
      </c>
    </row>
    <row r="310" spans="1:13" hidden="1" x14ac:dyDescent="0.2">
      <c r="A310" s="10" t="s">
        <v>558</v>
      </c>
      <c r="B310" t="s">
        <v>199</v>
      </c>
      <c r="C310" t="s">
        <v>658</v>
      </c>
      <c r="D310" t="s">
        <v>659</v>
      </c>
      <c r="E310" s="10" t="b">
        <f>IF(ISERROR(VLOOKUP( LEFT(B310, LEN(B310) - IF(ISNUMBER(RIGHT(B310, 1) * 1), 1, 0)),metadata_testudines!B$1:B$60,1,FALSE)),FALSE,TRUE)</f>
        <v>0</v>
      </c>
      <c r="F310" t="s">
        <v>660</v>
      </c>
      <c r="G310" t="s">
        <v>661</v>
      </c>
      <c r="H310">
        <v>30</v>
      </c>
      <c r="I310" t="s">
        <v>662</v>
      </c>
      <c r="J310" t="s">
        <v>663</v>
      </c>
      <c r="K310" t="s">
        <v>647</v>
      </c>
      <c r="L310" t="s">
        <v>664</v>
      </c>
      <c r="M310" t="s">
        <v>664</v>
      </c>
    </row>
    <row r="311" spans="1:13" hidden="1" x14ac:dyDescent="0.2">
      <c r="A311" s="10" t="s">
        <v>558</v>
      </c>
      <c r="B311" t="s">
        <v>199</v>
      </c>
      <c r="C311" t="s">
        <v>658</v>
      </c>
      <c r="D311" t="s">
        <v>659</v>
      </c>
      <c r="E311" s="10" t="b">
        <f>IF(ISERROR(VLOOKUP( LEFT(B311, LEN(B311) - IF(ISNUMBER(RIGHT(B311, 1) * 1), 1, 0)),metadata_testudines!B$1:B$60,1,FALSE)),FALSE,TRUE)</f>
        <v>0</v>
      </c>
      <c r="F311" t="s">
        <v>660</v>
      </c>
      <c r="G311" t="s">
        <v>665</v>
      </c>
      <c r="H311">
        <v>2.7500948529999998</v>
      </c>
      <c r="I311" t="s">
        <v>662</v>
      </c>
      <c r="J311" t="s">
        <v>663</v>
      </c>
      <c r="K311" t="s">
        <v>647</v>
      </c>
      <c r="L311" t="s">
        <v>664</v>
      </c>
      <c r="M311" t="s">
        <v>664</v>
      </c>
    </row>
    <row r="312" spans="1:13" hidden="1" x14ac:dyDescent="0.2">
      <c r="A312" s="10" t="s">
        <v>558</v>
      </c>
      <c r="B312" t="s">
        <v>199</v>
      </c>
      <c r="C312" t="s">
        <v>658</v>
      </c>
      <c r="D312" t="s">
        <v>659</v>
      </c>
      <c r="E312" s="10" t="b">
        <f>IF(ISERROR(VLOOKUP( LEFT(B312, LEN(B312) - IF(ISNUMBER(RIGHT(B312, 1) * 1), 1, 0)),metadata_testudines!B$1:B$60,1,FALSE)),FALSE,TRUE)</f>
        <v>0</v>
      </c>
      <c r="F312" t="s">
        <v>671</v>
      </c>
      <c r="G312" t="s">
        <v>672</v>
      </c>
      <c r="H312">
        <v>54.3</v>
      </c>
      <c r="I312" t="s">
        <v>667</v>
      </c>
      <c r="J312" t="s">
        <v>668</v>
      </c>
      <c r="K312" t="s">
        <v>673</v>
      </c>
      <c r="L312" t="s">
        <v>664</v>
      </c>
      <c r="M312" t="s">
        <v>678</v>
      </c>
    </row>
    <row r="313" spans="1:13" hidden="1" x14ac:dyDescent="0.2">
      <c r="A313" s="10" t="s">
        <v>558</v>
      </c>
      <c r="B313" t="s">
        <v>199</v>
      </c>
      <c r="C313" t="s">
        <v>658</v>
      </c>
      <c r="D313" t="s">
        <v>659</v>
      </c>
      <c r="E313" s="10" t="b">
        <f>IF(ISERROR(VLOOKUP( LEFT(B313, LEN(B313) - IF(ISNUMBER(RIGHT(B313, 1) * 1), 1, 0)),metadata_testudines!B$1:B$60,1,FALSE)),FALSE,TRUE)</f>
        <v>0</v>
      </c>
      <c r="F313" t="s">
        <v>660</v>
      </c>
      <c r="G313" t="s">
        <v>665</v>
      </c>
      <c r="H313">
        <v>2</v>
      </c>
      <c r="I313" t="s">
        <v>662</v>
      </c>
      <c r="J313" t="s">
        <v>663</v>
      </c>
      <c r="K313" t="s">
        <v>647</v>
      </c>
      <c r="L313" t="s">
        <v>664</v>
      </c>
      <c r="M313" t="s">
        <v>664</v>
      </c>
    </row>
    <row r="314" spans="1:13" hidden="1" x14ac:dyDescent="0.2">
      <c r="A314" s="10" t="s">
        <v>558</v>
      </c>
      <c r="B314" t="s">
        <v>199</v>
      </c>
      <c r="C314" t="s">
        <v>658</v>
      </c>
      <c r="D314" t="s">
        <v>659</v>
      </c>
      <c r="E314" s="10" t="b">
        <f>IF(ISERROR(VLOOKUP( LEFT(B314, LEN(B314) - IF(ISNUMBER(RIGHT(B314, 1) * 1), 1, 0)),metadata_testudines!B$1:B$60,1,FALSE)),FALSE,TRUE)</f>
        <v>0</v>
      </c>
      <c r="F314" t="s">
        <v>660</v>
      </c>
      <c r="G314" t="s">
        <v>661</v>
      </c>
      <c r="H314">
        <v>17</v>
      </c>
      <c r="I314" t="s">
        <v>662</v>
      </c>
      <c r="J314" t="s">
        <v>663</v>
      </c>
      <c r="K314" t="s">
        <v>647</v>
      </c>
      <c r="L314" t="s">
        <v>664</v>
      </c>
      <c r="M314" t="s">
        <v>664</v>
      </c>
    </row>
    <row r="315" spans="1:13" hidden="1" x14ac:dyDescent="0.2">
      <c r="A315" s="10" t="s">
        <v>558</v>
      </c>
      <c r="B315" t="s">
        <v>199</v>
      </c>
      <c r="C315" t="s">
        <v>658</v>
      </c>
      <c r="D315" t="s">
        <v>659</v>
      </c>
      <c r="E315" s="10" t="b">
        <f>IF(ISERROR(VLOOKUP( LEFT(B315, LEN(B315) - IF(ISNUMBER(RIGHT(B315, 1) * 1), 1, 0)),metadata_testudines!B$1:B$60,1,FALSE)),FALSE,TRUE)</f>
        <v>0</v>
      </c>
      <c r="F315" t="s">
        <v>660</v>
      </c>
      <c r="G315" t="s">
        <v>661</v>
      </c>
      <c r="H315">
        <v>19</v>
      </c>
      <c r="I315" t="s">
        <v>662</v>
      </c>
      <c r="J315" t="s">
        <v>663</v>
      </c>
      <c r="K315" t="s">
        <v>647</v>
      </c>
      <c r="L315" t="s">
        <v>664</v>
      </c>
      <c r="M315" t="s">
        <v>664</v>
      </c>
    </row>
    <row r="316" spans="1:13" hidden="1" x14ac:dyDescent="0.2">
      <c r="A316" s="10" t="s">
        <v>558</v>
      </c>
      <c r="B316" t="s">
        <v>199</v>
      </c>
      <c r="C316" t="s">
        <v>658</v>
      </c>
      <c r="D316" t="s">
        <v>659</v>
      </c>
      <c r="E316" s="10" t="b">
        <f>IF(ISERROR(VLOOKUP( LEFT(B316, LEN(B316) - IF(ISNUMBER(RIGHT(B316, 1) * 1), 1, 0)),metadata_testudines!B$1:B$60,1,FALSE)),FALSE,TRUE)</f>
        <v>0</v>
      </c>
      <c r="F316" t="s">
        <v>660</v>
      </c>
      <c r="G316" t="s">
        <v>661</v>
      </c>
      <c r="H316">
        <v>17</v>
      </c>
      <c r="I316" t="s">
        <v>662</v>
      </c>
      <c r="J316" t="s">
        <v>663</v>
      </c>
      <c r="K316" t="s">
        <v>647</v>
      </c>
      <c r="L316" t="s">
        <v>664</v>
      </c>
      <c r="M316" t="s">
        <v>664</v>
      </c>
    </row>
    <row r="317" spans="1:13" hidden="1" x14ac:dyDescent="0.2">
      <c r="A317" s="10" t="s">
        <v>558</v>
      </c>
      <c r="B317" t="s">
        <v>199</v>
      </c>
      <c r="C317" t="s">
        <v>658</v>
      </c>
      <c r="D317" t="s">
        <v>659</v>
      </c>
      <c r="E317" s="10" t="b">
        <f>IF(ISERROR(VLOOKUP( LEFT(B317, LEN(B317) - IF(ISNUMBER(RIGHT(B317, 1) * 1), 1, 0)),metadata_testudines!B$1:B$60,1,FALSE)),FALSE,TRUE)</f>
        <v>0</v>
      </c>
      <c r="F317" t="s">
        <v>660</v>
      </c>
      <c r="G317" t="s">
        <v>661</v>
      </c>
      <c r="H317">
        <v>1</v>
      </c>
      <c r="I317" t="s">
        <v>662</v>
      </c>
      <c r="J317" t="s">
        <v>663</v>
      </c>
      <c r="K317" t="s">
        <v>647</v>
      </c>
      <c r="L317" t="s">
        <v>664</v>
      </c>
      <c r="M317" t="s">
        <v>664</v>
      </c>
    </row>
    <row r="318" spans="1:13" hidden="1" x14ac:dyDescent="0.2">
      <c r="A318" s="10" t="s">
        <v>558</v>
      </c>
      <c r="B318" t="s">
        <v>70</v>
      </c>
      <c r="C318" t="s">
        <v>658</v>
      </c>
      <c r="D318" t="s">
        <v>659</v>
      </c>
      <c r="E318" s="10" t="b">
        <f>IF(ISERROR(VLOOKUP( LEFT(B318, LEN(B318) - IF(ISNUMBER(RIGHT(B318, 1) * 1), 1, 0)),metadata_testudines!B$1:B$60,1,FALSE)),FALSE,TRUE)</f>
        <v>1</v>
      </c>
      <c r="F318" t="s">
        <v>691</v>
      </c>
      <c r="G318" t="s">
        <v>692</v>
      </c>
      <c r="H318">
        <v>1</v>
      </c>
      <c r="I318" t="s">
        <v>693</v>
      </c>
      <c r="J318" t="s">
        <v>694</v>
      </c>
      <c r="K318" t="s">
        <v>647</v>
      </c>
      <c r="L318" t="s">
        <v>664</v>
      </c>
      <c r="M318" t="s">
        <v>664</v>
      </c>
    </row>
    <row r="319" spans="1:13" hidden="1" x14ac:dyDescent="0.2">
      <c r="A319" s="10" t="s">
        <v>558</v>
      </c>
      <c r="B319" t="s">
        <v>70</v>
      </c>
      <c r="C319" t="s">
        <v>658</v>
      </c>
      <c r="D319" t="s">
        <v>659</v>
      </c>
      <c r="E319" s="10" t="b">
        <f>IF(ISERROR(VLOOKUP( LEFT(B319, LEN(B319) - IF(ISNUMBER(RIGHT(B319, 1) * 1), 1, 0)),metadata_testudines!B$1:B$60,1,FALSE)),FALSE,TRUE)</f>
        <v>1</v>
      </c>
      <c r="F319" t="s">
        <v>681</v>
      </c>
      <c r="G319" t="s">
        <v>685</v>
      </c>
      <c r="H319">
        <v>0.94</v>
      </c>
      <c r="I319" t="s">
        <v>667</v>
      </c>
      <c r="J319" t="s">
        <v>683</v>
      </c>
      <c r="K319" t="s">
        <v>645</v>
      </c>
      <c r="L319" t="s">
        <v>684</v>
      </c>
      <c r="M319" t="s">
        <v>664</v>
      </c>
    </row>
    <row r="320" spans="1:13" hidden="1" x14ac:dyDescent="0.2">
      <c r="A320" s="10" t="s">
        <v>558</v>
      </c>
      <c r="B320" t="s">
        <v>70</v>
      </c>
      <c r="C320" t="s">
        <v>658</v>
      </c>
      <c r="D320" t="s">
        <v>659</v>
      </c>
      <c r="E320" s="10" t="b">
        <f>IF(ISERROR(VLOOKUP( LEFT(B320, LEN(B320) - IF(ISNUMBER(RIGHT(B320, 1) * 1), 1, 0)),metadata_testudines!B$1:B$60,1,FALSE)),FALSE,TRUE)</f>
        <v>1</v>
      </c>
      <c r="F320" t="s">
        <v>681</v>
      </c>
      <c r="G320" t="s">
        <v>685</v>
      </c>
      <c r="H320">
        <v>0.47</v>
      </c>
      <c r="I320" t="s">
        <v>667</v>
      </c>
      <c r="J320" t="s">
        <v>683</v>
      </c>
      <c r="K320" t="s">
        <v>645</v>
      </c>
      <c r="L320" t="s">
        <v>684</v>
      </c>
      <c r="M320" t="s">
        <v>664</v>
      </c>
    </row>
    <row r="321" spans="1:13" hidden="1" x14ac:dyDescent="0.2">
      <c r="A321" s="10" t="s">
        <v>558</v>
      </c>
      <c r="B321" t="s">
        <v>70</v>
      </c>
      <c r="C321" t="s">
        <v>658</v>
      </c>
      <c r="D321" t="s">
        <v>659</v>
      </c>
      <c r="E321" s="10" t="b">
        <f>IF(ISERROR(VLOOKUP( LEFT(B321, LEN(B321) - IF(ISNUMBER(RIGHT(B321, 1) * 1), 1, 0)),metadata_testudines!B$1:B$60,1,FALSE)),FALSE,TRUE)</f>
        <v>1</v>
      </c>
      <c r="F321" t="s">
        <v>660</v>
      </c>
      <c r="G321" t="s">
        <v>661</v>
      </c>
      <c r="H321">
        <v>8</v>
      </c>
      <c r="I321" t="s">
        <v>662</v>
      </c>
      <c r="J321" t="s">
        <v>663</v>
      </c>
      <c r="K321" t="s">
        <v>647</v>
      </c>
      <c r="L321" t="s">
        <v>664</v>
      </c>
      <c r="M321" t="s">
        <v>664</v>
      </c>
    </row>
    <row r="322" spans="1:13" hidden="1" x14ac:dyDescent="0.2">
      <c r="A322" s="10" t="s">
        <v>558</v>
      </c>
      <c r="B322" t="s">
        <v>70</v>
      </c>
      <c r="C322" t="s">
        <v>658</v>
      </c>
      <c r="D322" t="s">
        <v>659</v>
      </c>
      <c r="E322" s="10" t="b">
        <f>IF(ISERROR(VLOOKUP( LEFT(B322, LEN(B322) - IF(ISNUMBER(RIGHT(B322, 1) * 1), 1, 0)),metadata_testudines!B$1:B$60,1,FALSE)),FALSE,TRUE)</f>
        <v>1</v>
      </c>
      <c r="F322" t="s">
        <v>660</v>
      </c>
      <c r="G322" t="s">
        <v>666</v>
      </c>
      <c r="H322">
        <v>53</v>
      </c>
      <c r="I322" t="s">
        <v>667</v>
      </c>
      <c r="J322" t="s">
        <v>668</v>
      </c>
      <c r="K322" t="s">
        <v>647</v>
      </c>
      <c r="L322" t="s">
        <v>664</v>
      </c>
      <c r="M322" t="s">
        <v>664</v>
      </c>
    </row>
    <row r="323" spans="1:13" hidden="1" x14ac:dyDescent="0.2">
      <c r="A323" s="10" t="s">
        <v>558</v>
      </c>
      <c r="B323" t="s">
        <v>70</v>
      </c>
      <c r="C323" t="s">
        <v>658</v>
      </c>
      <c r="D323" t="s">
        <v>659</v>
      </c>
      <c r="E323" s="10" t="b">
        <f>IF(ISERROR(VLOOKUP( LEFT(B323, LEN(B323) - IF(ISNUMBER(RIGHT(B323, 1) * 1), 1, 0)),metadata_testudines!B$1:B$60,1,FALSE)),FALSE,TRUE)</f>
        <v>1</v>
      </c>
      <c r="F323" t="s">
        <v>681</v>
      </c>
      <c r="G323" t="s">
        <v>682</v>
      </c>
      <c r="H323">
        <v>0.47</v>
      </c>
      <c r="I323" t="s">
        <v>667</v>
      </c>
      <c r="J323" t="s">
        <v>683</v>
      </c>
      <c r="K323" t="s">
        <v>645</v>
      </c>
      <c r="L323" t="s">
        <v>684</v>
      </c>
      <c r="M323" t="s">
        <v>664</v>
      </c>
    </row>
    <row r="324" spans="1:13" hidden="1" x14ac:dyDescent="0.2">
      <c r="A324" s="10" t="s">
        <v>558</v>
      </c>
      <c r="B324" t="s">
        <v>70</v>
      </c>
      <c r="C324" t="s">
        <v>658</v>
      </c>
      <c r="D324" t="s">
        <v>659</v>
      </c>
      <c r="E324" s="10" t="b">
        <f>IF(ISERROR(VLOOKUP( LEFT(B324, LEN(B324) - IF(ISNUMBER(RIGHT(B324, 1) * 1), 1, 0)),metadata_testudines!B$1:B$60,1,FALSE)),FALSE,TRUE)</f>
        <v>1</v>
      </c>
      <c r="F324" t="s">
        <v>691</v>
      </c>
      <c r="G324" t="s">
        <v>692</v>
      </c>
      <c r="H324">
        <v>1</v>
      </c>
      <c r="I324" t="s">
        <v>693</v>
      </c>
      <c r="J324" t="s">
        <v>694</v>
      </c>
      <c r="K324" t="s">
        <v>645</v>
      </c>
      <c r="L324" t="s">
        <v>646</v>
      </c>
      <c r="M324" t="s">
        <v>664</v>
      </c>
    </row>
    <row r="325" spans="1:13" hidden="1" x14ac:dyDescent="0.2">
      <c r="A325" s="10" t="s">
        <v>558</v>
      </c>
      <c r="B325" t="s">
        <v>70</v>
      </c>
      <c r="C325" t="s">
        <v>658</v>
      </c>
      <c r="D325" t="s">
        <v>659</v>
      </c>
      <c r="E325" s="10" t="b">
        <f>IF(ISERROR(VLOOKUP( LEFT(B325, LEN(B325) - IF(ISNUMBER(RIGHT(B325, 1) * 1), 1, 0)),metadata_testudines!B$1:B$60,1,FALSE)),FALSE,TRUE)</f>
        <v>1</v>
      </c>
      <c r="F325" t="s">
        <v>681</v>
      </c>
      <c r="G325" t="s">
        <v>682</v>
      </c>
      <c r="H325">
        <v>0.47</v>
      </c>
      <c r="I325" t="s">
        <v>667</v>
      </c>
      <c r="J325" t="s">
        <v>683</v>
      </c>
      <c r="K325" t="s">
        <v>645</v>
      </c>
      <c r="L325" t="s">
        <v>684</v>
      </c>
      <c r="M325" t="s">
        <v>664</v>
      </c>
    </row>
    <row r="326" spans="1:13" hidden="1" x14ac:dyDescent="0.2">
      <c r="A326" s="10" t="s">
        <v>558</v>
      </c>
      <c r="B326" t="s">
        <v>70</v>
      </c>
      <c r="C326" t="s">
        <v>658</v>
      </c>
      <c r="D326" t="s">
        <v>659</v>
      </c>
      <c r="E326" s="10" t="b">
        <f>IF(ISERROR(VLOOKUP( LEFT(B326, LEN(B326) - IF(ISNUMBER(RIGHT(B326, 1) * 1), 1, 0)),metadata_testudines!B$1:B$60,1,FALSE)),FALSE,TRUE)</f>
        <v>1</v>
      </c>
      <c r="F326" t="s">
        <v>660</v>
      </c>
      <c r="G326" t="s">
        <v>661</v>
      </c>
      <c r="H326">
        <v>5.7841945289999996</v>
      </c>
      <c r="I326" t="s">
        <v>662</v>
      </c>
      <c r="J326" t="s">
        <v>663</v>
      </c>
      <c r="K326" t="s">
        <v>647</v>
      </c>
      <c r="L326" t="s">
        <v>664</v>
      </c>
      <c r="M326" t="s">
        <v>664</v>
      </c>
    </row>
    <row r="327" spans="1:13" hidden="1" x14ac:dyDescent="0.2">
      <c r="A327" s="10" t="s">
        <v>558</v>
      </c>
      <c r="B327" t="s">
        <v>70</v>
      </c>
      <c r="C327" t="s">
        <v>658</v>
      </c>
      <c r="D327" t="s">
        <v>659</v>
      </c>
      <c r="E327" s="10" t="b">
        <f>IF(ISERROR(VLOOKUP( LEFT(B327, LEN(B327) - IF(ISNUMBER(RIGHT(B327, 1) * 1), 1, 0)),metadata_testudines!B$1:B$60,1,FALSE)),FALSE,TRUE)</f>
        <v>1</v>
      </c>
      <c r="F327" t="s">
        <v>660</v>
      </c>
      <c r="G327" t="s">
        <v>666</v>
      </c>
      <c r="H327">
        <v>40</v>
      </c>
      <c r="I327" t="s">
        <v>667</v>
      </c>
      <c r="J327" t="s">
        <v>668</v>
      </c>
      <c r="K327" t="s">
        <v>647</v>
      </c>
      <c r="L327" t="s">
        <v>664</v>
      </c>
      <c r="M327" t="s">
        <v>664</v>
      </c>
    </row>
    <row r="328" spans="1:13" hidden="1" x14ac:dyDescent="0.2">
      <c r="A328" s="10" t="s">
        <v>558</v>
      </c>
      <c r="B328" t="s">
        <v>70</v>
      </c>
      <c r="C328" t="s">
        <v>658</v>
      </c>
      <c r="D328" t="s">
        <v>659</v>
      </c>
      <c r="E328" s="10" t="b">
        <f>IF(ISERROR(VLOOKUP( LEFT(B328, LEN(B328) - IF(ISNUMBER(RIGHT(B328, 1) * 1), 1, 0)),metadata_testudines!B$1:B$60,1,FALSE)),FALSE,TRUE)</f>
        <v>1</v>
      </c>
      <c r="F328" t="s">
        <v>660</v>
      </c>
      <c r="G328" t="s">
        <v>666</v>
      </c>
      <c r="H328">
        <v>62.8</v>
      </c>
      <c r="I328" t="s">
        <v>667</v>
      </c>
      <c r="J328" t="s">
        <v>668</v>
      </c>
      <c r="K328" t="s">
        <v>647</v>
      </c>
      <c r="L328" t="s">
        <v>664</v>
      </c>
      <c r="M328" t="s">
        <v>664</v>
      </c>
    </row>
    <row r="329" spans="1:13" hidden="1" x14ac:dyDescent="0.2">
      <c r="A329" s="10" t="s">
        <v>558</v>
      </c>
      <c r="B329" t="s">
        <v>70</v>
      </c>
      <c r="C329" t="s">
        <v>658</v>
      </c>
      <c r="D329" t="s">
        <v>659</v>
      </c>
      <c r="E329" s="10" t="b">
        <f>IF(ISERROR(VLOOKUP( LEFT(B329, LEN(B329) - IF(ISNUMBER(RIGHT(B329, 1) * 1), 1, 0)),metadata_testudines!B$1:B$60,1,FALSE)),FALSE,TRUE)</f>
        <v>1</v>
      </c>
      <c r="F329" t="s">
        <v>681</v>
      </c>
      <c r="G329" t="s">
        <v>685</v>
      </c>
      <c r="H329">
        <v>0.88</v>
      </c>
      <c r="I329" t="s">
        <v>667</v>
      </c>
      <c r="J329" t="s">
        <v>683</v>
      </c>
      <c r="K329" t="s">
        <v>645</v>
      </c>
      <c r="L329" t="s">
        <v>684</v>
      </c>
      <c r="M329" t="s">
        <v>664</v>
      </c>
    </row>
    <row r="330" spans="1:13" hidden="1" x14ac:dyDescent="0.2">
      <c r="A330" s="10" t="s">
        <v>558</v>
      </c>
      <c r="B330" t="s">
        <v>70</v>
      </c>
      <c r="C330" t="s">
        <v>658</v>
      </c>
      <c r="D330" t="s">
        <v>659</v>
      </c>
      <c r="E330" s="10" t="b">
        <f>IF(ISERROR(VLOOKUP( LEFT(B330, LEN(B330) - IF(ISNUMBER(RIGHT(B330, 1) * 1), 1, 0)),metadata_testudines!B$1:B$60,1,FALSE)),FALSE,TRUE)</f>
        <v>1</v>
      </c>
      <c r="F330" t="s">
        <v>681</v>
      </c>
      <c r="G330" t="s">
        <v>688</v>
      </c>
      <c r="H330">
        <v>1</v>
      </c>
      <c r="I330" t="s">
        <v>662</v>
      </c>
      <c r="J330" t="s">
        <v>670</v>
      </c>
      <c r="K330" t="s">
        <v>645</v>
      </c>
      <c r="L330" t="s">
        <v>647</v>
      </c>
      <c r="M330" t="s">
        <v>664</v>
      </c>
    </row>
    <row r="331" spans="1:13" hidden="1" x14ac:dyDescent="0.2">
      <c r="A331" s="10" t="s">
        <v>558</v>
      </c>
      <c r="B331" t="s">
        <v>70</v>
      </c>
      <c r="C331" t="s">
        <v>658</v>
      </c>
      <c r="D331" t="s">
        <v>659</v>
      </c>
      <c r="E331" s="10" t="b">
        <f>IF(ISERROR(VLOOKUP( LEFT(B331, LEN(B331) - IF(ISNUMBER(RIGHT(B331, 1) * 1), 1, 0)),metadata_testudines!B$1:B$60,1,FALSE)),FALSE,TRUE)</f>
        <v>1</v>
      </c>
      <c r="F331" t="s">
        <v>681</v>
      </c>
      <c r="G331" t="s">
        <v>685</v>
      </c>
      <c r="H331">
        <v>0.47</v>
      </c>
      <c r="I331" t="s">
        <v>667</v>
      </c>
      <c r="J331" t="s">
        <v>683</v>
      </c>
      <c r="K331" t="s">
        <v>645</v>
      </c>
      <c r="L331" t="s">
        <v>684</v>
      </c>
      <c r="M331" t="s">
        <v>664</v>
      </c>
    </row>
    <row r="332" spans="1:13" hidden="1" x14ac:dyDescent="0.2">
      <c r="A332" s="10" t="s">
        <v>558</v>
      </c>
      <c r="B332" t="s">
        <v>70</v>
      </c>
      <c r="C332" t="s">
        <v>658</v>
      </c>
      <c r="D332" t="s">
        <v>659</v>
      </c>
      <c r="E332" s="10" t="b">
        <f>IF(ISERROR(VLOOKUP( LEFT(B332, LEN(B332) - IF(ISNUMBER(RIGHT(B332, 1) * 1), 1, 0)),metadata_testudines!B$1:B$60,1,FALSE)),FALSE,TRUE)</f>
        <v>1</v>
      </c>
      <c r="F332" t="s">
        <v>660</v>
      </c>
      <c r="G332" t="s">
        <v>661</v>
      </c>
      <c r="H332">
        <v>2</v>
      </c>
      <c r="I332" t="s">
        <v>662</v>
      </c>
      <c r="J332" t="s">
        <v>663</v>
      </c>
      <c r="K332" t="s">
        <v>647</v>
      </c>
      <c r="L332" t="s">
        <v>664</v>
      </c>
      <c r="M332" t="s">
        <v>664</v>
      </c>
    </row>
    <row r="333" spans="1:13" hidden="1" x14ac:dyDescent="0.2">
      <c r="A333" s="10" t="s">
        <v>558</v>
      </c>
      <c r="B333" t="s">
        <v>70</v>
      </c>
      <c r="C333" t="s">
        <v>658</v>
      </c>
      <c r="D333" t="s">
        <v>659</v>
      </c>
      <c r="E333" s="10" t="b">
        <f>IF(ISERROR(VLOOKUP( LEFT(B333, LEN(B333) - IF(ISNUMBER(RIGHT(B333, 1) * 1), 1, 0)),metadata_testudines!B$1:B$60,1,FALSE)),FALSE,TRUE)</f>
        <v>1</v>
      </c>
      <c r="F333" t="s">
        <v>660</v>
      </c>
      <c r="G333" t="s">
        <v>661</v>
      </c>
      <c r="H333">
        <v>15</v>
      </c>
      <c r="I333" t="s">
        <v>662</v>
      </c>
      <c r="J333" t="s">
        <v>663</v>
      </c>
      <c r="K333" t="s">
        <v>647</v>
      </c>
      <c r="L333" t="s">
        <v>664</v>
      </c>
      <c r="M333" t="s">
        <v>664</v>
      </c>
    </row>
    <row r="334" spans="1:13" hidden="1" x14ac:dyDescent="0.2">
      <c r="A334" s="10" t="s">
        <v>558</v>
      </c>
      <c r="B334" t="s">
        <v>70</v>
      </c>
      <c r="C334" t="s">
        <v>658</v>
      </c>
      <c r="D334" t="s">
        <v>659</v>
      </c>
      <c r="E334" s="10" t="b">
        <f>IF(ISERROR(VLOOKUP( LEFT(B334, LEN(B334) - IF(ISNUMBER(RIGHT(B334, 1) * 1), 1, 0)),metadata_testudines!B$1:B$60,1,FALSE)),FALSE,TRUE)</f>
        <v>1</v>
      </c>
      <c r="F334" t="s">
        <v>660</v>
      </c>
      <c r="G334" t="s">
        <v>669</v>
      </c>
      <c r="H334">
        <v>4748.25</v>
      </c>
      <c r="I334" t="s">
        <v>662</v>
      </c>
      <c r="J334" t="s">
        <v>670</v>
      </c>
      <c r="K334" t="s">
        <v>647</v>
      </c>
      <c r="L334" t="s">
        <v>647</v>
      </c>
      <c r="M334" t="s">
        <v>664</v>
      </c>
    </row>
    <row r="335" spans="1:13" hidden="1" x14ac:dyDescent="0.2">
      <c r="A335" s="10" t="s">
        <v>558</v>
      </c>
      <c r="B335" t="s">
        <v>70</v>
      </c>
      <c r="C335" t="s">
        <v>658</v>
      </c>
      <c r="D335" t="s">
        <v>659</v>
      </c>
      <c r="E335" s="10" t="b">
        <f>IF(ISERROR(VLOOKUP( LEFT(B335, LEN(B335) - IF(ISNUMBER(RIGHT(B335, 1) * 1), 1, 0)),metadata_testudines!B$1:B$60,1,FALSE)),FALSE,TRUE)</f>
        <v>1</v>
      </c>
      <c r="F335" t="s">
        <v>660</v>
      </c>
      <c r="G335" t="s">
        <v>666</v>
      </c>
      <c r="H335">
        <v>40</v>
      </c>
      <c r="I335" t="s">
        <v>667</v>
      </c>
      <c r="J335" t="s">
        <v>668</v>
      </c>
      <c r="K335" t="s">
        <v>647</v>
      </c>
      <c r="L335" t="s">
        <v>664</v>
      </c>
      <c r="M335" t="s">
        <v>664</v>
      </c>
    </row>
    <row r="336" spans="1:13" hidden="1" x14ac:dyDescent="0.2">
      <c r="A336" s="10" t="s">
        <v>558</v>
      </c>
      <c r="B336" t="s">
        <v>70</v>
      </c>
      <c r="C336" t="s">
        <v>658</v>
      </c>
      <c r="D336" t="s">
        <v>659</v>
      </c>
      <c r="E336" s="10" t="b">
        <f>IF(ISERROR(VLOOKUP( LEFT(B336, LEN(B336) - IF(ISNUMBER(RIGHT(B336, 1) * 1), 1, 0)),metadata_testudines!B$1:B$60,1,FALSE)),FALSE,TRUE)</f>
        <v>1</v>
      </c>
      <c r="F336" t="s">
        <v>691</v>
      </c>
      <c r="G336" t="s">
        <v>692</v>
      </c>
      <c r="H336">
        <v>1</v>
      </c>
      <c r="I336" t="s">
        <v>693</v>
      </c>
      <c r="J336" t="s">
        <v>694</v>
      </c>
      <c r="K336" t="s">
        <v>645</v>
      </c>
      <c r="L336" t="s">
        <v>646</v>
      </c>
      <c r="M336" t="s">
        <v>664</v>
      </c>
    </row>
    <row r="337" spans="1:13" hidden="1" x14ac:dyDescent="0.2">
      <c r="A337" s="10" t="s">
        <v>558</v>
      </c>
      <c r="B337" t="s">
        <v>70</v>
      </c>
      <c r="C337" t="s">
        <v>658</v>
      </c>
      <c r="D337" t="s">
        <v>659</v>
      </c>
      <c r="E337" s="10" t="b">
        <f>IF(ISERROR(VLOOKUP( LEFT(B337, LEN(B337) - IF(ISNUMBER(RIGHT(B337, 1) * 1), 1, 0)),metadata_testudines!B$1:B$60,1,FALSE)),FALSE,TRUE)</f>
        <v>1</v>
      </c>
      <c r="F337" t="s">
        <v>681</v>
      </c>
      <c r="G337" t="s">
        <v>685</v>
      </c>
      <c r="H337">
        <v>0.82</v>
      </c>
      <c r="I337" t="s">
        <v>667</v>
      </c>
      <c r="J337" t="s">
        <v>683</v>
      </c>
      <c r="K337" t="s">
        <v>645</v>
      </c>
      <c r="L337" t="s">
        <v>684</v>
      </c>
      <c r="M337" t="s">
        <v>664</v>
      </c>
    </row>
    <row r="338" spans="1:13" hidden="1" x14ac:dyDescent="0.2">
      <c r="A338" s="10" t="s">
        <v>558</v>
      </c>
      <c r="B338" t="s">
        <v>70</v>
      </c>
      <c r="C338" t="s">
        <v>658</v>
      </c>
      <c r="D338" t="s">
        <v>659</v>
      </c>
      <c r="E338" s="10" t="b">
        <f>IF(ISERROR(VLOOKUP( LEFT(B338, LEN(B338) - IF(ISNUMBER(RIGHT(B338, 1) * 1), 1, 0)),metadata_testudines!B$1:B$60,1,FALSE)),FALSE,TRUE)</f>
        <v>1</v>
      </c>
      <c r="F338" t="s">
        <v>660</v>
      </c>
      <c r="G338" t="s">
        <v>665</v>
      </c>
      <c r="H338">
        <v>2.0005254859999999</v>
      </c>
      <c r="I338" t="s">
        <v>662</v>
      </c>
      <c r="J338" t="s">
        <v>663</v>
      </c>
      <c r="K338" t="s">
        <v>647</v>
      </c>
      <c r="L338" t="s">
        <v>664</v>
      </c>
      <c r="M338" t="s">
        <v>664</v>
      </c>
    </row>
    <row r="339" spans="1:13" hidden="1" x14ac:dyDescent="0.2">
      <c r="A339" s="10" t="s">
        <v>558</v>
      </c>
      <c r="B339" t="s">
        <v>70</v>
      </c>
      <c r="C339" t="s">
        <v>658</v>
      </c>
      <c r="D339" t="s">
        <v>659</v>
      </c>
      <c r="E339" s="10" t="b">
        <f>IF(ISERROR(VLOOKUP( LEFT(B339, LEN(B339) - IF(ISNUMBER(RIGHT(B339, 1) * 1), 1, 0)),metadata_testudines!B$1:B$60,1,FALSE)),FALSE,TRUE)</f>
        <v>1</v>
      </c>
      <c r="F339" t="s">
        <v>681</v>
      </c>
      <c r="G339" t="s">
        <v>682</v>
      </c>
      <c r="H339">
        <v>0.88</v>
      </c>
      <c r="I339" t="s">
        <v>667</v>
      </c>
      <c r="J339" t="s">
        <v>683</v>
      </c>
      <c r="K339" t="s">
        <v>645</v>
      </c>
      <c r="L339" t="s">
        <v>684</v>
      </c>
      <c r="M339" t="s">
        <v>664</v>
      </c>
    </row>
    <row r="340" spans="1:13" hidden="1" x14ac:dyDescent="0.2">
      <c r="A340" s="10" t="s">
        <v>558</v>
      </c>
      <c r="B340" t="s">
        <v>70</v>
      </c>
      <c r="C340" t="s">
        <v>658</v>
      </c>
      <c r="D340" t="s">
        <v>659</v>
      </c>
      <c r="E340" s="10" t="b">
        <f>IF(ISERROR(VLOOKUP( LEFT(B340, LEN(B340) - IF(ISNUMBER(RIGHT(B340, 1) * 1), 1, 0)),metadata_testudines!B$1:B$60,1,FALSE)),FALSE,TRUE)</f>
        <v>1</v>
      </c>
      <c r="F340" t="s">
        <v>660</v>
      </c>
      <c r="G340" t="s">
        <v>661</v>
      </c>
      <c r="H340">
        <v>5.2</v>
      </c>
      <c r="I340" t="s">
        <v>662</v>
      </c>
      <c r="J340" t="s">
        <v>663</v>
      </c>
      <c r="K340" t="s">
        <v>647</v>
      </c>
      <c r="L340" t="s">
        <v>664</v>
      </c>
      <c r="M340" t="s">
        <v>664</v>
      </c>
    </row>
    <row r="341" spans="1:13" hidden="1" x14ac:dyDescent="0.2">
      <c r="A341" s="10" t="s">
        <v>558</v>
      </c>
      <c r="B341" t="s">
        <v>70</v>
      </c>
      <c r="C341" t="s">
        <v>658</v>
      </c>
      <c r="D341" t="s">
        <v>659</v>
      </c>
      <c r="E341" s="10" t="b">
        <f>IF(ISERROR(VLOOKUP( LEFT(B341, LEN(B341) - IF(ISNUMBER(RIGHT(B341, 1) * 1), 1, 0)),metadata_testudines!B$1:B$60,1,FALSE)),FALSE,TRUE)</f>
        <v>1</v>
      </c>
      <c r="F341" t="s">
        <v>660</v>
      </c>
      <c r="G341" t="s">
        <v>661</v>
      </c>
      <c r="H341">
        <v>3</v>
      </c>
      <c r="I341" t="s">
        <v>662</v>
      </c>
      <c r="J341" t="s">
        <v>663</v>
      </c>
      <c r="K341" t="s">
        <v>647</v>
      </c>
      <c r="L341" t="s">
        <v>664</v>
      </c>
      <c r="M341" t="s">
        <v>664</v>
      </c>
    </row>
    <row r="342" spans="1:13" hidden="1" x14ac:dyDescent="0.2">
      <c r="A342" s="10" t="s">
        <v>558</v>
      </c>
      <c r="B342" t="s">
        <v>70</v>
      </c>
      <c r="C342" t="s">
        <v>658</v>
      </c>
      <c r="D342" t="s">
        <v>659</v>
      </c>
      <c r="E342" s="10" t="b">
        <f>IF(ISERROR(VLOOKUP( LEFT(B342, LEN(B342) - IF(ISNUMBER(RIGHT(B342, 1) * 1), 1, 0)),metadata_testudines!B$1:B$60,1,FALSE)),FALSE,TRUE)</f>
        <v>1</v>
      </c>
      <c r="F342" t="s">
        <v>660</v>
      </c>
      <c r="G342" t="s">
        <v>665</v>
      </c>
      <c r="H342">
        <v>2</v>
      </c>
      <c r="I342" t="s">
        <v>662</v>
      </c>
      <c r="J342" t="s">
        <v>663</v>
      </c>
      <c r="K342" t="s">
        <v>647</v>
      </c>
      <c r="L342" t="s">
        <v>664</v>
      </c>
      <c r="M342" t="s">
        <v>664</v>
      </c>
    </row>
    <row r="343" spans="1:13" hidden="1" x14ac:dyDescent="0.2">
      <c r="A343" s="10" t="s">
        <v>558</v>
      </c>
      <c r="B343" t="s">
        <v>70</v>
      </c>
      <c r="C343" t="s">
        <v>658</v>
      </c>
      <c r="D343" t="s">
        <v>659</v>
      </c>
      <c r="E343" s="10" t="b">
        <f>IF(ISERROR(VLOOKUP( LEFT(B343, LEN(B343) - IF(ISNUMBER(RIGHT(B343, 1) * 1), 1, 0)),metadata_testudines!B$1:B$60,1,FALSE)),FALSE,TRUE)</f>
        <v>1</v>
      </c>
      <c r="F343" t="s">
        <v>691</v>
      </c>
      <c r="G343" t="s">
        <v>692</v>
      </c>
      <c r="H343">
        <v>1</v>
      </c>
      <c r="I343" t="s">
        <v>693</v>
      </c>
      <c r="J343" t="s">
        <v>694</v>
      </c>
      <c r="K343" t="s">
        <v>647</v>
      </c>
      <c r="L343" t="s">
        <v>664</v>
      </c>
      <c r="M343" t="s">
        <v>664</v>
      </c>
    </row>
    <row r="344" spans="1:13" hidden="1" x14ac:dyDescent="0.2">
      <c r="A344" s="10" t="s">
        <v>558</v>
      </c>
      <c r="B344" t="s">
        <v>70</v>
      </c>
      <c r="C344" t="s">
        <v>658</v>
      </c>
      <c r="D344" t="s">
        <v>659</v>
      </c>
      <c r="E344" s="10" t="b">
        <f>IF(ISERROR(VLOOKUP( LEFT(B344, LEN(B344) - IF(ISNUMBER(RIGHT(B344, 1) * 1), 1, 0)),metadata_testudines!B$1:B$60,1,FALSE)),FALSE,TRUE)</f>
        <v>1</v>
      </c>
      <c r="F344" t="s">
        <v>660</v>
      </c>
      <c r="G344" t="s">
        <v>669</v>
      </c>
      <c r="H344">
        <v>7670.25</v>
      </c>
      <c r="I344" t="s">
        <v>662</v>
      </c>
      <c r="J344" t="s">
        <v>670</v>
      </c>
      <c r="K344" t="s">
        <v>647</v>
      </c>
      <c r="L344" t="s">
        <v>647</v>
      </c>
      <c r="M344" t="s">
        <v>664</v>
      </c>
    </row>
    <row r="345" spans="1:13" hidden="1" x14ac:dyDescent="0.2">
      <c r="A345" s="10" t="s">
        <v>558</v>
      </c>
      <c r="B345" t="s">
        <v>70</v>
      </c>
      <c r="C345" t="s">
        <v>658</v>
      </c>
      <c r="D345" t="s">
        <v>659</v>
      </c>
      <c r="E345" s="10" t="b">
        <f>IF(ISERROR(VLOOKUP( LEFT(B345, LEN(B345) - IF(ISNUMBER(RIGHT(B345, 1) * 1), 1, 0)),metadata_testudines!B$1:B$60,1,FALSE)),FALSE,TRUE)</f>
        <v>1</v>
      </c>
      <c r="F345" t="s">
        <v>691</v>
      </c>
      <c r="G345" t="s">
        <v>692</v>
      </c>
      <c r="H345">
        <v>1</v>
      </c>
      <c r="I345" t="s">
        <v>693</v>
      </c>
      <c r="J345" t="s">
        <v>694</v>
      </c>
      <c r="K345" t="s">
        <v>647</v>
      </c>
      <c r="L345" t="s">
        <v>664</v>
      </c>
      <c r="M345" t="s">
        <v>664</v>
      </c>
    </row>
    <row r="346" spans="1:13" hidden="1" x14ac:dyDescent="0.2">
      <c r="A346" s="10" t="s">
        <v>558</v>
      </c>
      <c r="B346" t="s">
        <v>70</v>
      </c>
      <c r="C346" t="s">
        <v>658</v>
      </c>
      <c r="D346" t="s">
        <v>659</v>
      </c>
      <c r="E346" s="10" t="b">
        <f>IF(ISERROR(VLOOKUP( LEFT(B346, LEN(B346) - IF(ISNUMBER(RIGHT(B346, 1) * 1), 1, 0)),metadata_testudines!B$1:B$60,1,FALSE)),FALSE,TRUE)</f>
        <v>1</v>
      </c>
      <c r="F346" t="s">
        <v>681</v>
      </c>
      <c r="G346" t="s">
        <v>695</v>
      </c>
      <c r="H346">
        <v>1</v>
      </c>
      <c r="I346" t="s">
        <v>667</v>
      </c>
      <c r="J346" t="s">
        <v>696</v>
      </c>
      <c r="K346" t="s">
        <v>645</v>
      </c>
      <c r="L346" t="s">
        <v>684</v>
      </c>
      <c r="M346" t="s">
        <v>664</v>
      </c>
    </row>
    <row r="347" spans="1:13" hidden="1" x14ac:dyDescent="0.2">
      <c r="A347" s="10" t="s">
        <v>558</v>
      </c>
      <c r="B347" t="s">
        <v>70</v>
      </c>
      <c r="C347" t="s">
        <v>658</v>
      </c>
      <c r="D347" t="s">
        <v>659</v>
      </c>
      <c r="E347" s="10" t="b">
        <f>IF(ISERROR(VLOOKUP( LEFT(B347, LEN(B347) - IF(ISNUMBER(RIGHT(B347, 1) * 1), 1, 0)),metadata_testudines!B$1:B$60,1,FALSE)),FALSE,TRUE)</f>
        <v>1</v>
      </c>
      <c r="F347" t="s">
        <v>691</v>
      </c>
      <c r="G347" t="s">
        <v>692</v>
      </c>
      <c r="H347">
        <v>1</v>
      </c>
      <c r="I347" t="s">
        <v>693</v>
      </c>
      <c r="J347" t="s">
        <v>694</v>
      </c>
      <c r="K347" t="s">
        <v>645</v>
      </c>
      <c r="L347" t="s">
        <v>646</v>
      </c>
      <c r="M347" t="s">
        <v>664</v>
      </c>
    </row>
    <row r="348" spans="1:13" hidden="1" x14ac:dyDescent="0.2">
      <c r="A348" s="10" t="s">
        <v>558</v>
      </c>
      <c r="B348" t="s">
        <v>70</v>
      </c>
      <c r="C348" t="s">
        <v>658</v>
      </c>
      <c r="D348" t="s">
        <v>659</v>
      </c>
      <c r="E348" s="10" t="b">
        <f>IF(ISERROR(VLOOKUP( LEFT(B348, LEN(B348) - IF(ISNUMBER(RIGHT(B348, 1) * 1), 1, 0)),metadata_testudines!B$1:B$60,1,FALSE)),FALSE,TRUE)</f>
        <v>1</v>
      </c>
      <c r="F348" t="s">
        <v>691</v>
      </c>
      <c r="G348" t="s">
        <v>692</v>
      </c>
      <c r="H348">
        <v>1</v>
      </c>
      <c r="I348" t="s">
        <v>693</v>
      </c>
      <c r="J348" t="s">
        <v>694</v>
      </c>
      <c r="K348" t="s">
        <v>645</v>
      </c>
      <c r="L348" t="s">
        <v>646</v>
      </c>
      <c r="M348" t="s">
        <v>664</v>
      </c>
    </row>
    <row r="349" spans="1:13" hidden="1" x14ac:dyDescent="0.2">
      <c r="A349" s="10" t="s">
        <v>558</v>
      </c>
      <c r="B349" t="s">
        <v>70</v>
      </c>
      <c r="C349" t="s">
        <v>658</v>
      </c>
      <c r="D349" t="s">
        <v>659</v>
      </c>
      <c r="E349" s="10" t="b">
        <f>IF(ISERROR(VLOOKUP( LEFT(B349, LEN(B349) - IF(ISNUMBER(RIGHT(B349, 1) * 1), 1, 0)),metadata_testudines!B$1:B$60,1,FALSE)),FALSE,TRUE)</f>
        <v>1</v>
      </c>
      <c r="F349" t="s">
        <v>660</v>
      </c>
      <c r="G349" t="s">
        <v>661</v>
      </c>
      <c r="H349">
        <v>4.5</v>
      </c>
      <c r="I349" t="s">
        <v>662</v>
      </c>
      <c r="J349" t="s">
        <v>663</v>
      </c>
      <c r="K349" t="s">
        <v>647</v>
      </c>
      <c r="L349" t="s">
        <v>664</v>
      </c>
      <c r="M349" t="s">
        <v>664</v>
      </c>
    </row>
    <row r="350" spans="1:13" hidden="1" x14ac:dyDescent="0.2">
      <c r="A350" s="10" t="s">
        <v>558</v>
      </c>
      <c r="B350" t="s">
        <v>70</v>
      </c>
      <c r="C350" t="s">
        <v>658</v>
      </c>
      <c r="D350" t="s">
        <v>659</v>
      </c>
      <c r="E350" s="10" t="b">
        <f>IF(ISERROR(VLOOKUP( LEFT(B350, LEN(B350) - IF(ISNUMBER(RIGHT(B350, 1) * 1), 1, 0)),metadata_testudines!B$1:B$60,1,FALSE)),FALSE,TRUE)</f>
        <v>1</v>
      </c>
      <c r="F350" t="s">
        <v>686</v>
      </c>
      <c r="G350" t="s">
        <v>687</v>
      </c>
      <c r="H350">
        <v>16</v>
      </c>
      <c r="I350" t="s">
        <v>662</v>
      </c>
      <c r="J350" t="s">
        <v>670</v>
      </c>
      <c r="K350" t="s">
        <v>647</v>
      </c>
      <c r="L350" t="s">
        <v>646</v>
      </c>
      <c r="M350" t="s">
        <v>664</v>
      </c>
    </row>
    <row r="351" spans="1:13" hidden="1" x14ac:dyDescent="0.2">
      <c r="A351" s="10" t="s">
        <v>558</v>
      </c>
      <c r="B351" t="s">
        <v>70</v>
      </c>
      <c r="C351" t="s">
        <v>658</v>
      </c>
      <c r="D351" t="s">
        <v>659</v>
      </c>
      <c r="E351" s="10" t="b">
        <f>IF(ISERROR(VLOOKUP( LEFT(B351, LEN(B351) - IF(ISNUMBER(RIGHT(B351, 1) * 1), 1, 0)),metadata_testudines!B$1:B$60,1,FALSE)),FALSE,TRUE)</f>
        <v>1</v>
      </c>
      <c r="F351" t="s">
        <v>681</v>
      </c>
      <c r="G351" t="s">
        <v>695</v>
      </c>
      <c r="H351">
        <v>1</v>
      </c>
      <c r="I351" t="s">
        <v>693</v>
      </c>
      <c r="J351" t="s">
        <v>697</v>
      </c>
      <c r="K351" t="s">
        <v>645</v>
      </c>
      <c r="L351" t="s">
        <v>646</v>
      </c>
      <c r="M351" t="s">
        <v>664</v>
      </c>
    </row>
    <row r="352" spans="1:13" hidden="1" x14ac:dyDescent="0.2">
      <c r="A352" s="10" t="s">
        <v>558</v>
      </c>
      <c r="B352" t="s">
        <v>70</v>
      </c>
      <c r="C352" t="s">
        <v>658</v>
      </c>
      <c r="D352" t="s">
        <v>659</v>
      </c>
      <c r="E352" s="10" t="b">
        <f>IF(ISERROR(VLOOKUP( LEFT(B352, LEN(B352) - IF(ISNUMBER(RIGHT(B352, 1) * 1), 1, 0)),metadata_testudines!B$1:B$60,1,FALSE)),FALSE,TRUE)</f>
        <v>1</v>
      </c>
      <c r="F352" t="s">
        <v>681</v>
      </c>
      <c r="G352" t="s">
        <v>682</v>
      </c>
      <c r="H352">
        <v>0.82</v>
      </c>
      <c r="I352" t="s">
        <v>667</v>
      </c>
      <c r="J352" t="s">
        <v>683</v>
      </c>
      <c r="K352" t="s">
        <v>645</v>
      </c>
      <c r="L352" t="s">
        <v>684</v>
      </c>
      <c r="M352" t="s">
        <v>664</v>
      </c>
    </row>
    <row r="353" spans="1:13" hidden="1" x14ac:dyDescent="0.2">
      <c r="A353" s="10" t="s">
        <v>558</v>
      </c>
      <c r="B353" t="s">
        <v>70</v>
      </c>
      <c r="C353" t="s">
        <v>658</v>
      </c>
      <c r="D353" t="s">
        <v>659</v>
      </c>
      <c r="E353" s="10" t="b">
        <f>IF(ISERROR(VLOOKUP( LEFT(B353, LEN(B353) - IF(ISNUMBER(RIGHT(B353, 1) * 1), 1, 0)),metadata_testudines!B$1:B$60,1,FALSE)),FALSE,TRUE)</f>
        <v>1</v>
      </c>
      <c r="F353" t="s">
        <v>681</v>
      </c>
      <c r="G353" t="s">
        <v>685</v>
      </c>
      <c r="H353">
        <v>0.47</v>
      </c>
      <c r="I353" t="s">
        <v>667</v>
      </c>
      <c r="J353" t="s">
        <v>683</v>
      </c>
      <c r="K353" t="s">
        <v>645</v>
      </c>
      <c r="L353" t="s">
        <v>684</v>
      </c>
      <c r="M353" t="s">
        <v>664</v>
      </c>
    </row>
    <row r="354" spans="1:13" hidden="1" x14ac:dyDescent="0.2">
      <c r="A354" s="10" t="s">
        <v>558</v>
      </c>
      <c r="B354" t="s">
        <v>70</v>
      </c>
      <c r="C354" t="s">
        <v>658</v>
      </c>
      <c r="D354" t="s">
        <v>659</v>
      </c>
      <c r="E354" s="10" t="b">
        <f>IF(ISERROR(VLOOKUP( LEFT(B354, LEN(B354) - IF(ISNUMBER(RIGHT(B354, 1) * 1), 1, 0)),metadata_testudines!B$1:B$60,1,FALSE)),FALSE,TRUE)</f>
        <v>1</v>
      </c>
      <c r="F354" t="s">
        <v>660</v>
      </c>
      <c r="G354" t="s">
        <v>666</v>
      </c>
      <c r="H354">
        <v>48</v>
      </c>
      <c r="I354" t="s">
        <v>667</v>
      </c>
      <c r="J354" t="s">
        <v>668</v>
      </c>
      <c r="K354" t="s">
        <v>647</v>
      </c>
      <c r="L354" t="s">
        <v>664</v>
      </c>
      <c r="M354" t="s">
        <v>664</v>
      </c>
    </row>
    <row r="355" spans="1:13" hidden="1" x14ac:dyDescent="0.2">
      <c r="A355" s="10" t="s">
        <v>558</v>
      </c>
      <c r="B355" t="s">
        <v>70</v>
      </c>
      <c r="C355" t="s">
        <v>658</v>
      </c>
      <c r="D355" t="s">
        <v>659</v>
      </c>
      <c r="E355" s="10" t="b">
        <f>IF(ISERROR(VLOOKUP( LEFT(B355, LEN(B355) - IF(ISNUMBER(RIGHT(B355, 1) * 1), 1, 0)),metadata_testudines!B$1:B$60,1,FALSE)),FALSE,TRUE)</f>
        <v>1</v>
      </c>
      <c r="F355" t="s">
        <v>681</v>
      </c>
      <c r="G355" t="s">
        <v>685</v>
      </c>
      <c r="H355">
        <v>0.88</v>
      </c>
      <c r="I355" t="s">
        <v>667</v>
      </c>
      <c r="J355" t="s">
        <v>683</v>
      </c>
      <c r="K355" t="s">
        <v>645</v>
      </c>
      <c r="L355" t="s">
        <v>684</v>
      </c>
      <c r="M355" t="s">
        <v>664</v>
      </c>
    </row>
    <row r="356" spans="1:13" hidden="1" x14ac:dyDescent="0.2">
      <c r="A356" s="10" t="s">
        <v>558</v>
      </c>
      <c r="B356" t="s">
        <v>70</v>
      </c>
      <c r="C356" t="s">
        <v>658</v>
      </c>
      <c r="D356" t="s">
        <v>659</v>
      </c>
      <c r="E356" s="10" t="b">
        <f>IF(ISERROR(VLOOKUP( LEFT(B356, LEN(B356) - IF(ISNUMBER(RIGHT(B356, 1) * 1), 1, 0)),metadata_testudines!B$1:B$60,1,FALSE)),FALSE,TRUE)</f>
        <v>1</v>
      </c>
      <c r="F356" t="s">
        <v>660</v>
      </c>
      <c r="G356" t="s">
        <v>666</v>
      </c>
      <c r="H356">
        <v>62.8</v>
      </c>
      <c r="I356" t="s">
        <v>667</v>
      </c>
      <c r="J356" t="s">
        <v>668</v>
      </c>
      <c r="K356" t="s">
        <v>647</v>
      </c>
      <c r="L356" t="s">
        <v>664</v>
      </c>
      <c r="M356" t="s">
        <v>664</v>
      </c>
    </row>
    <row r="357" spans="1:13" hidden="1" x14ac:dyDescent="0.2">
      <c r="A357" s="10" t="s">
        <v>558</v>
      </c>
      <c r="B357" t="s">
        <v>70</v>
      </c>
      <c r="C357" t="s">
        <v>658</v>
      </c>
      <c r="D357" t="s">
        <v>659</v>
      </c>
      <c r="E357" s="10" t="b">
        <f>IF(ISERROR(VLOOKUP( LEFT(B357, LEN(B357) - IF(ISNUMBER(RIGHT(B357, 1) * 1), 1, 0)),metadata_testudines!B$1:B$60,1,FALSE)),FALSE,TRUE)</f>
        <v>1</v>
      </c>
      <c r="F357" t="s">
        <v>681</v>
      </c>
      <c r="G357" t="s">
        <v>682</v>
      </c>
      <c r="H357">
        <v>0.94</v>
      </c>
      <c r="I357" t="s">
        <v>667</v>
      </c>
      <c r="J357" t="s">
        <v>683</v>
      </c>
      <c r="K357" t="s">
        <v>645</v>
      </c>
      <c r="L357" t="s">
        <v>684</v>
      </c>
      <c r="M357" t="s">
        <v>664</v>
      </c>
    </row>
    <row r="358" spans="1:13" hidden="1" x14ac:dyDescent="0.2">
      <c r="A358" s="10" t="s">
        <v>558</v>
      </c>
      <c r="B358" t="s">
        <v>70</v>
      </c>
      <c r="C358" t="s">
        <v>658</v>
      </c>
      <c r="D358" t="s">
        <v>659</v>
      </c>
      <c r="E358" s="10" t="b">
        <f>IF(ISERROR(VLOOKUP( LEFT(B358, LEN(B358) - IF(ISNUMBER(RIGHT(B358, 1) * 1), 1, 0)),metadata_testudines!B$1:B$60,1,FALSE)),FALSE,TRUE)</f>
        <v>1</v>
      </c>
      <c r="F358" t="s">
        <v>660</v>
      </c>
      <c r="G358" t="s">
        <v>669</v>
      </c>
      <c r="H358">
        <v>4017.75</v>
      </c>
      <c r="I358" t="s">
        <v>662</v>
      </c>
      <c r="J358" t="s">
        <v>670</v>
      </c>
      <c r="K358" t="s">
        <v>647</v>
      </c>
      <c r="L358" t="s">
        <v>647</v>
      </c>
      <c r="M358" t="s">
        <v>664</v>
      </c>
    </row>
    <row r="359" spans="1:13" hidden="1" x14ac:dyDescent="0.2">
      <c r="A359" s="10" t="s">
        <v>558</v>
      </c>
      <c r="B359" t="s">
        <v>70</v>
      </c>
      <c r="C359" t="s">
        <v>658</v>
      </c>
      <c r="D359" t="s">
        <v>659</v>
      </c>
      <c r="E359" s="10" t="b">
        <f>IF(ISERROR(VLOOKUP( LEFT(B359, LEN(B359) - IF(ISNUMBER(RIGHT(B359, 1) * 1), 1, 0)),metadata_testudines!B$1:B$60,1,FALSE)),FALSE,TRUE)</f>
        <v>1</v>
      </c>
      <c r="F359" t="s">
        <v>681</v>
      </c>
      <c r="G359" t="s">
        <v>685</v>
      </c>
      <c r="H359">
        <v>0.94</v>
      </c>
      <c r="I359" t="s">
        <v>667</v>
      </c>
      <c r="J359" t="s">
        <v>683</v>
      </c>
      <c r="K359" t="s">
        <v>645</v>
      </c>
      <c r="L359" t="s">
        <v>684</v>
      </c>
      <c r="M359" t="s">
        <v>664</v>
      </c>
    </row>
    <row r="360" spans="1:13" hidden="1" x14ac:dyDescent="0.2">
      <c r="A360" s="10" t="s">
        <v>558</v>
      </c>
      <c r="B360" t="s">
        <v>70</v>
      </c>
      <c r="C360" t="s">
        <v>658</v>
      </c>
      <c r="D360" t="s">
        <v>659</v>
      </c>
      <c r="E360" s="10" t="b">
        <f>IF(ISERROR(VLOOKUP( LEFT(B360, LEN(B360) - IF(ISNUMBER(RIGHT(B360, 1) * 1), 1, 0)),metadata_testudines!B$1:B$60,1,FALSE)),FALSE,TRUE)</f>
        <v>1</v>
      </c>
      <c r="F360" t="s">
        <v>691</v>
      </c>
      <c r="G360" t="s">
        <v>692</v>
      </c>
      <c r="H360">
        <v>1</v>
      </c>
      <c r="I360" t="s">
        <v>693</v>
      </c>
      <c r="J360" t="s">
        <v>694</v>
      </c>
      <c r="K360" t="s">
        <v>647</v>
      </c>
      <c r="L360" t="s">
        <v>664</v>
      </c>
      <c r="M360" t="s">
        <v>664</v>
      </c>
    </row>
    <row r="361" spans="1:13" hidden="1" x14ac:dyDescent="0.2">
      <c r="A361" s="10" t="s">
        <v>558</v>
      </c>
      <c r="B361" t="s">
        <v>70</v>
      </c>
      <c r="C361" t="s">
        <v>658</v>
      </c>
      <c r="D361" t="s">
        <v>659</v>
      </c>
      <c r="E361" s="10" t="b">
        <f>IF(ISERROR(VLOOKUP( LEFT(B361, LEN(B361) - IF(ISNUMBER(RIGHT(B361, 1) * 1), 1, 0)),metadata_testudines!B$1:B$60,1,FALSE)),FALSE,TRUE)</f>
        <v>1</v>
      </c>
      <c r="F361" t="s">
        <v>660</v>
      </c>
      <c r="G361" t="s">
        <v>666</v>
      </c>
      <c r="H361">
        <v>8.5</v>
      </c>
      <c r="I361" t="s">
        <v>667</v>
      </c>
      <c r="J361" t="s">
        <v>668</v>
      </c>
      <c r="K361" t="s">
        <v>647</v>
      </c>
      <c r="L361" t="s">
        <v>664</v>
      </c>
      <c r="M361" t="s">
        <v>664</v>
      </c>
    </row>
    <row r="362" spans="1:13" hidden="1" x14ac:dyDescent="0.2">
      <c r="A362" s="10" t="s">
        <v>558</v>
      </c>
      <c r="B362" t="s">
        <v>70</v>
      </c>
      <c r="C362" t="s">
        <v>658</v>
      </c>
      <c r="D362" t="s">
        <v>659</v>
      </c>
      <c r="E362" s="10" t="b">
        <f>IF(ISERROR(VLOOKUP( LEFT(B362, LEN(B362) - IF(ISNUMBER(RIGHT(B362, 1) * 1), 1, 0)),metadata_testudines!B$1:B$60,1,FALSE)),FALSE,TRUE)</f>
        <v>1</v>
      </c>
      <c r="F362" t="s">
        <v>681</v>
      </c>
      <c r="G362" t="s">
        <v>682</v>
      </c>
      <c r="H362">
        <v>0.82</v>
      </c>
      <c r="I362" t="s">
        <v>667</v>
      </c>
      <c r="J362" t="s">
        <v>683</v>
      </c>
      <c r="K362" t="s">
        <v>645</v>
      </c>
      <c r="L362" t="s">
        <v>684</v>
      </c>
      <c r="M362" t="s">
        <v>664</v>
      </c>
    </row>
    <row r="363" spans="1:13" hidden="1" x14ac:dyDescent="0.2">
      <c r="A363" s="10" t="s">
        <v>558</v>
      </c>
      <c r="B363" t="s">
        <v>70</v>
      </c>
      <c r="C363" t="s">
        <v>658</v>
      </c>
      <c r="D363" t="s">
        <v>659</v>
      </c>
      <c r="E363" s="10" t="b">
        <f>IF(ISERROR(VLOOKUP( LEFT(B363, LEN(B363) - IF(ISNUMBER(RIGHT(B363, 1) * 1), 1, 0)),metadata_testudines!B$1:B$60,1,FALSE)),FALSE,TRUE)</f>
        <v>1</v>
      </c>
      <c r="F363" t="s">
        <v>681</v>
      </c>
      <c r="G363" t="s">
        <v>685</v>
      </c>
      <c r="H363">
        <v>0.88</v>
      </c>
      <c r="I363" t="s">
        <v>667</v>
      </c>
      <c r="J363" t="s">
        <v>683</v>
      </c>
      <c r="K363" t="s">
        <v>645</v>
      </c>
      <c r="L363" t="s">
        <v>684</v>
      </c>
      <c r="M363" t="s">
        <v>664</v>
      </c>
    </row>
    <row r="364" spans="1:13" hidden="1" x14ac:dyDescent="0.2">
      <c r="A364" s="10" t="s">
        <v>558</v>
      </c>
      <c r="B364" t="s">
        <v>70</v>
      </c>
      <c r="C364" t="s">
        <v>658</v>
      </c>
      <c r="D364" t="s">
        <v>659</v>
      </c>
      <c r="E364" s="10" t="b">
        <f>IF(ISERROR(VLOOKUP( LEFT(B364, LEN(B364) - IF(ISNUMBER(RIGHT(B364, 1) * 1), 1, 0)),metadata_testudines!B$1:B$60,1,FALSE)),FALSE,TRUE)</f>
        <v>1</v>
      </c>
      <c r="F364" t="s">
        <v>681</v>
      </c>
      <c r="G364" t="s">
        <v>685</v>
      </c>
      <c r="H364">
        <v>0.82</v>
      </c>
      <c r="I364" t="s">
        <v>667</v>
      </c>
      <c r="J364" t="s">
        <v>683</v>
      </c>
      <c r="K364" t="s">
        <v>645</v>
      </c>
      <c r="L364" t="s">
        <v>684</v>
      </c>
      <c r="M364" t="s">
        <v>664</v>
      </c>
    </row>
    <row r="365" spans="1:13" hidden="1" x14ac:dyDescent="0.2">
      <c r="A365" s="10" t="s">
        <v>558</v>
      </c>
      <c r="B365" t="s">
        <v>70</v>
      </c>
      <c r="C365" t="s">
        <v>658</v>
      </c>
      <c r="D365" t="s">
        <v>659</v>
      </c>
      <c r="E365" s="10" t="b">
        <f>IF(ISERROR(VLOOKUP( LEFT(B365, LEN(B365) - IF(ISNUMBER(RIGHT(B365, 1) * 1), 1, 0)),metadata_testudines!B$1:B$60,1,FALSE)),FALSE,TRUE)</f>
        <v>1</v>
      </c>
      <c r="F365" t="s">
        <v>681</v>
      </c>
      <c r="G365" t="s">
        <v>685</v>
      </c>
      <c r="H365">
        <v>0.94</v>
      </c>
      <c r="I365" t="s">
        <v>667</v>
      </c>
      <c r="J365" t="s">
        <v>683</v>
      </c>
      <c r="K365" t="s">
        <v>645</v>
      </c>
      <c r="L365" t="s">
        <v>684</v>
      </c>
      <c r="M365" t="s">
        <v>664</v>
      </c>
    </row>
    <row r="366" spans="1:13" hidden="1" x14ac:dyDescent="0.2">
      <c r="A366" s="10" t="s">
        <v>558</v>
      </c>
      <c r="B366" t="s">
        <v>70</v>
      </c>
      <c r="C366" t="s">
        <v>658</v>
      </c>
      <c r="D366" t="s">
        <v>659</v>
      </c>
      <c r="E366" s="10" t="b">
        <f>IF(ISERROR(VLOOKUP( LEFT(B366, LEN(B366) - IF(ISNUMBER(RIGHT(B366, 1) * 1), 1, 0)),metadata_testudines!B$1:B$60,1,FALSE)),FALSE,TRUE)</f>
        <v>1</v>
      </c>
      <c r="F366" t="s">
        <v>660</v>
      </c>
      <c r="G366" t="s">
        <v>669</v>
      </c>
      <c r="H366">
        <v>7304.8</v>
      </c>
      <c r="I366" t="s">
        <v>662</v>
      </c>
      <c r="J366" t="s">
        <v>670</v>
      </c>
      <c r="K366" t="s">
        <v>647</v>
      </c>
      <c r="L366" t="s">
        <v>647</v>
      </c>
      <c r="M366" t="s">
        <v>664</v>
      </c>
    </row>
    <row r="367" spans="1:13" hidden="1" x14ac:dyDescent="0.2">
      <c r="A367" s="10" t="s">
        <v>558</v>
      </c>
      <c r="B367" t="s">
        <v>70</v>
      </c>
      <c r="C367" t="s">
        <v>658</v>
      </c>
      <c r="D367" t="s">
        <v>659</v>
      </c>
      <c r="E367" s="10" t="b">
        <f>IF(ISERROR(VLOOKUP( LEFT(B367, LEN(B367) - IF(ISNUMBER(RIGHT(B367, 1) * 1), 1, 0)),metadata_testudines!B$1:B$60,1,FALSE)),FALSE,TRUE)</f>
        <v>1</v>
      </c>
      <c r="F367" t="s">
        <v>660</v>
      </c>
      <c r="G367" t="s">
        <v>665</v>
      </c>
      <c r="H367">
        <v>1</v>
      </c>
      <c r="I367" t="s">
        <v>662</v>
      </c>
      <c r="J367" t="s">
        <v>663</v>
      </c>
      <c r="K367" t="s">
        <v>647</v>
      </c>
      <c r="L367" t="s">
        <v>664</v>
      </c>
      <c r="M367" t="s">
        <v>664</v>
      </c>
    </row>
    <row r="368" spans="1:13" hidden="1" x14ac:dyDescent="0.2">
      <c r="A368" s="10" t="s">
        <v>558</v>
      </c>
      <c r="B368" t="s">
        <v>70</v>
      </c>
      <c r="C368" t="s">
        <v>658</v>
      </c>
      <c r="D368" t="s">
        <v>659</v>
      </c>
      <c r="E368" s="10" t="b">
        <f>IF(ISERROR(VLOOKUP( LEFT(B368, LEN(B368) - IF(ISNUMBER(RIGHT(B368, 1) * 1), 1, 0)),metadata_testudines!B$1:B$60,1,FALSE)),FALSE,TRUE)</f>
        <v>1</v>
      </c>
      <c r="F368" t="s">
        <v>681</v>
      </c>
      <c r="G368" t="s">
        <v>682</v>
      </c>
      <c r="H368">
        <v>0.94</v>
      </c>
      <c r="I368" t="s">
        <v>667</v>
      </c>
      <c r="J368" t="s">
        <v>683</v>
      </c>
      <c r="K368" t="s">
        <v>645</v>
      </c>
      <c r="L368" t="s">
        <v>684</v>
      </c>
      <c r="M368" t="s">
        <v>664</v>
      </c>
    </row>
    <row r="369" spans="1:13" hidden="1" x14ac:dyDescent="0.2">
      <c r="A369" s="10" t="s">
        <v>558</v>
      </c>
      <c r="B369" t="s">
        <v>70</v>
      </c>
      <c r="C369" t="s">
        <v>658</v>
      </c>
      <c r="D369" t="s">
        <v>659</v>
      </c>
      <c r="E369" s="10" t="b">
        <f>IF(ISERROR(VLOOKUP( LEFT(B369, LEN(B369) - IF(ISNUMBER(RIGHT(B369, 1) * 1), 1, 0)),metadata_testudines!B$1:B$60,1,FALSE)),FALSE,TRUE)</f>
        <v>1</v>
      </c>
      <c r="F369" t="s">
        <v>671</v>
      </c>
      <c r="G369" t="s">
        <v>698</v>
      </c>
      <c r="H369">
        <v>5500</v>
      </c>
      <c r="I369" t="s">
        <v>662</v>
      </c>
      <c r="J369" t="s">
        <v>670</v>
      </c>
      <c r="K369" t="s">
        <v>647</v>
      </c>
      <c r="L369" t="s">
        <v>646</v>
      </c>
      <c r="M369" t="s">
        <v>664</v>
      </c>
    </row>
    <row r="370" spans="1:13" hidden="1" x14ac:dyDescent="0.2">
      <c r="A370" s="10" t="s">
        <v>558</v>
      </c>
      <c r="B370" t="s">
        <v>70</v>
      </c>
      <c r="C370" t="s">
        <v>658</v>
      </c>
      <c r="D370" t="s">
        <v>659</v>
      </c>
      <c r="E370" s="10" t="b">
        <f>IF(ISERROR(VLOOKUP( LEFT(B370, LEN(B370) - IF(ISNUMBER(RIGHT(B370, 1) * 1), 1, 0)),metadata_testudines!B$1:B$60,1,FALSE)),FALSE,TRUE)</f>
        <v>1</v>
      </c>
      <c r="F370" t="s">
        <v>681</v>
      </c>
      <c r="G370" t="s">
        <v>682</v>
      </c>
      <c r="H370">
        <v>0.82</v>
      </c>
      <c r="I370" t="s">
        <v>667</v>
      </c>
      <c r="J370" t="s">
        <v>683</v>
      </c>
      <c r="K370" t="s">
        <v>645</v>
      </c>
      <c r="L370" t="s">
        <v>684</v>
      </c>
      <c r="M370" t="s">
        <v>664</v>
      </c>
    </row>
    <row r="371" spans="1:13" hidden="1" x14ac:dyDescent="0.2">
      <c r="A371" s="10" t="s">
        <v>558</v>
      </c>
      <c r="B371" t="s">
        <v>70</v>
      </c>
      <c r="C371" t="s">
        <v>658</v>
      </c>
      <c r="D371" t="s">
        <v>659</v>
      </c>
      <c r="E371" s="10" t="b">
        <f>IF(ISERROR(VLOOKUP( LEFT(B371, LEN(B371) - IF(ISNUMBER(RIGHT(B371, 1) * 1), 1, 0)),metadata_testudines!B$1:B$60,1,FALSE)),FALSE,TRUE)</f>
        <v>1</v>
      </c>
      <c r="F371" t="s">
        <v>660</v>
      </c>
      <c r="G371" t="s">
        <v>661</v>
      </c>
      <c r="H371">
        <v>12</v>
      </c>
      <c r="I371" t="s">
        <v>662</v>
      </c>
      <c r="J371" t="s">
        <v>663</v>
      </c>
      <c r="K371" t="s">
        <v>647</v>
      </c>
      <c r="L371" t="s">
        <v>664</v>
      </c>
      <c r="M371" t="s">
        <v>664</v>
      </c>
    </row>
    <row r="372" spans="1:13" hidden="1" x14ac:dyDescent="0.2">
      <c r="A372" s="10" t="s">
        <v>558</v>
      </c>
      <c r="B372" t="s">
        <v>70</v>
      </c>
      <c r="C372" t="s">
        <v>658</v>
      </c>
      <c r="D372" t="s">
        <v>659</v>
      </c>
      <c r="E372" s="10" t="b">
        <f>IF(ISERROR(VLOOKUP( LEFT(B372, LEN(B372) - IF(ISNUMBER(RIGHT(B372, 1) * 1), 1, 0)),metadata_testudines!B$1:B$60,1,FALSE)),FALSE,TRUE)</f>
        <v>1</v>
      </c>
      <c r="F372" t="s">
        <v>681</v>
      </c>
      <c r="G372" t="s">
        <v>682</v>
      </c>
      <c r="H372">
        <v>0.47</v>
      </c>
      <c r="I372" t="s">
        <v>667</v>
      </c>
      <c r="J372" t="s">
        <v>683</v>
      </c>
      <c r="K372" t="s">
        <v>645</v>
      </c>
      <c r="L372" t="s">
        <v>684</v>
      </c>
      <c r="M372" t="s">
        <v>664</v>
      </c>
    </row>
    <row r="373" spans="1:13" hidden="1" x14ac:dyDescent="0.2">
      <c r="A373" s="10" t="s">
        <v>558</v>
      </c>
      <c r="B373" t="s">
        <v>70</v>
      </c>
      <c r="C373" t="s">
        <v>658</v>
      </c>
      <c r="D373" t="s">
        <v>659</v>
      </c>
      <c r="E373" s="10" t="b">
        <f>IF(ISERROR(VLOOKUP( LEFT(B373, LEN(B373) - IF(ISNUMBER(RIGHT(B373, 1) * 1), 1, 0)),metadata_testudines!B$1:B$60,1,FALSE)),FALSE,TRUE)</f>
        <v>1</v>
      </c>
      <c r="F373" t="s">
        <v>691</v>
      </c>
      <c r="G373" t="s">
        <v>692</v>
      </c>
      <c r="H373">
        <v>1</v>
      </c>
      <c r="I373" t="s">
        <v>693</v>
      </c>
      <c r="J373" t="s">
        <v>694</v>
      </c>
      <c r="K373" t="s">
        <v>647</v>
      </c>
      <c r="L373" t="s">
        <v>664</v>
      </c>
      <c r="M373" t="s">
        <v>664</v>
      </c>
    </row>
    <row r="374" spans="1:13" hidden="1" x14ac:dyDescent="0.2">
      <c r="A374" s="10" t="s">
        <v>558</v>
      </c>
      <c r="B374" t="s">
        <v>70</v>
      </c>
      <c r="C374" t="s">
        <v>658</v>
      </c>
      <c r="D374" t="s">
        <v>659</v>
      </c>
      <c r="E374" s="10" t="b">
        <f>IF(ISERROR(VLOOKUP( LEFT(B374, LEN(B374) - IF(ISNUMBER(RIGHT(B374, 1) * 1), 1, 0)),metadata_testudines!B$1:B$60,1,FALSE)),FALSE,TRUE)</f>
        <v>1</v>
      </c>
      <c r="F374" t="s">
        <v>691</v>
      </c>
      <c r="G374" t="s">
        <v>692</v>
      </c>
      <c r="H374">
        <v>1</v>
      </c>
      <c r="I374" t="s">
        <v>693</v>
      </c>
      <c r="J374" t="s">
        <v>694</v>
      </c>
      <c r="K374" t="s">
        <v>647</v>
      </c>
      <c r="L374" t="s">
        <v>664</v>
      </c>
      <c r="M374" t="s">
        <v>664</v>
      </c>
    </row>
    <row r="375" spans="1:13" hidden="1" x14ac:dyDescent="0.2">
      <c r="A375" s="10" t="s">
        <v>558</v>
      </c>
      <c r="B375" t="s">
        <v>70</v>
      </c>
      <c r="C375" t="s">
        <v>658</v>
      </c>
      <c r="D375" t="s">
        <v>659</v>
      </c>
      <c r="E375" s="10" t="b">
        <f>IF(ISERROR(VLOOKUP( LEFT(B375, LEN(B375) - IF(ISNUMBER(RIGHT(B375, 1) * 1), 1, 0)),metadata_testudines!B$1:B$60,1,FALSE)),FALSE,TRUE)</f>
        <v>1</v>
      </c>
      <c r="F375" t="s">
        <v>660</v>
      </c>
      <c r="G375" t="s">
        <v>675</v>
      </c>
      <c r="H375">
        <v>5500</v>
      </c>
      <c r="I375" t="s">
        <v>662</v>
      </c>
      <c r="J375" t="s">
        <v>670</v>
      </c>
      <c r="K375" t="s">
        <v>647</v>
      </c>
      <c r="L375" t="s">
        <v>646</v>
      </c>
      <c r="M375" t="s">
        <v>664</v>
      </c>
    </row>
    <row r="376" spans="1:13" hidden="1" x14ac:dyDescent="0.2">
      <c r="A376" s="10" t="s">
        <v>558</v>
      </c>
      <c r="B376" t="s">
        <v>70</v>
      </c>
      <c r="C376" t="s">
        <v>658</v>
      </c>
      <c r="D376" t="s">
        <v>659</v>
      </c>
      <c r="E376" s="10" t="b">
        <f>IF(ISERROR(VLOOKUP( LEFT(B376, LEN(B376) - IF(ISNUMBER(RIGHT(B376, 1) * 1), 1, 0)),metadata_testudines!B$1:B$60,1,FALSE)),FALSE,TRUE)</f>
        <v>1</v>
      </c>
      <c r="F376" t="s">
        <v>660</v>
      </c>
      <c r="G376" t="s">
        <v>676</v>
      </c>
      <c r="H376">
        <v>5500</v>
      </c>
      <c r="I376" t="s">
        <v>662</v>
      </c>
      <c r="J376" t="s">
        <v>670</v>
      </c>
      <c r="K376" t="s">
        <v>647</v>
      </c>
      <c r="L376" t="s">
        <v>677</v>
      </c>
      <c r="M376" t="s">
        <v>664</v>
      </c>
    </row>
    <row r="377" spans="1:13" hidden="1" x14ac:dyDescent="0.2">
      <c r="A377" s="10" t="s">
        <v>558</v>
      </c>
      <c r="B377" t="s">
        <v>70</v>
      </c>
      <c r="C377" t="s">
        <v>658</v>
      </c>
      <c r="D377" t="s">
        <v>659</v>
      </c>
      <c r="E377" s="10" t="b">
        <f>IF(ISERROR(VLOOKUP( LEFT(B377, LEN(B377) - IF(ISNUMBER(RIGHT(B377, 1) * 1), 1, 0)),metadata_testudines!B$1:B$60,1,FALSE)),FALSE,TRUE)</f>
        <v>1</v>
      </c>
      <c r="F377" t="s">
        <v>681</v>
      </c>
      <c r="G377" t="s">
        <v>682</v>
      </c>
      <c r="H377">
        <v>0.82</v>
      </c>
      <c r="I377" t="s">
        <v>667</v>
      </c>
      <c r="J377" t="s">
        <v>683</v>
      </c>
      <c r="K377" t="s">
        <v>645</v>
      </c>
      <c r="L377" t="s">
        <v>684</v>
      </c>
      <c r="M377" t="s">
        <v>664</v>
      </c>
    </row>
    <row r="378" spans="1:13" hidden="1" x14ac:dyDescent="0.2">
      <c r="A378" s="10" t="s">
        <v>558</v>
      </c>
      <c r="B378" t="s">
        <v>70</v>
      </c>
      <c r="C378" t="s">
        <v>658</v>
      </c>
      <c r="D378" t="s">
        <v>659</v>
      </c>
      <c r="E378" s="10" t="b">
        <f>IF(ISERROR(VLOOKUP( LEFT(B378, LEN(B378) - IF(ISNUMBER(RIGHT(B378, 1) * 1), 1, 0)),metadata_testudines!B$1:B$60,1,FALSE)),FALSE,TRUE)</f>
        <v>1</v>
      </c>
      <c r="F378" t="s">
        <v>691</v>
      </c>
      <c r="G378" t="s">
        <v>692</v>
      </c>
      <c r="H378">
        <v>1</v>
      </c>
      <c r="I378" t="s">
        <v>693</v>
      </c>
      <c r="J378" t="s">
        <v>694</v>
      </c>
      <c r="K378" t="s">
        <v>647</v>
      </c>
      <c r="L378" t="s">
        <v>664</v>
      </c>
      <c r="M378" t="s">
        <v>664</v>
      </c>
    </row>
    <row r="379" spans="1:13" hidden="1" x14ac:dyDescent="0.2">
      <c r="A379" s="10" t="s">
        <v>558</v>
      </c>
      <c r="B379" t="s">
        <v>70</v>
      </c>
      <c r="C379" t="s">
        <v>658</v>
      </c>
      <c r="D379" t="s">
        <v>659</v>
      </c>
      <c r="E379" s="10" t="b">
        <f>IF(ISERROR(VLOOKUP( LEFT(B379, LEN(B379) - IF(ISNUMBER(RIGHT(B379, 1) * 1), 1, 0)),metadata_testudines!B$1:B$60,1,FALSE)),FALSE,TRUE)</f>
        <v>1</v>
      </c>
      <c r="F379" t="s">
        <v>681</v>
      </c>
      <c r="G379" t="s">
        <v>685</v>
      </c>
      <c r="H379">
        <v>0.88</v>
      </c>
      <c r="I379" t="s">
        <v>667</v>
      </c>
      <c r="J379" t="s">
        <v>683</v>
      </c>
      <c r="K379" t="s">
        <v>645</v>
      </c>
      <c r="L379" t="s">
        <v>684</v>
      </c>
      <c r="M379" t="s">
        <v>664</v>
      </c>
    </row>
    <row r="380" spans="1:13" hidden="1" x14ac:dyDescent="0.2">
      <c r="A380" s="10" t="s">
        <v>558</v>
      </c>
      <c r="B380" t="s">
        <v>70</v>
      </c>
      <c r="C380" t="s">
        <v>658</v>
      </c>
      <c r="D380" t="s">
        <v>659</v>
      </c>
      <c r="E380" s="10" t="b">
        <f>IF(ISERROR(VLOOKUP( LEFT(B380, LEN(B380) - IF(ISNUMBER(RIGHT(B380, 1) * 1), 1, 0)),metadata_testudines!B$1:B$60,1,FALSE)),FALSE,TRUE)</f>
        <v>1</v>
      </c>
      <c r="F380" t="s">
        <v>681</v>
      </c>
      <c r="G380" t="s">
        <v>682</v>
      </c>
      <c r="H380">
        <v>0.47</v>
      </c>
      <c r="I380" t="s">
        <v>667</v>
      </c>
      <c r="J380" t="s">
        <v>683</v>
      </c>
      <c r="K380" t="s">
        <v>645</v>
      </c>
      <c r="L380" t="s">
        <v>684</v>
      </c>
      <c r="M380" t="s">
        <v>664</v>
      </c>
    </row>
    <row r="381" spans="1:13" hidden="1" x14ac:dyDescent="0.2">
      <c r="A381" s="10" t="s">
        <v>558</v>
      </c>
      <c r="B381" t="s">
        <v>70</v>
      </c>
      <c r="C381" t="s">
        <v>658</v>
      </c>
      <c r="D381" t="s">
        <v>659</v>
      </c>
      <c r="E381" s="10" t="b">
        <f>IF(ISERROR(VLOOKUP( LEFT(B381, LEN(B381) - IF(ISNUMBER(RIGHT(B381, 1) * 1), 1, 0)),metadata_testudines!B$1:B$60,1,FALSE)),FALSE,TRUE)</f>
        <v>1</v>
      </c>
      <c r="F381" t="s">
        <v>681</v>
      </c>
      <c r="G381" t="s">
        <v>685</v>
      </c>
      <c r="H381">
        <v>0.94</v>
      </c>
      <c r="I381" t="s">
        <v>667</v>
      </c>
      <c r="J381" t="s">
        <v>683</v>
      </c>
      <c r="K381" t="s">
        <v>645</v>
      </c>
      <c r="L381" t="s">
        <v>684</v>
      </c>
      <c r="M381" t="s">
        <v>664</v>
      </c>
    </row>
    <row r="382" spans="1:13" hidden="1" x14ac:dyDescent="0.2">
      <c r="A382" s="10" t="s">
        <v>558</v>
      </c>
      <c r="B382" t="s">
        <v>70</v>
      </c>
      <c r="C382" t="s">
        <v>658</v>
      </c>
      <c r="D382" t="s">
        <v>659</v>
      </c>
      <c r="E382" s="10" t="b">
        <f>IF(ISERROR(VLOOKUP( LEFT(B382, LEN(B382) - IF(ISNUMBER(RIGHT(B382, 1) * 1), 1, 0)),metadata_testudines!B$1:B$60,1,FALSE)),FALSE,TRUE)</f>
        <v>1</v>
      </c>
      <c r="F382" t="s">
        <v>660</v>
      </c>
      <c r="G382" t="s">
        <v>661</v>
      </c>
      <c r="H382">
        <v>4</v>
      </c>
      <c r="I382" t="s">
        <v>662</v>
      </c>
      <c r="J382" t="s">
        <v>663</v>
      </c>
      <c r="K382" t="s">
        <v>647</v>
      </c>
      <c r="L382" t="s">
        <v>664</v>
      </c>
      <c r="M382" t="s">
        <v>664</v>
      </c>
    </row>
    <row r="383" spans="1:13" hidden="1" x14ac:dyDescent="0.2">
      <c r="A383" s="10" t="s">
        <v>558</v>
      </c>
      <c r="B383" t="s">
        <v>70</v>
      </c>
      <c r="C383" t="s">
        <v>658</v>
      </c>
      <c r="D383" t="s">
        <v>659</v>
      </c>
      <c r="E383" s="10" t="b">
        <f>IF(ISERROR(VLOOKUP( LEFT(B383, LEN(B383) - IF(ISNUMBER(RIGHT(B383, 1) * 1), 1, 0)),metadata_testudines!B$1:B$60,1,FALSE)),FALSE,TRUE)</f>
        <v>1</v>
      </c>
      <c r="F383" t="s">
        <v>681</v>
      </c>
      <c r="G383" t="s">
        <v>682</v>
      </c>
      <c r="H383">
        <v>0.94</v>
      </c>
      <c r="I383" t="s">
        <v>667</v>
      </c>
      <c r="J383" t="s">
        <v>683</v>
      </c>
      <c r="K383" t="s">
        <v>645</v>
      </c>
      <c r="L383" t="s">
        <v>684</v>
      </c>
      <c r="M383" t="s">
        <v>664</v>
      </c>
    </row>
    <row r="384" spans="1:13" hidden="1" x14ac:dyDescent="0.2">
      <c r="A384" s="10" t="s">
        <v>558</v>
      </c>
      <c r="B384" t="s">
        <v>70</v>
      </c>
      <c r="C384" t="s">
        <v>658</v>
      </c>
      <c r="D384" t="s">
        <v>659</v>
      </c>
      <c r="E384" s="10" t="b">
        <f>IF(ISERROR(VLOOKUP( LEFT(B384, LEN(B384) - IF(ISNUMBER(RIGHT(B384, 1) * 1), 1, 0)),metadata_testudines!B$1:B$60,1,FALSE)),FALSE,TRUE)</f>
        <v>1</v>
      </c>
      <c r="F384" t="s">
        <v>671</v>
      </c>
      <c r="G384" t="s">
        <v>699</v>
      </c>
      <c r="H384">
        <v>5500</v>
      </c>
      <c r="I384" t="s">
        <v>662</v>
      </c>
      <c r="J384" t="s">
        <v>670</v>
      </c>
      <c r="K384" t="s">
        <v>647</v>
      </c>
      <c r="L384" t="s">
        <v>677</v>
      </c>
      <c r="M384" t="s">
        <v>664</v>
      </c>
    </row>
    <row r="385" spans="1:13" hidden="1" x14ac:dyDescent="0.2">
      <c r="A385" s="10" t="s">
        <v>558</v>
      </c>
      <c r="B385" t="s">
        <v>70</v>
      </c>
      <c r="C385" t="s">
        <v>658</v>
      </c>
      <c r="D385" t="s">
        <v>659</v>
      </c>
      <c r="E385" s="10" t="b">
        <f>IF(ISERROR(VLOOKUP( LEFT(B385, LEN(B385) - IF(ISNUMBER(RIGHT(B385, 1) * 1), 1, 0)),metadata_testudines!B$1:B$60,1,FALSE)),FALSE,TRUE)</f>
        <v>1</v>
      </c>
      <c r="F385" t="s">
        <v>660</v>
      </c>
      <c r="G385" t="s">
        <v>669</v>
      </c>
      <c r="H385">
        <v>5478.6</v>
      </c>
      <c r="I385" t="s">
        <v>662</v>
      </c>
      <c r="J385" t="s">
        <v>670</v>
      </c>
      <c r="K385" t="s">
        <v>647</v>
      </c>
      <c r="L385" t="s">
        <v>647</v>
      </c>
      <c r="M385" t="s">
        <v>664</v>
      </c>
    </row>
    <row r="386" spans="1:13" hidden="1" x14ac:dyDescent="0.2">
      <c r="A386" s="10" t="s">
        <v>558</v>
      </c>
      <c r="B386" t="s">
        <v>70</v>
      </c>
      <c r="C386" t="s">
        <v>658</v>
      </c>
      <c r="D386" t="s">
        <v>659</v>
      </c>
      <c r="E386" s="10" t="b">
        <f>IF(ISERROR(VLOOKUP( LEFT(B386, LEN(B386) - IF(ISNUMBER(RIGHT(B386, 1) * 1), 1, 0)),metadata_testudines!B$1:B$60,1,FALSE)),FALSE,TRUE)</f>
        <v>1</v>
      </c>
      <c r="F386" t="s">
        <v>660</v>
      </c>
      <c r="G386" t="s">
        <v>665</v>
      </c>
      <c r="H386">
        <v>1</v>
      </c>
      <c r="I386" t="s">
        <v>662</v>
      </c>
      <c r="J386" t="s">
        <v>663</v>
      </c>
      <c r="K386" t="s">
        <v>647</v>
      </c>
      <c r="L386" t="s">
        <v>664</v>
      </c>
      <c r="M386" t="s">
        <v>664</v>
      </c>
    </row>
    <row r="387" spans="1:13" hidden="1" x14ac:dyDescent="0.2">
      <c r="A387" s="10" t="s">
        <v>558</v>
      </c>
      <c r="B387" t="s">
        <v>70</v>
      </c>
      <c r="C387" t="s">
        <v>658</v>
      </c>
      <c r="D387" t="s">
        <v>659</v>
      </c>
      <c r="E387" s="10" t="b">
        <f>IF(ISERROR(VLOOKUP( LEFT(B387, LEN(B387) - IF(ISNUMBER(RIGHT(B387, 1) * 1), 1, 0)),metadata_testudines!B$1:B$60,1,FALSE)),FALSE,TRUE)</f>
        <v>1</v>
      </c>
      <c r="F387" t="s">
        <v>660</v>
      </c>
      <c r="G387" t="s">
        <v>665</v>
      </c>
      <c r="H387">
        <v>2</v>
      </c>
      <c r="I387" t="s">
        <v>662</v>
      </c>
      <c r="J387" t="s">
        <v>663</v>
      </c>
      <c r="K387" t="s">
        <v>647</v>
      </c>
      <c r="L387" t="s">
        <v>664</v>
      </c>
      <c r="M387" t="s">
        <v>664</v>
      </c>
    </row>
    <row r="388" spans="1:13" hidden="1" x14ac:dyDescent="0.2">
      <c r="A388" s="10" t="s">
        <v>558</v>
      </c>
      <c r="B388" t="s">
        <v>70</v>
      </c>
      <c r="C388" t="s">
        <v>658</v>
      </c>
      <c r="D388" t="s">
        <v>659</v>
      </c>
      <c r="E388" s="10" t="b">
        <f>IF(ISERROR(VLOOKUP( LEFT(B388, LEN(B388) - IF(ISNUMBER(RIGHT(B388, 1) * 1), 1, 0)),metadata_testudines!B$1:B$60,1,FALSE)),FALSE,TRUE)</f>
        <v>1</v>
      </c>
      <c r="F388" t="s">
        <v>681</v>
      </c>
      <c r="G388" t="s">
        <v>682</v>
      </c>
      <c r="H388">
        <v>0.88</v>
      </c>
      <c r="I388" t="s">
        <v>667</v>
      </c>
      <c r="J388" t="s">
        <v>683</v>
      </c>
      <c r="K388" t="s">
        <v>645</v>
      </c>
      <c r="L388" t="s">
        <v>684</v>
      </c>
      <c r="M388" t="s">
        <v>664</v>
      </c>
    </row>
    <row r="389" spans="1:13" hidden="1" x14ac:dyDescent="0.2">
      <c r="A389" s="10" t="s">
        <v>558</v>
      </c>
      <c r="B389" t="s">
        <v>70</v>
      </c>
      <c r="C389" t="s">
        <v>658</v>
      </c>
      <c r="D389" t="s">
        <v>659</v>
      </c>
      <c r="E389" s="10" t="b">
        <f>IF(ISERROR(VLOOKUP( LEFT(B389, LEN(B389) - IF(ISNUMBER(RIGHT(B389, 1) * 1), 1, 0)),metadata_testudines!B$1:B$60,1,FALSE)),FALSE,TRUE)</f>
        <v>1</v>
      </c>
      <c r="F389" t="s">
        <v>681</v>
      </c>
      <c r="G389" t="s">
        <v>685</v>
      </c>
      <c r="H389">
        <v>0.47</v>
      </c>
      <c r="I389" t="s">
        <v>667</v>
      </c>
      <c r="J389" t="s">
        <v>683</v>
      </c>
      <c r="K389" t="s">
        <v>645</v>
      </c>
      <c r="L389" t="s">
        <v>684</v>
      </c>
      <c r="M389" t="s">
        <v>664</v>
      </c>
    </row>
    <row r="390" spans="1:13" hidden="1" x14ac:dyDescent="0.2">
      <c r="A390" s="10" t="s">
        <v>558</v>
      </c>
      <c r="B390" t="s">
        <v>70</v>
      </c>
      <c r="C390" t="s">
        <v>658</v>
      </c>
      <c r="D390" t="s">
        <v>659</v>
      </c>
      <c r="E390" s="10" t="b">
        <f>IF(ISERROR(VLOOKUP( LEFT(B390, LEN(B390) - IF(ISNUMBER(RIGHT(B390, 1) * 1), 1, 0)),metadata_testudines!B$1:B$60,1,FALSE)),FALSE,TRUE)</f>
        <v>1</v>
      </c>
      <c r="F390" t="s">
        <v>691</v>
      </c>
      <c r="G390" t="s">
        <v>692</v>
      </c>
      <c r="H390">
        <v>1</v>
      </c>
      <c r="I390" t="s">
        <v>693</v>
      </c>
      <c r="J390" t="s">
        <v>694</v>
      </c>
      <c r="K390" t="s">
        <v>647</v>
      </c>
      <c r="L390" t="s">
        <v>664</v>
      </c>
      <c r="M390" t="s">
        <v>664</v>
      </c>
    </row>
    <row r="391" spans="1:13" hidden="1" x14ac:dyDescent="0.2">
      <c r="A391" s="10" t="s">
        <v>558</v>
      </c>
      <c r="B391" t="s">
        <v>70</v>
      </c>
      <c r="C391" t="s">
        <v>658</v>
      </c>
      <c r="D391" t="s">
        <v>659</v>
      </c>
      <c r="E391" s="10" t="b">
        <f>IF(ISERROR(VLOOKUP( LEFT(B391, LEN(B391) - IF(ISNUMBER(RIGHT(B391, 1) * 1), 1, 0)),metadata_testudines!B$1:B$60,1,FALSE)),FALSE,TRUE)</f>
        <v>1</v>
      </c>
      <c r="F391" t="s">
        <v>681</v>
      </c>
      <c r="G391" t="s">
        <v>685</v>
      </c>
      <c r="H391">
        <v>0.82</v>
      </c>
      <c r="I391" t="s">
        <v>667</v>
      </c>
      <c r="J391" t="s">
        <v>683</v>
      </c>
      <c r="K391" t="s">
        <v>645</v>
      </c>
      <c r="L391" t="s">
        <v>684</v>
      </c>
      <c r="M391" t="s">
        <v>664</v>
      </c>
    </row>
    <row r="392" spans="1:13" hidden="1" x14ac:dyDescent="0.2">
      <c r="A392" s="10" t="s">
        <v>558</v>
      </c>
      <c r="B392" t="s">
        <v>70</v>
      </c>
      <c r="C392" t="s">
        <v>658</v>
      </c>
      <c r="D392" t="s">
        <v>659</v>
      </c>
      <c r="E392" s="10" t="b">
        <f>IF(ISERROR(VLOOKUP( LEFT(B392, LEN(B392) - IF(ISNUMBER(RIGHT(B392, 1) * 1), 1, 0)),metadata_testudines!B$1:B$60,1,FALSE)),FALSE,TRUE)</f>
        <v>1</v>
      </c>
      <c r="F392" t="s">
        <v>691</v>
      </c>
      <c r="G392" t="s">
        <v>692</v>
      </c>
      <c r="H392">
        <v>1</v>
      </c>
      <c r="I392" t="s">
        <v>693</v>
      </c>
      <c r="J392" t="s">
        <v>694</v>
      </c>
      <c r="K392" t="s">
        <v>645</v>
      </c>
      <c r="L392" t="s">
        <v>646</v>
      </c>
      <c r="M392" t="s">
        <v>664</v>
      </c>
    </row>
    <row r="393" spans="1:13" hidden="1" x14ac:dyDescent="0.2">
      <c r="A393" s="10" t="s">
        <v>558</v>
      </c>
      <c r="B393" t="s">
        <v>70</v>
      </c>
      <c r="C393" t="s">
        <v>658</v>
      </c>
      <c r="D393" t="s">
        <v>659</v>
      </c>
      <c r="E393" s="10" t="b">
        <f>IF(ISERROR(VLOOKUP( LEFT(B393, LEN(B393) - IF(ISNUMBER(RIGHT(B393, 1) * 1), 1, 0)),metadata_testudines!B$1:B$60,1,FALSE)),FALSE,TRUE)</f>
        <v>1</v>
      </c>
      <c r="F393" t="s">
        <v>671</v>
      </c>
      <c r="G393" t="s">
        <v>700</v>
      </c>
      <c r="H393">
        <v>8</v>
      </c>
      <c r="I393" t="s">
        <v>662</v>
      </c>
      <c r="J393" t="s">
        <v>663</v>
      </c>
      <c r="K393" t="s">
        <v>647</v>
      </c>
      <c r="L393" t="s">
        <v>664</v>
      </c>
      <c r="M393" t="s">
        <v>664</v>
      </c>
    </row>
    <row r="394" spans="1:13" hidden="1" x14ac:dyDescent="0.2">
      <c r="A394" s="10" t="s">
        <v>558</v>
      </c>
      <c r="B394" t="s">
        <v>70</v>
      </c>
      <c r="C394" t="s">
        <v>658</v>
      </c>
      <c r="D394" t="s">
        <v>659</v>
      </c>
      <c r="E394" s="10" t="b">
        <f>IF(ISERROR(VLOOKUP( LEFT(B394, LEN(B394) - IF(ISNUMBER(RIGHT(B394, 1) * 1), 1, 0)),metadata_testudines!B$1:B$60,1,FALSE)),FALSE,TRUE)</f>
        <v>1</v>
      </c>
      <c r="F394" t="s">
        <v>691</v>
      </c>
      <c r="G394" t="s">
        <v>692</v>
      </c>
      <c r="H394">
        <v>1</v>
      </c>
      <c r="I394" t="s">
        <v>693</v>
      </c>
      <c r="J394" t="s">
        <v>694</v>
      </c>
      <c r="K394" t="s">
        <v>645</v>
      </c>
      <c r="L394" t="s">
        <v>646</v>
      </c>
      <c r="M394" t="s">
        <v>664</v>
      </c>
    </row>
    <row r="395" spans="1:13" hidden="1" x14ac:dyDescent="0.2">
      <c r="A395" s="10" t="s">
        <v>558</v>
      </c>
      <c r="B395" t="s">
        <v>70</v>
      </c>
      <c r="C395" t="s">
        <v>658</v>
      </c>
      <c r="D395" t="s">
        <v>659</v>
      </c>
      <c r="E395" s="10" t="b">
        <f>IF(ISERROR(VLOOKUP( LEFT(B395, LEN(B395) - IF(ISNUMBER(RIGHT(B395, 1) * 1), 1, 0)),metadata_testudines!B$1:B$60,1,FALSE)),FALSE,TRUE)</f>
        <v>1</v>
      </c>
      <c r="F395" t="s">
        <v>681</v>
      </c>
      <c r="G395" t="s">
        <v>682</v>
      </c>
      <c r="H395">
        <v>0.94</v>
      </c>
      <c r="I395" t="s">
        <v>667</v>
      </c>
      <c r="J395" t="s">
        <v>683</v>
      </c>
      <c r="K395" t="s">
        <v>645</v>
      </c>
      <c r="L395" t="s">
        <v>684</v>
      </c>
      <c r="M395" t="s">
        <v>664</v>
      </c>
    </row>
    <row r="396" spans="1:13" hidden="1" x14ac:dyDescent="0.2">
      <c r="A396" s="10" t="s">
        <v>558</v>
      </c>
      <c r="B396" t="s">
        <v>70</v>
      </c>
      <c r="C396" t="s">
        <v>658</v>
      </c>
      <c r="D396" t="s">
        <v>659</v>
      </c>
      <c r="E396" s="10" t="b">
        <f>IF(ISERROR(VLOOKUP( LEFT(B396, LEN(B396) - IF(ISNUMBER(RIGHT(B396, 1) * 1), 1, 0)),metadata_testudines!B$1:B$60,1,FALSE)),FALSE,TRUE)</f>
        <v>1</v>
      </c>
      <c r="F396" t="s">
        <v>691</v>
      </c>
      <c r="G396" t="s">
        <v>692</v>
      </c>
      <c r="H396">
        <v>1</v>
      </c>
      <c r="I396" t="s">
        <v>693</v>
      </c>
      <c r="J396" t="s">
        <v>694</v>
      </c>
      <c r="K396" t="s">
        <v>645</v>
      </c>
      <c r="L396" t="s">
        <v>646</v>
      </c>
      <c r="M396" t="s">
        <v>664</v>
      </c>
    </row>
    <row r="397" spans="1:13" hidden="1" x14ac:dyDescent="0.2">
      <c r="A397" s="10" t="s">
        <v>558</v>
      </c>
      <c r="B397" t="s">
        <v>70</v>
      </c>
      <c r="C397" t="s">
        <v>658</v>
      </c>
      <c r="D397" t="s">
        <v>659</v>
      </c>
      <c r="E397" s="10" t="b">
        <f>IF(ISERROR(VLOOKUP( LEFT(B397, LEN(B397) - IF(ISNUMBER(RIGHT(B397, 1) * 1), 1, 0)),metadata_testudines!B$1:B$60,1,FALSE)),FALSE,TRUE)</f>
        <v>1</v>
      </c>
      <c r="F397" t="s">
        <v>681</v>
      </c>
      <c r="G397" t="s">
        <v>685</v>
      </c>
      <c r="H397">
        <v>0.47</v>
      </c>
      <c r="I397" t="s">
        <v>667</v>
      </c>
      <c r="J397" t="s">
        <v>683</v>
      </c>
      <c r="K397" t="s">
        <v>645</v>
      </c>
      <c r="L397" t="s">
        <v>684</v>
      </c>
      <c r="M397" t="s">
        <v>664</v>
      </c>
    </row>
    <row r="398" spans="1:13" hidden="1" x14ac:dyDescent="0.2">
      <c r="A398" s="10" t="s">
        <v>558</v>
      </c>
      <c r="B398" t="s">
        <v>70</v>
      </c>
      <c r="C398" t="s">
        <v>658</v>
      </c>
      <c r="D398" t="s">
        <v>659</v>
      </c>
      <c r="E398" s="10" t="b">
        <f>IF(ISERROR(VLOOKUP( LEFT(B398, LEN(B398) - IF(ISNUMBER(RIGHT(B398, 1) * 1), 1, 0)),metadata_testudines!B$1:B$60,1,FALSE)),FALSE,TRUE)</f>
        <v>1</v>
      </c>
      <c r="F398" t="s">
        <v>660</v>
      </c>
      <c r="G398" t="s">
        <v>669</v>
      </c>
      <c r="H398">
        <v>5844</v>
      </c>
      <c r="I398" t="s">
        <v>662</v>
      </c>
      <c r="J398" t="s">
        <v>670</v>
      </c>
      <c r="K398" t="s">
        <v>647</v>
      </c>
      <c r="L398" t="s">
        <v>647</v>
      </c>
      <c r="M398" t="s">
        <v>664</v>
      </c>
    </row>
    <row r="399" spans="1:13" hidden="1" x14ac:dyDescent="0.2">
      <c r="A399" s="10" t="s">
        <v>558</v>
      </c>
      <c r="B399" t="s">
        <v>70</v>
      </c>
      <c r="C399" t="s">
        <v>658</v>
      </c>
      <c r="D399" t="s">
        <v>659</v>
      </c>
      <c r="E399" s="10" t="b">
        <f>IF(ISERROR(VLOOKUP( LEFT(B399, LEN(B399) - IF(ISNUMBER(RIGHT(B399, 1) * 1), 1, 0)),metadata_testudines!B$1:B$60,1,FALSE)),FALSE,TRUE)</f>
        <v>1</v>
      </c>
      <c r="F399" t="s">
        <v>660</v>
      </c>
      <c r="G399" t="s">
        <v>666</v>
      </c>
      <c r="H399">
        <v>60</v>
      </c>
      <c r="I399" t="s">
        <v>667</v>
      </c>
      <c r="J399" t="s">
        <v>668</v>
      </c>
      <c r="K399" t="s">
        <v>647</v>
      </c>
      <c r="L399" t="s">
        <v>664</v>
      </c>
      <c r="M399" t="s">
        <v>664</v>
      </c>
    </row>
    <row r="400" spans="1:13" hidden="1" x14ac:dyDescent="0.2">
      <c r="A400" s="10" t="s">
        <v>558</v>
      </c>
      <c r="B400" t="s">
        <v>70</v>
      </c>
      <c r="C400" t="s">
        <v>658</v>
      </c>
      <c r="D400" t="s">
        <v>659</v>
      </c>
      <c r="E400" s="10" t="b">
        <f>IF(ISERROR(VLOOKUP( LEFT(B400, LEN(B400) - IF(ISNUMBER(RIGHT(B400, 1) * 1), 1, 0)),metadata_testudines!B$1:B$60,1,FALSE)),FALSE,TRUE)</f>
        <v>1</v>
      </c>
      <c r="F400" t="s">
        <v>681</v>
      </c>
      <c r="G400" t="s">
        <v>682</v>
      </c>
      <c r="H400">
        <v>0.88</v>
      </c>
      <c r="I400" t="s">
        <v>667</v>
      </c>
      <c r="J400" t="s">
        <v>683</v>
      </c>
      <c r="K400" t="s">
        <v>645</v>
      </c>
      <c r="L400" t="s">
        <v>684</v>
      </c>
      <c r="M400" t="s">
        <v>664</v>
      </c>
    </row>
    <row r="401" spans="1:13" hidden="1" x14ac:dyDescent="0.2">
      <c r="A401" s="10" t="s">
        <v>558</v>
      </c>
      <c r="B401" t="s">
        <v>70</v>
      </c>
      <c r="C401" t="s">
        <v>658</v>
      </c>
      <c r="D401" t="s">
        <v>659</v>
      </c>
      <c r="E401" s="10" t="b">
        <f>IF(ISERROR(VLOOKUP( LEFT(B401, LEN(B401) - IF(ISNUMBER(RIGHT(B401, 1) * 1), 1, 0)),metadata_testudines!B$1:B$60,1,FALSE)),FALSE,TRUE)</f>
        <v>1</v>
      </c>
      <c r="F401" t="s">
        <v>660</v>
      </c>
      <c r="G401" t="s">
        <v>665</v>
      </c>
      <c r="H401">
        <v>3</v>
      </c>
      <c r="I401" t="s">
        <v>662</v>
      </c>
      <c r="J401" t="s">
        <v>663</v>
      </c>
      <c r="K401" t="s">
        <v>647</v>
      </c>
      <c r="L401" t="s">
        <v>664</v>
      </c>
      <c r="M401" t="s">
        <v>664</v>
      </c>
    </row>
    <row r="402" spans="1:13" hidden="1" x14ac:dyDescent="0.2">
      <c r="A402" s="10" t="s">
        <v>558</v>
      </c>
      <c r="B402" t="s">
        <v>70</v>
      </c>
      <c r="C402" t="s">
        <v>658</v>
      </c>
      <c r="D402" t="s">
        <v>659</v>
      </c>
      <c r="E402" s="10" t="b">
        <f>IF(ISERROR(VLOOKUP( LEFT(B402, LEN(B402) - IF(ISNUMBER(RIGHT(B402, 1) * 1), 1, 0)),metadata_testudines!B$1:B$60,1,FALSE)),FALSE,TRUE)</f>
        <v>1</v>
      </c>
      <c r="F402" t="s">
        <v>660</v>
      </c>
      <c r="G402" t="s">
        <v>661</v>
      </c>
      <c r="H402">
        <v>6</v>
      </c>
      <c r="I402" t="s">
        <v>662</v>
      </c>
      <c r="J402" t="s">
        <v>663</v>
      </c>
      <c r="K402" t="s">
        <v>647</v>
      </c>
      <c r="L402" t="s">
        <v>664</v>
      </c>
      <c r="M402" t="s">
        <v>664</v>
      </c>
    </row>
    <row r="403" spans="1:13" hidden="1" x14ac:dyDescent="0.2">
      <c r="A403" s="10" t="s">
        <v>558</v>
      </c>
      <c r="B403" t="s">
        <v>70</v>
      </c>
      <c r="C403" t="s">
        <v>658</v>
      </c>
      <c r="D403" t="s">
        <v>659</v>
      </c>
      <c r="E403" s="10" t="b">
        <f>IF(ISERROR(VLOOKUP( LEFT(B403, LEN(B403) - IF(ISNUMBER(RIGHT(B403, 1) * 1), 1, 0)),metadata_testudines!B$1:B$60,1,FALSE)),FALSE,TRUE)</f>
        <v>1</v>
      </c>
      <c r="F403" t="s">
        <v>660</v>
      </c>
      <c r="G403" t="s">
        <v>661</v>
      </c>
      <c r="H403">
        <v>1</v>
      </c>
      <c r="I403" t="s">
        <v>662</v>
      </c>
      <c r="J403" t="s">
        <v>663</v>
      </c>
      <c r="K403" t="s">
        <v>647</v>
      </c>
      <c r="L403" t="s">
        <v>664</v>
      </c>
      <c r="M403" t="s">
        <v>664</v>
      </c>
    </row>
    <row r="404" spans="1:13" hidden="1" x14ac:dyDescent="0.2">
      <c r="A404" s="10" t="s">
        <v>558</v>
      </c>
      <c r="B404" t="s">
        <v>70</v>
      </c>
      <c r="C404" t="s">
        <v>658</v>
      </c>
      <c r="D404" t="s">
        <v>659</v>
      </c>
      <c r="E404" s="10" t="b">
        <f>IF(ISERROR(VLOOKUP( LEFT(B404, LEN(B404) - IF(ISNUMBER(RIGHT(B404, 1) * 1), 1, 0)),metadata_testudines!B$1:B$60,1,FALSE)),FALSE,TRUE)</f>
        <v>1</v>
      </c>
      <c r="F404" t="s">
        <v>660</v>
      </c>
      <c r="G404" t="s">
        <v>665</v>
      </c>
      <c r="H404">
        <v>1</v>
      </c>
      <c r="I404" t="s">
        <v>662</v>
      </c>
      <c r="J404" t="s">
        <v>663</v>
      </c>
      <c r="K404" t="s">
        <v>647</v>
      </c>
      <c r="L404" t="s">
        <v>664</v>
      </c>
      <c r="M404" t="s">
        <v>664</v>
      </c>
    </row>
    <row r="405" spans="1:13" hidden="1" x14ac:dyDescent="0.2">
      <c r="A405" s="10" t="s">
        <v>558</v>
      </c>
      <c r="B405" t="s">
        <v>70</v>
      </c>
      <c r="C405" t="s">
        <v>658</v>
      </c>
      <c r="D405" t="s">
        <v>659</v>
      </c>
      <c r="E405" s="10" t="b">
        <f>IF(ISERROR(VLOOKUP( LEFT(B405, LEN(B405) - IF(ISNUMBER(RIGHT(B405, 1) * 1), 1, 0)),metadata_testudines!B$1:B$60,1,FALSE)),FALSE,TRUE)</f>
        <v>1</v>
      </c>
      <c r="F405" t="s">
        <v>660</v>
      </c>
      <c r="G405" t="s">
        <v>661</v>
      </c>
      <c r="H405">
        <v>2</v>
      </c>
      <c r="I405" t="s">
        <v>662</v>
      </c>
      <c r="J405" t="s">
        <v>663</v>
      </c>
      <c r="K405" t="s">
        <v>647</v>
      </c>
      <c r="L405" t="s">
        <v>664</v>
      </c>
      <c r="M405" t="s">
        <v>664</v>
      </c>
    </row>
    <row r="406" spans="1:13" hidden="1" x14ac:dyDescent="0.2">
      <c r="A406" s="10" t="s">
        <v>558</v>
      </c>
      <c r="B406" t="s">
        <v>70</v>
      </c>
      <c r="C406" t="s">
        <v>658</v>
      </c>
      <c r="D406" t="s">
        <v>659</v>
      </c>
      <c r="E406" s="10" t="b">
        <f>IF(ISERROR(VLOOKUP( LEFT(B406, LEN(B406) - IF(ISNUMBER(RIGHT(B406, 1) * 1), 1, 0)),metadata_testudines!B$1:B$60,1,FALSE)),FALSE,TRUE)</f>
        <v>1</v>
      </c>
      <c r="F406" t="s">
        <v>691</v>
      </c>
      <c r="G406" t="s">
        <v>692</v>
      </c>
      <c r="H406">
        <v>1</v>
      </c>
      <c r="I406" t="s">
        <v>693</v>
      </c>
      <c r="J406" t="s">
        <v>694</v>
      </c>
      <c r="K406" t="s">
        <v>647</v>
      </c>
      <c r="L406" t="s">
        <v>664</v>
      </c>
      <c r="M406" t="s">
        <v>664</v>
      </c>
    </row>
    <row r="407" spans="1:13" hidden="1" x14ac:dyDescent="0.2">
      <c r="A407" s="10" t="s">
        <v>558</v>
      </c>
      <c r="B407" t="s">
        <v>70</v>
      </c>
      <c r="C407" t="s">
        <v>658</v>
      </c>
      <c r="D407" t="s">
        <v>659</v>
      </c>
      <c r="E407" s="10" t="b">
        <f>IF(ISERROR(VLOOKUP( LEFT(B407, LEN(B407) - IF(ISNUMBER(RIGHT(B407, 1) * 1), 1, 0)),metadata_testudines!B$1:B$60,1,FALSE)),FALSE,TRUE)</f>
        <v>1</v>
      </c>
      <c r="F407" t="s">
        <v>681</v>
      </c>
      <c r="G407" t="s">
        <v>682</v>
      </c>
      <c r="H407">
        <v>0.47</v>
      </c>
      <c r="I407" t="s">
        <v>667</v>
      </c>
      <c r="J407" t="s">
        <v>683</v>
      </c>
      <c r="K407" t="s">
        <v>645</v>
      </c>
      <c r="L407" t="s">
        <v>684</v>
      </c>
      <c r="M407" t="s">
        <v>664</v>
      </c>
    </row>
    <row r="408" spans="1:13" hidden="1" x14ac:dyDescent="0.2">
      <c r="A408" s="10" t="s">
        <v>558</v>
      </c>
      <c r="B408" t="s">
        <v>70</v>
      </c>
      <c r="C408" t="s">
        <v>658</v>
      </c>
      <c r="D408" t="s">
        <v>659</v>
      </c>
      <c r="E408" s="10" t="b">
        <f>IF(ISERROR(VLOOKUP( LEFT(B408, LEN(B408) - IF(ISNUMBER(RIGHT(B408, 1) * 1), 1, 0)),metadata_testudines!B$1:B$60,1,FALSE)),FALSE,TRUE)</f>
        <v>1</v>
      </c>
      <c r="F408" t="s">
        <v>681</v>
      </c>
      <c r="G408" t="s">
        <v>682</v>
      </c>
      <c r="H408">
        <v>0.88</v>
      </c>
      <c r="I408" t="s">
        <v>667</v>
      </c>
      <c r="J408" t="s">
        <v>683</v>
      </c>
      <c r="K408" t="s">
        <v>645</v>
      </c>
      <c r="L408" t="s">
        <v>684</v>
      </c>
      <c r="M408" t="s">
        <v>664</v>
      </c>
    </row>
    <row r="409" spans="1:13" hidden="1" x14ac:dyDescent="0.2">
      <c r="A409" s="10" t="s">
        <v>558</v>
      </c>
      <c r="B409" t="s">
        <v>70</v>
      </c>
      <c r="C409" t="s">
        <v>658</v>
      </c>
      <c r="D409" t="s">
        <v>659</v>
      </c>
      <c r="E409" s="10" t="b">
        <f>IF(ISERROR(VLOOKUP( LEFT(B409, LEN(B409) - IF(ISNUMBER(RIGHT(B409, 1) * 1), 1, 0)),metadata_testudines!B$1:B$60,1,FALSE)),FALSE,TRUE)</f>
        <v>1</v>
      </c>
      <c r="F409" t="s">
        <v>660</v>
      </c>
      <c r="G409" t="s">
        <v>661</v>
      </c>
      <c r="H409">
        <v>8</v>
      </c>
      <c r="I409" t="s">
        <v>662</v>
      </c>
      <c r="J409" t="s">
        <v>663</v>
      </c>
      <c r="K409" t="s">
        <v>647</v>
      </c>
      <c r="L409" t="s">
        <v>664</v>
      </c>
      <c r="M409" t="s">
        <v>664</v>
      </c>
    </row>
    <row r="410" spans="1:13" hidden="1" x14ac:dyDescent="0.2">
      <c r="A410" s="10" t="s">
        <v>558</v>
      </c>
      <c r="B410" t="s">
        <v>70</v>
      </c>
      <c r="C410" t="s">
        <v>658</v>
      </c>
      <c r="D410" t="s">
        <v>659</v>
      </c>
      <c r="E410" s="10" t="b">
        <f>IF(ISERROR(VLOOKUP( LEFT(B410, LEN(B410) - IF(ISNUMBER(RIGHT(B410, 1) * 1), 1, 0)),metadata_testudines!B$1:B$60,1,FALSE)),FALSE,TRUE)</f>
        <v>1</v>
      </c>
      <c r="F410" t="s">
        <v>660</v>
      </c>
      <c r="G410" t="s">
        <v>669</v>
      </c>
      <c r="H410">
        <v>5113.5</v>
      </c>
      <c r="I410" t="s">
        <v>662</v>
      </c>
      <c r="J410" t="s">
        <v>670</v>
      </c>
      <c r="K410" t="s">
        <v>647</v>
      </c>
      <c r="L410" t="s">
        <v>647</v>
      </c>
      <c r="M410" t="s">
        <v>664</v>
      </c>
    </row>
    <row r="411" spans="1:13" hidden="1" x14ac:dyDescent="0.2">
      <c r="A411" s="10" t="s">
        <v>558</v>
      </c>
      <c r="B411" t="s">
        <v>70</v>
      </c>
      <c r="C411" t="s">
        <v>658</v>
      </c>
      <c r="D411" t="s">
        <v>659</v>
      </c>
      <c r="E411" s="10" t="b">
        <f>IF(ISERROR(VLOOKUP( LEFT(B411, LEN(B411) - IF(ISNUMBER(RIGHT(B411, 1) * 1), 1, 0)),metadata_testudines!B$1:B$60,1,FALSE)),FALSE,TRUE)</f>
        <v>1</v>
      </c>
      <c r="F411" t="s">
        <v>660</v>
      </c>
      <c r="G411" t="s">
        <v>665</v>
      </c>
      <c r="H411">
        <v>3</v>
      </c>
      <c r="I411" t="s">
        <v>662</v>
      </c>
      <c r="J411" t="s">
        <v>663</v>
      </c>
      <c r="K411" t="s">
        <v>647</v>
      </c>
      <c r="L411" t="s">
        <v>664</v>
      </c>
      <c r="M411" t="s">
        <v>664</v>
      </c>
    </row>
    <row r="412" spans="1:13" hidden="1" x14ac:dyDescent="0.2">
      <c r="A412" s="10" t="s">
        <v>558</v>
      </c>
      <c r="B412" t="s">
        <v>70</v>
      </c>
      <c r="C412" t="s">
        <v>658</v>
      </c>
      <c r="D412" t="s">
        <v>659</v>
      </c>
      <c r="E412" s="10" t="b">
        <f>IF(ISERROR(VLOOKUP( LEFT(B412, LEN(B412) - IF(ISNUMBER(RIGHT(B412, 1) * 1), 1, 0)),metadata_testudines!B$1:B$60,1,FALSE)),FALSE,TRUE)</f>
        <v>1</v>
      </c>
      <c r="F412" t="s">
        <v>681</v>
      </c>
      <c r="G412" t="s">
        <v>685</v>
      </c>
      <c r="H412">
        <v>0.94</v>
      </c>
      <c r="I412" t="s">
        <v>667</v>
      </c>
      <c r="J412" t="s">
        <v>683</v>
      </c>
      <c r="K412" t="s">
        <v>645</v>
      </c>
      <c r="L412" t="s">
        <v>684</v>
      </c>
      <c r="M412" t="s">
        <v>664</v>
      </c>
    </row>
    <row r="413" spans="1:13" hidden="1" x14ac:dyDescent="0.2">
      <c r="A413" s="10" t="s">
        <v>558</v>
      </c>
      <c r="B413" t="s">
        <v>70</v>
      </c>
      <c r="C413" t="s">
        <v>658</v>
      </c>
      <c r="D413" t="s">
        <v>659</v>
      </c>
      <c r="E413" s="10" t="b">
        <f>IF(ISERROR(VLOOKUP( LEFT(B413, LEN(B413) - IF(ISNUMBER(RIGHT(B413, 1) * 1), 1, 0)),metadata_testudines!B$1:B$60,1,FALSE)),FALSE,TRUE)</f>
        <v>1</v>
      </c>
      <c r="F413" t="s">
        <v>686</v>
      </c>
      <c r="G413" t="s">
        <v>689</v>
      </c>
      <c r="H413">
        <v>0.06</v>
      </c>
      <c r="I413" t="s">
        <v>667</v>
      </c>
      <c r="J413" t="s">
        <v>683</v>
      </c>
      <c r="K413" t="s">
        <v>647</v>
      </c>
      <c r="L413" t="s">
        <v>646</v>
      </c>
      <c r="M413" t="s">
        <v>664</v>
      </c>
    </row>
    <row r="414" spans="1:13" hidden="1" x14ac:dyDescent="0.2">
      <c r="A414" s="10" t="s">
        <v>558</v>
      </c>
      <c r="B414" t="s">
        <v>70</v>
      </c>
      <c r="C414" t="s">
        <v>658</v>
      </c>
      <c r="D414" t="s">
        <v>659</v>
      </c>
      <c r="E414" s="10" t="b">
        <f>IF(ISERROR(VLOOKUP( LEFT(B414, LEN(B414) - IF(ISNUMBER(RIGHT(B414, 1) * 1), 1, 0)),metadata_testudines!B$1:B$60,1,FALSE)),FALSE,TRUE)</f>
        <v>1</v>
      </c>
      <c r="F414" t="s">
        <v>660</v>
      </c>
      <c r="G414" t="s">
        <v>669</v>
      </c>
      <c r="H414">
        <v>3652.5</v>
      </c>
      <c r="I414" t="s">
        <v>662</v>
      </c>
      <c r="J414" t="s">
        <v>670</v>
      </c>
      <c r="K414" t="s">
        <v>647</v>
      </c>
      <c r="L414" t="s">
        <v>647</v>
      </c>
      <c r="M414" t="s">
        <v>664</v>
      </c>
    </row>
    <row r="415" spans="1:13" hidden="1" x14ac:dyDescent="0.2">
      <c r="A415" s="10" t="s">
        <v>558</v>
      </c>
      <c r="B415" t="s">
        <v>70</v>
      </c>
      <c r="C415" t="s">
        <v>658</v>
      </c>
      <c r="D415" t="s">
        <v>659</v>
      </c>
      <c r="E415" s="10" t="b">
        <f>IF(ISERROR(VLOOKUP( LEFT(B415, LEN(B415) - IF(ISNUMBER(RIGHT(B415, 1) * 1), 1, 0)),metadata_testudines!B$1:B$60,1,FALSE)),FALSE,TRUE)</f>
        <v>1</v>
      </c>
      <c r="F415" t="s">
        <v>681</v>
      </c>
      <c r="G415" t="s">
        <v>685</v>
      </c>
      <c r="H415">
        <v>0.88</v>
      </c>
      <c r="I415" t="s">
        <v>667</v>
      </c>
      <c r="J415" t="s">
        <v>683</v>
      </c>
      <c r="K415" t="s">
        <v>645</v>
      </c>
      <c r="L415" t="s">
        <v>684</v>
      </c>
      <c r="M415" t="s">
        <v>664</v>
      </c>
    </row>
    <row r="416" spans="1:13" hidden="1" x14ac:dyDescent="0.2">
      <c r="A416" s="10" t="s">
        <v>558</v>
      </c>
      <c r="B416" t="s">
        <v>70</v>
      </c>
      <c r="C416" t="s">
        <v>658</v>
      </c>
      <c r="D416" t="s">
        <v>659</v>
      </c>
      <c r="E416" s="10" t="b">
        <f>IF(ISERROR(VLOOKUP( LEFT(B416, LEN(B416) - IF(ISNUMBER(RIGHT(B416, 1) * 1), 1, 0)),metadata_testudines!B$1:B$60,1,FALSE)),FALSE,TRUE)</f>
        <v>1</v>
      </c>
      <c r="F416" t="s">
        <v>686</v>
      </c>
      <c r="G416" t="s">
        <v>690</v>
      </c>
      <c r="H416">
        <v>0.94</v>
      </c>
      <c r="I416" t="s">
        <v>667</v>
      </c>
      <c r="J416" t="s">
        <v>683</v>
      </c>
      <c r="K416" t="s">
        <v>647</v>
      </c>
      <c r="L416" t="s">
        <v>646</v>
      </c>
      <c r="M416" t="s">
        <v>664</v>
      </c>
    </row>
    <row r="417" spans="1:13" hidden="1" x14ac:dyDescent="0.2">
      <c r="A417" s="10" t="s">
        <v>558</v>
      </c>
      <c r="B417" t="s">
        <v>70</v>
      </c>
      <c r="C417" t="s">
        <v>658</v>
      </c>
      <c r="D417" t="s">
        <v>659</v>
      </c>
      <c r="E417" s="10" t="b">
        <f>IF(ISERROR(VLOOKUP( LEFT(B417, LEN(B417) - IF(ISNUMBER(RIGHT(B417, 1) * 1), 1, 0)),metadata_testudines!B$1:B$60,1,FALSE)),FALSE,TRUE)</f>
        <v>1</v>
      </c>
      <c r="F417" t="s">
        <v>681</v>
      </c>
      <c r="G417" t="s">
        <v>682</v>
      </c>
      <c r="H417">
        <v>0.82</v>
      </c>
      <c r="I417" t="s">
        <v>667</v>
      </c>
      <c r="J417" t="s">
        <v>683</v>
      </c>
      <c r="K417" t="s">
        <v>645</v>
      </c>
      <c r="L417" t="s">
        <v>684</v>
      </c>
      <c r="M417" t="s">
        <v>664</v>
      </c>
    </row>
    <row r="418" spans="1:13" hidden="1" x14ac:dyDescent="0.2">
      <c r="A418" s="10" t="s">
        <v>558</v>
      </c>
      <c r="B418" t="s">
        <v>70</v>
      </c>
      <c r="C418" t="s">
        <v>658</v>
      </c>
      <c r="D418" t="s">
        <v>659</v>
      </c>
      <c r="E418" s="10" t="b">
        <f>IF(ISERROR(VLOOKUP( LEFT(B418, LEN(B418) - IF(ISNUMBER(RIGHT(B418, 1) * 1), 1, 0)),metadata_testudines!B$1:B$60,1,FALSE)),FALSE,TRUE)</f>
        <v>1</v>
      </c>
      <c r="F418" t="s">
        <v>681</v>
      </c>
      <c r="G418" t="s">
        <v>682</v>
      </c>
      <c r="H418">
        <v>0.94</v>
      </c>
      <c r="I418" t="s">
        <v>667</v>
      </c>
      <c r="J418" t="s">
        <v>683</v>
      </c>
      <c r="K418" t="s">
        <v>645</v>
      </c>
      <c r="L418" t="s">
        <v>684</v>
      </c>
      <c r="M418" t="s">
        <v>664</v>
      </c>
    </row>
    <row r="419" spans="1:13" hidden="1" x14ac:dyDescent="0.2">
      <c r="A419" s="10" t="s">
        <v>558</v>
      </c>
      <c r="B419" t="s">
        <v>70</v>
      </c>
      <c r="C419" t="s">
        <v>658</v>
      </c>
      <c r="D419" t="s">
        <v>659</v>
      </c>
      <c r="E419" s="10" t="b">
        <f>IF(ISERROR(VLOOKUP( LEFT(B419, LEN(B419) - IF(ISNUMBER(RIGHT(B419, 1) * 1), 1, 0)),metadata_testudines!B$1:B$60,1,FALSE)),FALSE,TRUE)</f>
        <v>1</v>
      </c>
      <c r="F419" t="s">
        <v>660</v>
      </c>
      <c r="G419" t="s">
        <v>661</v>
      </c>
      <c r="H419">
        <v>14</v>
      </c>
      <c r="I419" t="s">
        <v>662</v>
      </c>
      <c r="J419" t="s">
        <v>663</v>
      </c>
      <c r="K419" t="s">
        <v>647</v>
      </c>
      <c r="L419" t="s">
        <v>664</v>
      </c>
      <c r="M419" t="s">
        <v>664</v>
      </c>
    </row>
    <row r="420" spans="1:13" hidden="1" x14ac:dyDescent="0.2">
      <c r="A420" s="10" t="s">
        <v>558</v>
      </c>
      <c r="B420" t="s">
        <v>70</v>
      </c>
      <c r="C420" t="s">
        <v>658</v>
      </c>
      <c r="D420" t="s">
        <v>659</v>
      </c>
      <c r="E420" s="10" t="b">
        <f>IF(ISERROR(VLOOKUP( LEFT(B420, LEN(B420) - IF(ISNUMBER(RIGHT(B420, 1) * 1), 1, 0)),metadata_testudines!B$1:B$60,1,FALSE)),FALSE,TRUE)</f>
        <v>1</v>
      </c>
      <c r="F420" t="s">
        <v>681</v>
      </c>
      <c r="G420" t="s">
        <v>682</v>
      </c>
      <c r="H420">
        <v>0.88</v>
      </c>
      <c r="I420" t="s">
        <v>667</v>
      </c>
      <c r="J420" t="s">
        <v>683</v>
      </c>
      <c r="K420" t="s">
        <v>645</v>
      </c>
      <c r="L420" t="s">
        <v>684</v>
      </c>
      <c r="M420" t="s">
        <v>664</v>
      </c>
    </row>
    <row r="421" spans="1:13" hidden="1" x14ac:dyDescent="0.2">
      <c r="A421" s="10" t="s">
        <v>558</v>
      </c>
      <c r="B421" t="s">
        <v>70</v>
      </c>
      <c r="C421" t="s">
        <v>658</v>
      </c>
      <c r="D421" t="s">
        <v>659</v>
      </c>
      <c r="E421" s="10" t="b">
        <f>IF(ISERROR(VLOOKUP( LEFT(B421, LEN(B421) - IF(ISNUMBER(RIGHT(B421, 1) * 1), 1, 0)),metadata_testudines!B$1:B$60,1,FALSE)),FALSE,TRUE)</f>
        <v>1</v>
      </c>
      <c r="F421" t="s">
        <v>660</v>
      </c>
      <c r="G421" t="s">
        <v>661</v>
      </c>
      <c r="H421">
        <v>12</v>
      </c>
      <c r="I421" t="s">
        <v>662</v>
      </c>
      <c r="J421" t="s">
        <v>663</v>
      </c>
      <c r="K421" t="s">
        <v>647</v>
      </c>
      <c r="L421" t="s">
        <v>664</v>
      </c>
      <c r="M421" t="s">
        <v>664</v>
      </c>
    </row>
    <row r="422" spans="1:13" hidden="1" x14ac:dyDescent="0.2">
      <c r="A422" s="10" t="s">
        <v>558</v>
      </c>
      <c r="B422" t="s">
        <v>70</v>
      </c>
      <c r="C422" t="s">
        <v>658</v>
      </c>
      <c r="D422" t="s">
        <v>659</v>
      </c>
      <c r="E422" s="10" t="b">
        <f>IF(ISERROR(VLOOKUP( LEFT(B422, LEN(B422) - IF(ISNUMBER(RIGHT(B422, 1) * 1), 1, 0)),metadata_testudines!B$1:B$60,1,FALSE)),FALSE,TRUE)</f>
        <v>1</v>
      </c>
      <c r="F422" t="s">
        <v>691</v>
      </c>
      <c r="G422" t="s">
        <v>692</v>
      </c>
      <c r="H422">
        <v>1</v>
      </c>
      <c r="I422" t="s">
        <v>693</v>
      </c>
      <c r="J422" t="s">
        <v>694</v>
      </c>
      <c r="K422" t="s">
        <v>647</v>
      </c>
      <c r="L422" t="s">
        <v>664</v>
      </c>
      <c r="M422" t="s">
        <v>664</v>
      </c>
    </row>
    <row r="423" spans="1:13" hidden="1" x14ac:dyDescent="0.2">
      <c r="A423" s="10" t="s">
        <v>558</v>
      </c>
      <c r="B423" t="s">
        <v>70</v>
      </c>
      <c r="C423" t="s">
        <v>658</v>
      </c>
      <c r="D423" t="s">
        <v>659</v>
      </c>
      <c r="E423" s="10" t="b">
        <f>IF(ISERROR(VLOOKUP( LEFT(B423, LEN(B423) - IF(ISNUMBER(RIGHT(B423, 1) * 1), 1, 0)),metadata_testudines!B$1:B$60,1,FALSE)),FALSE,TRUE)</f>
        <v>1</v>
      </c>
      <c r="F423" t="s">
        <v>671</v>
      </c>
      <c r="G423" t="s">
        <v>672</v>
      </c>
      <c r="H423">
        <v>62.8</v>
      </c>
      <c r="I423" t="s">
        <v>667</v>
      </c>
      <c r="J423" t="s">
        <v>668</v>
      </c>
      <c r="K423" t="s">
        <v>673</v>
      </c>
      <c r="L423" t="s">
        <v>664</v>
      </c>
      <c r="M423" t="s">
        <v>678</v>
      </c>
    </row>
    <row r="424" spans="1:13" hidden="1" x14ac:dyDescent="0.2">
      <c r="A424" s="10" t="s">
        <v>558</v>
      </c>
      <c r="B424" t="s">
        <v>70</v>
      </c>
      <c r="C424" t="s">
        <v>658</v>
      </c>
      <c r="D424" t="s">
        <v>659</v>
      </c>
      <c r="E424" s="10" t="b">
        <f>IF(ISERROR(VLOOKUP( LEFT(B424, LEN(B424) - IF(ISNUMBER(RIGHT(B424, 1) * 1), 1, 0)),metadata_testudines!B$1:B$60,1,FALSE)),FALSE,TRUE)</f>
        <v>1</v>
      </c>
      <c r="F424" t="s">
        <v>660</v>
      </c>
      <c r="G424" t="s">
        <v>669</v>
      </c>
      <c r="H424">
        <v>5478.75</v>
      </c>
      <c r="I424" t="s">
        <v>662</v>
      </c>
      <c r="J424" t="s">
        <v>670</v>
      </c>
      <c r="K424" t="s">
        <v>647</v>
      </c>
      <c r="L424" t="s">
        <v>647</v>
      </c>
      <c r="M424" t="s">
        <v>664</v>
      </c>
    </row>
    <row r="425" spans="1:13" hidden="1" x14ac:dyDescent="0.2">
      <c r="A425" s="10" t="s">
        <v>558</v>
      </c>
      <c r="B425" t="s">
        <v>70</v>
      </c>
      <c r="C425" t="s">
        <v>658</v>
      </c>
      <c r="D425" t="s">
        <v>659</v>
      </c>
      <c r="E425" s="10" t="b">
        <f>IF(ISERROR(VLOOKUP( LEFT(B425, LEN(B425) - IF(ISNUMBER(RIGHT(B425, 1) * 1), 1, 0)),metadata_testudines!B$1:B$60,1,FALSE)),FALSE,TRUE)</f>
        <v>1</v>
      </c>
      <c r="F425" t="s">
        <v>660</v>
      </c>
      <c r="G425" t="s">
        <v>675</v>
      </c>
      <c r="H425">
        <v>5500</v>
      </c>
      <c r="I425" t="s">
        <v>662</v>
      </c>
      <c r="J425" t="s">
        <v>670</v>
      </c>
      <c r="K425" t="s">
        <v>647</v>
      </c>
      <c r="L425" t="s">
        <v>646</v>
      </c>
      <c r="M425" t="s">
        <v>664</v>
      </c>
    </row>
    <row r="426" spans="1:13" hidden="1" x14ac:dyDescent="0.2">
      <c r="A426" s="10" t="s">
        <v>558</v>
      </c>
      <c r="B426" t="s">
        <v>70</v>
      </c>
      <c r="C426" t="s">
        <v>658</v>
      </c>
      <c r="D426" t="s">
        <v>659</v>
      </c>
      <c r="E426" s="10" t="b">
        <f>IF(ISERROR(VLOOKUP( LEFT(B426, LEN(B426) - IF(ISNUMBER(RIGHT(B426, 1) * 1), 1, 0)),metadata_testudines!B$1:B$60,1,FALSE)),FALSE,TRUE)</f>
        <v>1</v>
      </c>
      <c r="F426" t="s">
        <v>691</v>
      </c>
      <c r="G426" t="s">
        <v>692</v>
      </c>
      <c r="H426">
        <v>1</v>
      </c>
      <c r="I426" t="s">
        <v>693</v>
      </c>
      <c r="J426" t="s">
        <v>694</v>
      </c>
      <c r="K426" t="s">
        <v>645</v>
      </c>
      <c r="L426" t="s">
        <v>646</v>
      </c>
      <c r="M426" t="s">
        <v>664</v>
      </c>
    </row>
    <row r="427" spans="1:13" hidden="1" x14ac:dyDescent="0.2">
      <c r="A427" s="10" t="s">
        <v>558</v>
      </c>
      <c r="B427" t="s">
        <v>70</v>
      </c>
      <c r="C427" t="s">
        <v>658</v>
      </c>
      <c r="D427" t="s">
        <v>659</v>
      </c>
      <c r="E427" s="10" t="b">
        <f>IF(ISERROR(VLOOKUP( LEFT(B427, LEN(B427) - IF(ISNUMBER(RIGHT(B427, 1) * 1), 1, 0)),metadata_testudines!B$1:B$60,1,FALSE)),FALSE,TRUE)</f>
        <v>1</v>
      </c>
      <c r="F427" t="s">
        <v>681</v>
      </c>
      <c r="G427" t="s">
        <v>685</v>
      </c>
      <c r="H427">
        <v>0.82</v>
      </c>
      <c r="I427" t="s">
        <v>667</v>
      </c>
      <c r="J427" t="s">
        <v>683</v>
      </c>
      <c r="K427" t="s">
        <v>645</v>
      </c>
      <c r="L427" t="s">
        <v>684</v>
      </c>
      <c r="M427" t="s">
        <v>664</v>
      </c>
    </row>
    <row r="428" spans="1:13" hidden="1" x14ac:dyDescent="0.2">
      <c r="A428" s="10" t="s">
        <v>558</v>
      </c>
      <c r="B428" t="s">
        <v>70</v>
      </c>
      <c r="C428" t="s">
        <v>658</v>
      </c>
      <c r="D428" t="s">
        <v>659</v>
      </c>
      <c r="E428" s="10" t="b">
        <f>IF(ISERROR(VLOOKUP( LEFT(B428, LEN(B428) - IF(ISNUMBER(RIGHT(B428, 1) * 1), 1, 0)),metadata_testudines!B$1:B$60,1,FALSE)),FALSE,TRUE)</f>
        <v>1</v>
      </c>
      <c r="F428" t="s">
        <v>691</v>
      </c>
      <c r="G428" t="s">
        <v>692</v>
      </c>
      <c r="H428">
        <v>1</v>
      </c>
      <c r="I428" t="s">
        <v>693</v>
      </c>
      <c r="J428" t="s">
        <v>694</v>
      </c>
      <c r="K428" t="s">
        <v>647</v>
      </c>
      <c r="L428" t="s">
        <v>664</v>
      </c>
      <c r="M428" t="s">
        <v>664</v>
      </c>
    </row>
    <row r="429" spans="1:13" hidden="1" x14ac:dyDescent="0.2">
      <c r="A429" s="10" t="s">
        <v>558</v>
      </c>
      <c r="B429" t="s">
        <v>70</v>
      </c>
      <c r="C429" t="s">
        <v>658</v>
      </c>
      <c r="D429" t="s">
        <v>659</v>
      </c>
      <c r="E429" s="10" t="b">
        <f>IF(ISERROR(VLOOKUP( LEFT(B429, LEN(B429) - IF(ISNUMBER(RIGHT(B429, 1) * 1), 1, 0)),metadata_testudines!B$1:B$60,1,FALSE)),FALSE,TRUE)</f>
        <v>1</v>
      </c>
      <c r="F429" t="s">
        <v>681</v>
      </c>
      <c r="G429" t="s">
        <v>685</v>
      </c>
      <c r="H429">
        <v>0.82</v>
      </c>
      <c r="I429" t="s">
        <v>667</v>
      </c>
      <c r="J429" t="s">
        <v>683</v>
      </c>
      <c r="K429" t="s">
        <v>645</v>
      </c>
      <c r="L429" t="s">
        <v>684</v>
      </c>
      <c r="M429" t="s">
        <v>664</v>
      </c>
    </row>
    <row r="430" spans="1:13" hidden="1" x14ac:dyDescent="0.2">
      <c r="A430" s="10" t="s">
        <v>558</v>
      </c>
      <c r="B430" t="s">
        <v>70</v>
      </c>
      <c r="C430" t="s">
        <v>658</v>
      </c>
      <c r="D430" t="s">
        <v>659</v>
      </c>
      <c r="E430" s="10" t="b">
        <f>IF(ISERROR(VLOOKUP( LEFT(B430, LEN(B430) - IF(ISNUMBER(RIGHT(B430, 1) * 1), 1, 0)),metadata_testudines!B$1:B$60,1,FALSE)),FALSE,TRUE)</f>
        <v>1</v>
      </c>
      <c r="F430" t="s">
        <v>691</v>
      </c>
      <c r="G430" t="s">
        <v>692</v>
      </c>
      <c r="H430">
        <v>1</v>
      </c>
      <c r="I430" t="s">
        <v>693</v>
      </c>
      <c r="J430" t="s">
        <v>694</v>
      </c>
      <c r="K430" t="s">
        <v>647</v>
      </c>
      <c r="L430" t="s">
        <v>664</v>
      </c>
      <c r="M430" t="s">
        <v>664</v>
      </c>
    </row>
    <row r="431" spans="1:13" hidden="1" x14ac:dyDescent="0.2">
      <c r="A431" s="10" t="s">
        <v>558</v>
      </c>
      <c r="B431" t="s">
        <v>70</v>
      </c>
      <c r="C431" t="s">
        <v>658</v>
      </c>
      <c r="D431" t="s">
        <v>659</v>
      </c>
      <c r="E431" s="10" t="b">
        <f>IF(ISERROR(VLOOKUP( LEFT(B431, LEN(B431) - IF(ISNUMBER(RIGHT(B431, 1) * 1), 1, 0)),metadata_testudines!B$1:B$60,1,FALSE)),FALSE,TRUE)</f>
        <v>1</v>
      </c>
      <c r="F431" t="s">
        <v>660</v>
      </c>
      <c r="G431" t="s">
        <v>669</v>
      </c>
      <c r="H431">
        <v>5844</v>
      </c>
      <c r="I431" t="s">
        <v>662</v>
      </c>
      <c r="J431" t="s">
        <v>670</v>
      </c>
      <c r="K431" t="s">
        <v>647</v>
      </c>
      <c r="L431" t="s">
        <v>647</v>
      </c>
      <c r="M431" t="s">
        <v>664</v>
      </c>
    </row>
    <row r="432" spans="1:13" hidden="1" x14ac:dyDescent="0.2">
      <c r="A432" s="10" t="s">
        <v>558</v>
      </c>
      <c r="B432" t="s">
        <v>69</v>
      </c>
      <c r="C432" t="s">
        <v>658</v>
      </c>
      <c r="D432" t="s">
        <v>659</v>
      </c>
      <c r="E432" s="10" t="b">
        <f>IF(ISERROR(VLOOKUP( LEFT(B432, LEN(B432) - IF(ISNUMBER(RIGHT(B432, 1) * 1), 1, 0)),metadata_testudines!B$1:B$60,1,FALSE)),FALSE,TRUE)</f>
        <v>1</v>
      </c>
      <c r="F432" t="s">
        <v>660</v>
      </c>
      <c r="G432" t="s">
        <v>669</v>
      </c>
      <c r="H432">
        <v>7670.25</v>
      </c>
      <c r="I432" t="s">
        <v>662</v>
      </c>
      <c r="J432" t="s">
        <v>670</v>
      </c>
      <c r="K432" t="s">
        <v>647</v>
      </c>
      <c r="L432" t="s">
        <v>647</v>
      </c>
      <c r="M432" t="s">
        <v>664</v>
      </c>
    </row>
    <row r="433" spans="1:13" hidden="1" x14ac:dyDescent="0.2">
      <c r="A433" s="10" t="s">
        <v>558</v>
      </c>
      <c r="B433" t="s">
        <v>69</v>
      </c>
      <c r="C433" t="s">
        <v>658</v>
      </c>
      <c r="D433" t="s">
        <v>659</v>
      </c>
      <c r="E433" s="10" t="b">
        <f>IF(ISERROR(VLOOKUP( LEFT(B433, LEN(B433) - IF(ISNUMBER(RIGHT(B433, 1) * 1), 1, 0)),metadata_testudines!B$1:B$60,1,FALSE)),FALSE,TRUE)</f>
        <v>1</v>
      </c>
      <c r="F433" t="s">
        <v>660</v>
      </c>
      <c r="G433" t="s">
        <v>666</v>
      </c>
      <c r="H433">
        <v>40</v>
      </c>
      <c r="I433" t="s">
        <v>667</v>
      </c>
      <c r="J433" t="s">
        <v>668</v>
      </c>
      <c r="K433" t="s">
        <v>647</v>
      </c>
      <c r="L433" t="s">
        <v>664</v>
      </c>
      <c r="M433" t="s">
        <v>664</v>
      </c>
    </row>
    <row r="434" spans="1:13" hidden="1" x14ac:dyDescent="0.2">
      <c r="A434" s="10" t="s">
        <v>558</v>
      </c>
      <c r="B434" t="s">
        <v>69</v>
      </c>
      <c r="C434" t="s">
        <v>658</v>
      </c>
      <c r="D434" t="s">
        <v>659</v>
      </c>
      <c r="E434" s="10" t="b">
        <f>IF(ISERROR(VLOOKUP( LEFT(B434, LEN(B434) - IF(ISNUMBER(RIGHT(B434, 1) * 1), 1, 0)),metadata_testudines!B$1:B$60,1,FALSE)),FALSE,TRUE)</f>
        <v>1</v>
      </c>
      <c r="F434" t="s">
        <v>660</v>
      </c>
      <c r="G434" t="s">
        <v>661</v>
      </c>
      <c r="H434">
        <v>5</v>
      </c>
      <c r="I434" t="s">
        <v>662</v>
      </c>
      <c r="J434" t="s">
        <v>663</v>
      </c>
      <c r="K434" t="s">
        <v>647</v>
      </c>
      <c r="L434" t="s">
        <v>664</v>
      </c>
      <c r="M434" t="s">
        <v>664</v>
      </c>
    </row>
    <row r="435" spans="1:13" hidden="1" x14ac:dyDescent="0.2">
      <c r="A435" s="10" t="s">
        <v>558</v>
      </c>
      <c r="B435" t="s">
        <v>69</v>
      </c>
      <c r="C435" t="s">
        <v>658</v>
      </c>
      <c r="D435" t="s">
        <v>659</v>
      </c>
      <c r="E435" s="10" t="b">
        <f>IF(ISERROR(VLOOKUP( LEFT(B435, LEN(B435) - IF(ISNUMBER(RIGHT(B435, 1) * 1), 1, 0)),metadata_testudines!B$1:B$60,1,FALSE)),FALSE,TRUE)</f>
        <v>1</v>
      </c>
      <c r="F435" t="s">
        <v>660</v>
      </c>
      <c r="G435" t="s">
        <v>661</v>
      </c>
      <c r="H435">
        <v>2.0699999999999998</v>
      </c>
      <c r="I435" t="s">
        <v>662</v>
      </c>
      <c r="J435" t="s">
        <v>663</v>
      </c>
      <c r="K435" t="s">
        <v>647</v>
      </c>
      <c r="L435" t="s">
        <v>664</v>
      </c>
      <c r="M435" t="s">
        <v>664</v>
      </c>
    </row>
    <row r="436" spans="1:13" hidden="1" x14ac:dyDescent="0.2">
      <c r="A436" s="10" t="s">
        <v>558</v>
      </c>
      <c r="B436" t="s">
        <v>69</v>
      </c>
      <c r="C436" t="s">
        <v>658</v>
      </c>
      <c r="D436" t="s">
        <v>659</v>
      </c>
      <c r="E436" s="10" t="b">
        <f>IF(ISERROR(VLOOKUP( LEFT(B436, LEN(B436) - IF(ISNUMBER(RIGHT(B436, 1) * 1), 1, 0)),metadata_testudines!B$1:B$60,1,FALSE)),FALSE,TRUE)</f>
        <v>1</v>
      </c>
      <c r="F436" t="s">
        <v>660</v>
      </c>
      <c r="G436" t="s">
        <v>669</v>
      </c>
      <c r="H436">
        <v>5844</v>
      </c>
      <c r="I436" t="s">
        <v>662</v>
      </c>
      <c r="J436" t="s">
        <v>670</v>
      </c>
      <c r="K436" t="s">
        <v>647</v>
      </c>
      <c r="L436" t="s">
        <v>647</v>
      </c>
      <c r="M436" t="s">
        <v>664</v>
      </c>
    </row>
    <row r="437" spans="1:13" hidden="1" x14ac:dyDescent="0.2">
      <c r="A437" s="10" t="s">
        <v>558</v>
      </c>
      <c r="B437" t="s">
        <v>69</v>
      </c>
      <c r="C437" t="s">
        <v>658</v>
      </c>
      <c r="D437" t="s">
        <v>659</v>
      </c>
      <c r="E437" s="10" t="b">
        <f>IF(ISERROR(VLOOKUP( LEFT(B437, LEN(B437) - IF(ISNUMBER(RIGHT(B437, 1) * 1), 1, 0)),metadata_testudines!B$1:B$60,1,FALSE)),FALSE,TRUE)</f>
        <v>1</v>
      </c>
      <c r="F437" t="s">
        <v>660</v>
      </c>
      <c r="G437" t="s">
        <v>665</v>
      </c>
      <c r="H437">
        <v>1</v>
      </c>
      <c r="I437" t="s">
        <v>662</v>
      </c>
      <c r="J437" t="s">
        <v>663</v>
      </c>
      <c r="K437" t="s">
        <v>647</v>
      </c>
      <c r="L437" t="s">
        <v>664</v>
      </c>
      <c r="M437" t="s">
        <v>664</v>
      </c>
    </row>
    <row r="438" spans="1:13" hidden="1" x14ac:dyDescent="0.2">
      <c r="A438" s="10" t="s">
        <v>558</v>
      </c>
      <c r="B438" t="s">
        <v>69</v>
      </c>
      <c r="C438" t="s">
        <v>658</v>
      </c>
      <c r="D438" t="s">
        <v>659</v>
      </c>
      <c r="E438" s="10" t="b">
        <f>IF(ISERROR(VLOOKUP( LEFT(B438, LEN(B438) - IF(ISNUMBER(RIGHT(B438, 1) * 1), 1, 0)),metadata_testudines!B$1:B$60,1,FALSE)),FALSE,TRUE)</f>
        <v>1</v>
      </c>
      <c r="F438" t="s">
        <v>660</v>
      </c>
      <c r="G438" t="s">
        <v>669</v>
      </c>
      <c r="H438">
        <v>1826.25</v>
      </c>
      <c r="I438" t="s">
        <v>662</v>
      </c>
      <c r="J438" t="s">
        <v>670</v>
      </c>
      <c r="K438" t="s">
        <v>647</v>
      </c>
      <c r="L438" t="s">
        <v>647</v>
      </c>
      <c r="M438" t="s">
        <v>664</v>
      </c>
    </row>
    <row r="439" spans="1:13" hidden="1" x14ac:dyDescent="0.2">
      <c r="A439" s="10" t="s">
        <v>558</v>
      </c>
      <c r="B439" t="s">
        <v>69</v>
      </c>
      <c r="C439" t="s">
        <v>658</v>
      </c>
      <c r="D439" t="s">
        <v>659</v>
      </c>
      <c r="E439" s="10" t="b">
        <f>IF(ISERROR(VLOOKUP( LEFT(B439, LEN(B439) - IF(ISNUMBER(RIGHT(B439, 1) * 1), 1, 0)),metadata_testudines!B$1:B$60,1,FALSE)),FALSE,TRUE)</f>
        <v>1</v>
      </c>
      <c r="F439" t="s">
        <v>660</v>
      </c>
      <c r="G439" t="s">
        <v>661</v>
      </c>
      <c r="H439">
        <v>1</v>
      </c>
      <c r="I439" t="s">
        <v>662</v>
      </c>
      <c r="J439" t="s">
        <v>663</v>
      </c>
      <c r="K439" t="s">
        <v>647</v>
      </c>
      <c r="L439" t="s">
        <v>664</v>
      </c>
      <c r="M439" t="s">
        <v>664</v>
      </c>
    </row>
    <row r="440" spans="1:13" hidden="1" x14ac:dyDescent="0.2">
      <c r="A440" s="10" t="s">
        <v>558</v>
      </c>
      <c r="B440" t="s">
        <v>69</v>
      </c>
      <c r="C440" t="s">
        <v>658</v>
      </c>
      <c r="D440" t="s">
        <v>659</v>
      </c>
      <c r="E440" s="10" t="b">
        <f>IF(ISERROR(VLOOKUP( LEFT(B440, LEN(B440) - IF(ISNUMBER(RIGHT(B440, 1) * 1), 1, 0)),metadata_testudines!B$1:B$60,1,FALSE)),FALSE,TRUE)</f>
        <v>1</v>
      </c>
      <c r="F440" t="s">
        <v>660</v>
      </c>
      <c r="G440" t="s">
        <v>666</v>
      </c>
      <c r="H440">
        <v>8.5</v>
      </c>
      <c r="I440" t="s">
        <v>667</v>
      </c>
      <c r="J440" t="s">
        <v>668</v>
      </c>
      <c r="K440" t="s">
        <v>647</v>
      </c>
      <c r="L440" t="s">
        <v>664</v>
      </c>
      <c r="M440" t="s">
        <v>664</v>
      </c>
    </row>
    <row r="441" spans="1:13" hidden="1" x14ac:dyDescent="0.2">
      <c r="A441" s="10" t="s">
        <v>558</v>
      </c>
      <c r="B441" t="s">
        <v>69</v>
      </c>
      <c r="C441" t="s">
        <v>658</v>
      </c>
      <c r="D441" t="s">
        <v>659</v>
      </c>
      <c r="E441" s="10" t="b">
        <f>IF(ISERROR(VLOOKUP( LEFT(B441, LEN(B441) - IF(ISNUMBER(RIGHT(B441, 1) * 1), 1, 0)),metadata_testudines!B$1:B$60,1,FALSE)),FALSE,TRUE)</f>
        <v>1</v>
      </c>
      <c r="F441" t="s">
        <v>660</v>
      </c>
      <c r="G441" t="s">
        <v>669</v>
      </c>
      <c r="H441">
        <v>5478.75</v>
      </c>
      <c r="I441" t="s">
        <v>662</v>
      </c>
      <c r="J441" t="s">
        <v>670</v>
      </c>
      <c r="K441" t="s">
        <v>647</v>
      </c>
      <c r="L441" t="s">
        <v>647</v>
      </c>
      <c r="M441" t="s">
        <v>664</v>
      </c>
    </row>
    <row r="442" spans="1:13" hidden="1" x14ac:dyDescent="0.2">
      <c r="A442" s="10" t="s">
        <v>558</v>
      </c>
      <c r="B442" t="s">
        <v>69</v>
      </c>
      <c r="C442" t="s">
        <v>658</v>
      </c>
      <c r="D442" t="s">
        <v>659</v>
      </c>
      <c r="E442" s="10" t="b">
        <f>IF(ISERROR(VLOOKUP( LEFT(B442, LEN(B442) - IF(ISNUMBER(RIGHT(B442, 1) * 1), 1, 0)),metadata_testudines!B$1:B$60,1,FALSE)),FALSE,TRUE)</f>
        <v>1</v>
      </c>
      <c r="F442" t="s">
        <v>660</v>
      </c>
      <c r="G442" t="s">
        <v>669</v>
      </c>
      <c r="H442">
        <v>3652.5</v>
      </c>
      <c r="I442" t="s">
        <v>662</v>
      </c>
      <c r="J442" t="s">
        <v>670</v>
      </c>
      <c r="K442" t="s">
        <v>647</v>
      </c>
      <c r="L442" t="s">
        <v>647</v>
      </c>
      <c r="M442" t="s">
        <v>664</v>
      </c>
    </row>
    <row r="443" spans="1:13" hidden="1" x14ac:dyDescent="0.2">
      <c r="A443" s="10" t="s">
        <v>558</v>
      </c>
      <c r="B443" t="s">
        <v>69</v>
      </c>
      <c r="C443" t="s">
        <v>658</v>
      </c>
      <c r="D443" t="s">
        <v>659</v>
      </c>
      <c r="E443" s="10" t="b">
        <f>IF(ISERROR(VLOOKUP( LEFT(B443, LEN(B443) - IF(ISNUMBER(RIGHT(B443, 1) * 1), 1, 0)),metadata_testudines!B$1:B$60,1,FALSE)),FALSE,TRUE)</f>
        <v>1</v>
      </c>
      <c r="F443" t="s">
        <v>660</v>
      </c>
      <c r="G443" t="s">
        <v>665</v>
      </c>
      <c r="H443">
        <v>1</v>
      </c>
      <c r="I443" t="s">
        <v>662</v>
      </c>
      <c r="J443" t="s">
        <v>663</v>
      </c>
      <c r="K443" t="s">
        <v>647</v>
      </c>
      <c r="L443" t="s">
        <v>664</v>
      </c>
      <c r="M443" t="s">
        <v>664</v>
      </c>
    </row>
    <row r="444" spans="1:13" hidden="1" x14ac:dyDescent="0.2">
      <c r="A444" s="10" t="s">
        <v>558</v>
      </c>
      <c r="B444" t="s">
        <v>69</v>
      </c>
      <c r="C444" t="s">
        <v>658</v>
      </c>
      <c r="D444" t="s">
        <v>659</v>
      </c>
      <c r="E444" s="10" t="b">
        <f>IF(ISERROR(VLOOKUP( LEFT(B444, LEN(B444) - IF(ISNUMBER(RIGHT(B444, 1) * 1), 1, 0)),metadata_testudines!B$1:B$60,1,FALSE)),FALSE,TRUE)</f>
        <v>1</v>
      </c>
      <c r="F444" t="s">
        <v>660</v>
      </c>
      <c r="G444" t="s">
        <v>665</v>
      </c>
      <c r="H444">
        <v>1.34</v>
      </c>
      <c r="I444" t="s">
        <v>662</v>
      </c>
      <c r="J444" t="s">
        <v>663</v>
      </c>
      <c r="K444" t="s">
        <v>647</v>
      </c>
      <c r="L444" t="s">
        <v>664</v>
      </c>
      <c r="M444" t="s">
        <v>664</v>
      </c>
    </row>
    <row r="445" spans="1:13" hidden="1" x14ac:dyDescent="0.2">
      <c r="A445" s="10" t="s">
        <v>558</v>
      </c>
      <c r="B445" t="s">
        <v>69</v>
      </c>
      <c r="C445" t="s">
        <v>658</v>
      </c>
      <c r="D445" t="s">
        <v>659</v>
      </c>
      <c r="E445" s="10" t="b">
        <f>IF(ISERROR(VLOOKUP( LEFT(B445, LEN(B445) - IF(ISNUMBER(RIGHT(B445, 1) * 1), 1, 0)),metadata_testudines!B$1:B$60,1,FALSE)),FALSE,TRUE)</f>
        <v>1</v>
      </c>
      <c r="F445" t="s">
        <v>660</v>
      </c>
      <c r="G445" t="s">
        <v>669</v>
      </c>
      <c r="H445">
        <v>4857.8249999999998</v>
      </c>
      <c r="I445" t="s">
        <v>662</v>
      </c>
      <c r="J445" t="s">
        <v>670</v>
      </c>
      <c r="K445" t="s">
        <v>647</v>
      </c>
      <c r="L445" t="s">
        <v>647</v>
      </c>
      <c r="M445" t="s">
        <v>664</v>
      </c>
    </row>
    <row r="446" spans="1:13" hidden="1" x14ac:dyDescent="0.2">
      <c r="A446" s="10" t="s">
        <v>558</v>
      </c>
      <c r="B446" t="s">
        <v>69</v>
      </c>
      <c r="C446" t="s">
        <v>658</v>
      </c>
      <c r="D446" t="s">
        <v>659</v>
      </c>
      <c r="E446" s="10" t="b">
        <f>IF(ISERROR(VLOOKUP( LEFT(B446, LEN(B446) - IF(ISNUMBER(RIGHT(B446, 1) * 1), 1, 0)),metadata_testudines!B$1:B$60,1,FALSE)),FALSE,TRUE)</f>
        <v>1</v>
      </c>
      <c r="F446" t="s">
        <v>660</v>
      </c>
      <c r="G446" t="s">
        <v>666</v>
      </c>
      <c r="H446">
        <v>30.7</v>
      </c>
      <c r="I446" t="s">
        <v>667</v>
      </c>
      <c r="J446" t="s">
        <v>668</v>
      </c>
      <c r="K446" t="s">
        <v>647</v>
      </c>
      <c r="L446" t="s">
        <v>664</v>
      </c>
      <c r="M446" t="s">
        <v>664</v>
      </c>
    </row>
    <row r="447" spans="1:13" hidden="1" x14ac:dyDescent="0.2">
      <c r="A447" s="10" t="s">
        <v>558</v>
      </c>
      <c r="B447" t="s">
        <v>69</v>
      </c>
      <c r="C447" t="s">
        <v>658</v>
      </c>
      <c r="D447" t="s">
        <v>659</v>
      </c>
      <c r="E447" s="10" t="b">
        <f>IF(ISERROR(VLOOKUP( LEFT(B447, LEN(B447) - IF(ISNUMBER(RIGHT(B447, 1) * 1), 1, 0)),metadata_testudines!B$1:B$60,1,FALSE)),FALSE,TRUE)</f>
        <v>1</v>
      </c>
      <c r="F447" t="s">
        <v>660</v>
      </c>
      <c r="G447" t="s">
        <v>661</v>
      </c>
      <c r="H447">
        <v>3</v>
      </c>
      <c r="I447" t="s">
        <v>662</v>
      </c>
      <c r="J447" t="s">
        <v>663</v>
      </c>
      <c r="K447" t="s">
        <v>647</v>
      </c>
      <c r="L447" t="s">
        <v>664</v>
      </c>
      <c r="M447" t="s">
        <v>664</v>
      </c>
    </row>
    <row r="448" spans="1:13" hidden="1" x14ac:dyDescent="0.2">
      <c r="A448" s="10" t="s">
        <v>558</v>
      </c>
      <c r="B448" t="s">
        <v>69</v>
      </c>
      <c r="C448" t="s">
        <v>658</v>
      </c>
      <c r="D448" t="s">
        <v>659</v>
      </c>
      <c r="E448" s="10" t="b">
        <f>IF(ISERROR(VLOOKUP( LEFT(B448, LEN(B448) - IF(ISNUMBER(RIGHT(B448, 1) * 1), 1, 0)),metadata_testudines!B$1:B$60,1,FALSE)),FALSE,TRUE)</f>
        <v>1</v>
      </c>
      <c r="F448" t="s">
        <v>660</v>
      </c>
      <c r="G448" t="s">
        <v>675</v>
      </c>
      <c r="H448">
        <v>3652.5</v>
      </c>
      <c r="I448" t="s">
        <v>662</v>
      </c>
      <c r="J448" t="s">
        <v>670</v>
      </c>
      <c r="K448" t="s">
        <v>647</v>
      </c>
      <c r="L448" t="s">
        <v>646</v>
      </c>
      <c r="M448" t="s">
        <v>664</v>
      </c>
    </row>
    <row r="449" spans="1:13" hidden="1" x14ac:dyDescent="0.2">
      <c r="A449" s="10" t="s">
        <v>558</v>
      </c>
      <c r="B449" t="s">
        <v>69</v>
      </c>
      <c r="C449" t="s">
        <v>658</v>
      </c>
      <c r="D449" t="s">
        <v>659</v>
      </c>
      <c r="E449" s="10" t="b">
        <f>IF(ISERROR(VLOOKUP( LEFT(B449, LEN(B449) - IF(ISNUMBER(RIGHT(B449, 1) * 1), 1, 0)),metadata_testudines!B$1:B$60,1,FALSE)),FALSE,TRUE)</f>
        <v>1</v>
      </c>
      <c r="F449" t="s">
        <v>660</v>
      </c>
      <c r="G449" t="s">
        <v>661</v>
      </c>
      <c r="H449">
        <v>2</v>
      </c>
      <c r="I449" t="s">
        <v>662</v>
      </c>
      <c r="J449" t="s">
        <v>663</v>
      </c>
      <c r="K449" t="s">
        <v>647</v>
      </c>
      <c r="L449" t="s">
        <v>664</v>
      </c>
      <c r="M449" t="s">
        <v>664</v>
      </c>
    </row>
    <row r="450" spans="1:13" hidden="1" x14ac:dyDescent="0.2">
      <c r="A450" s="10" t="s">
        <v>558</v>
      </c>
      <c r="B450" t="s">
        <v>69</v>
      </c>
      <c r="C450" t="s">
        <v>658</v>
      </c>
      <c r="D450" t="s">
        <v>659</v>
      </c>
      <c r="E450" s="10" t="b">
        <f>IF(ISERROR(VLOOKUP( LEFT(B450, LEN(B450) - IF(ISNUMBER(RIGHT(B450, 1) * 1), 1, 0)),metadata_testudines!B$1:B$60,1,FALSE)),FALSE,TRUE)</f>
        <v>1</v>
      </c>
      <c r="F450" t="s">
        <v>660</v>
      </c>
      <c r="G450" t="s">
        <v>666</v>
      </c>
      <c r="H450">
        <v>40</v>
      </c>
      <c r="I450" t="s">
        <v>667</v>
      </c>
      <c r="J450" t="s">
        <v>668</v>
      </c>
      <c r="K450" t="s">
        <v>647</v>
      </c>
      <c r="L450" t="s">
        <v>664</v>
      </c>
      <c r="M450" t="s">
        <v>664</v>
      </c>
    </row>
    <row r="451" spans="1:13" hidden="1" x14ac:dyDescent="0.2">
      <c r="A451" s="10" t="s">
        <v>558</v>
      </c>
      <c r="B451" t="s">
        <v>69</v>
      </c>
      <c r="C451" t="s">
        <v>658</v>
      </c>
      <c r="D451" t="s">
        <v>659</v>
      </c>
      <c r="E451" s="10" t="b">
        <f>IF(ISERROR(VLOOKUP( LEFT(B451, LEN(B451) - IF(ISNUMBER(RIGHT(B451, 1) * 1), 1, 0)),metadata_testudines!B$1:B$60,1,FALSE)),FALSE,TRUE)</f>
        <v>1</v>
      </c>
      <c r="F451" t="s">
        <v>660</v>
      </c>
      <c r="G451" t="s">
        <v>661</v>
      </c>
      <c r="H451">
        <v>2.6</v>
      </c>
      <c r="I451" t="s">
        <v>662</v>
      </c>
      <c r="J451" t="s">
        <v>663</v>
      </c>
      <c r="K451" t="s">
        <v>647</v>
      </c>
      <c r="L451" t="s">
        <v>664</v>
      </c>
      <c r="M451" t="s">
        <v>664</v>
      </c>
    </row>
    <row r="452" spans="1:13" hidden="1" x14ac:dyDescent="0.2">
      <c r="A452" s="10" t="s">
        <v>558</v>
      </c>
      <c r="B452" t="s">
        <v>69</v>
      </c>
      <c r="C452" t="s">
        <v>658</v>
      </c>
      <c r="D452" t="s">
        <v>659</v>
      </c>
      <c r="E452" s="10" t="b">
        <f>IF(ISERROR(VLOOKUP( LEFT(B452, LEN(B452) - IF(ISNUMBER(RIGHT(B452, 1) * 1), 1, 0)),metadata_testudines!B$1:B$60,1,FALSE)),FALSE,TRUE)</f>
        <v>1</v>
      </c>
      <c r="F452" t="s">
        <v>671</v>
      </c>
      <c r="G452" t="s">
        <v>672</v>
      </c>
      <c r="H452">
        <v>30.7</v>
      </c>
      <c r="I452" t="s">
        <v>667</v>
      </c>
      <c r="J452" t="s">
        <v>668</v>
      </c>
      <c r="K452" t="s">
        <v>673</v>
      </c>
      <c r="L452" t="s">
        <v>664</v>
      </c>
      <c r="M452" t="s">
        <v>678</v>
      </c>
    </row>
    <row r="453" spans="1:13" hidden="1" x14ac:dyDescent="0.2">
      <c r="A453" s="10" t="s">
        <v>558</v>
      </c>
      <c r="B453" t="s">
        <v>69</v>
      </c>
      <c r="C453" t="s">
        <v>658</v>
      </c>
      <c r="D453" t="s">
        <v>659</v>
      </c>
      <c r="E453" s="10" t="b">
        <f>IF(ISERROR(VLOOKUP( LEFT(B453, LEN(B453) - IF(ISNUMBER(RIGHT(B453, 1) * 1), 1, 0)),metadata_testudines!B$1:B$60,1,FALSE)),FALSE,TRUE)</f>
        <v>1</v>
      </c>
      <c r="F453" t="s">
        <v>660</v>
      </c>
      <c r="G453" t="s">
        <v>666</v>
      </c>
      <c r="H453">
        <v>20</v>
      </c>
      <c r="I453" t="s">
        <v>667</v>
      </c>
      <c r="J453" t="s">
        <v>668</v>
      </c>
      <c r="K453" t="s">
        <v>647</v>
      </c>
      <c r="L453" t="s">
        <v>664</v>
      </c>
      <c r="M453" t="s">
        <v>664</v>
      </c>
    </row>
    <row r="454" spans="1:13" hidden="1" x14ac:dyDescent="0.2">
      <c r="A454" s="10" t="s">
        <v>558</v>
      </c>
      <c r="B454" t="s">
        <v>69</v>
      </c>
      <c r="C454" t="s">
        <v>658</v>
      </c>
      <c r="D454" t="s">
        <v>659</v>
      </c>
      <c r="E454" s="10" t="b">
        <f>IF(ISERROR(VLOOKUP( LEFT(B454, LEN(B454) - IF(ISNUMBER(RIGHT(B454, 1) * 1), 1, 0)),metadata_testudines!B$1:B$60,1,FALSE)),FALSE,TRUE)</f>
        <v>1</v>
      </c>
      <c r="F454" t="s">
        <v>660</v>
      </c>
      <c r="G454" t="s">
        <v>661</v>
      </c>
      <c r="H454">
        <v>5</v>
      </c>
      <c r="I454" t="s">
        <v>662</v>
      </c>
      <c r="J454" t="s">
        <v>663</v>
      </c>
      <c r="K454" t="s">
        <v>647</v>
      </c>
      <c r="L454" t="s">
        <v>664</v>
      </c>
      <c r="M454" t="s">
        <v>664</v>
      </c>
    </row>
    <row r="455" spans="1:13" hidden="1" x14ac:dyDescent="0.2">
      <c r="A455" s="10" t="s">
        <v>558</v>
      </c>
      <c r="B455" t="s">
        <v>69</v>
      </c>
      <c r="C455" t="s">
        <v>658</v>
      </c>
      <c r="D455" t="s">
        <v>659</v>
      </c>
      <c r="E455" s="10" t="b">
        <f>IF(ISERROR(VLOOKUP( LEFT(B455, LEN(B455) - IF(ISNUMBER(RIGHT(B455, 1) * 1), 1, 0)),metadata_testudines!B$1:B$60,1,FALSE)),FALSE,TRUE)</f>
        <v>1</v>
      </c>
      <c r="F455" t="s">
        <v>660</v>
      </c>
      <c r="G455" t="s">
        <v>669</v>
      </c>
      <c r="H455">
        <v>4017.75</v>
      </c>
      <c r="I455" t="s">
        <v>662</v>
      </c>
      <c r="J455" t="s">
        <v>670</v>
      </c>
      <c r="K455" t="s">
        <v>647</v>
      </c>
      <c r="L455" t="s">
        <v>647</v>
      </c>
      <c r="M455" t="s">
        <v>664</v>
      </c>
    </row>
    <row r="456" spans="1:13" hidden="1" x14ac:dyDescent="0.2">
      <c r="A456" s="10" t="s">
        <v>558</v>
      </c>
      <c r="B456" t="s">
        <v>69</v>
      </c>
      <c r="C456" t="s">
        <v>658</v>
      </c>
      <c r="D456" t="s">
        <v>659</v>
      </c>
      <c r="E456" s="10" t="b">
        <f>IF(ISERROR(VLOOKUP( LEFT(B456, LEN(B456) - IF(ISNUMBER(RIGHT(B456, 1) * 1), 1, 0)),metadata_testudines!B$1:B$60,1,FALSE)),FALSE,TRUE)</f>
        <v>1</v>
      </c>
      <c r="F456" t="s">
        <v>660</v>
      </c>
      <c r="G456" t="s">
        <v>666</v>
      </c>
      <c r="H456">
        <v>60</v>
      </c>
      <c r="I456" t="s">
        <v>667</v>
      </c>
      <c r="J456" t="s">
        <v>668</v>
      </c>
      <c r="K456" t="s">
        <v>647</v>
      </c>
      <c r="L456" t="s">
        <v>664</v>
      </c>
      <c r="M456" t="s">
        <v>664</v>
      </c>
    </row>
    <row r="457" spans="1:13" hidden="1" x14ac:dyDescent="0.2">
      <c r="A457" s="10" t="s">
        <v>558</v>
      </c>
      <c r="B457" t="s">
        <v>69</v>
      </c>
      <c r="C457" t="s">
        <v>658</v>
      </c>
      <c r="D457" t="s">
        <v>659</v>
      </c>
      <c r="E457" s="10" t="b">
        <f>IF(ISERROR(VLOOKUP( LEFT(B457, LEN(B457) - IF(ISNUMBER(RIGHT(B457, 1) * 1), 1, 0)),metadata_testudines!B$1:B$60,1,FALSE)),FALSE,TRUE)</f>
        <v>1</v>
      </c>
      <c r="F457" t="s">
        <v>660</v>
      </c>
      <c r="G457" t="s">
        <v>665</v>
      </c>
      <c r="H457">
        <v>2</v>
      </c>
      <c r="I457" t="s">
        <v>662</v>
      </c>
      <c r="J457" t="s">
        <v>663</v>
      </c>
      <c r="K457" t="s">
        <v>647</v>
      </c>
      <c r="L457" t="s">
        <v>664</v>
      </c>
      <c r="M457" t="s">
        <v>664</v>
      </c>
    </row>
    <row r="458" spans="1:13" hidden="1" x14ac:dyDescent="0.2">
      <c r="A458" s="10" t="s">
        <v>558</v>
      </c>
      <c r="B458" t="s">
        <v>69</v>
      </c>
      <c r="C458" t="s">
        <v>658</v>
      </c>
      <c r="D458" t="s">
        <v>659</v>
      </c>
      <c r="E458" s="10" t="b">
        <f>IF(ISERROR(VLOOKUP( LEFT(B458, LEN(B458) - IF(ISNUMBER(RIGHT(B458, 1) * 1), 1, 0)),metadata_testudines!B$1:B$60,1,FALSE)),FALSE,TRUE)</f>
        <v>1</v>
      </c>
      <c r="F458" t="s">
        <v>660</v>
      </c>
      <c r="G458" t="s">
        <v>661</v>
      </c>
      <c r="H458">
        <v>12</v>
      </c>
      <c r="I458" t="s">
        <v>662</v>
      </c>
      <c r="J458" t="s">
        <v>663</v>
      </c>
      <c r="K458" t="s">
        <v>647</v>
      </c>
      <c r="L458" t="s">
        <v>664</v>
      </c>
      <c r="M458" t="s">
        <v>664</v>
      </c>
    </row>
    <row r="459" spans="1:13" hidden="1" x14ac:dyDescent="0.2">
      <c r="A459" s="10" t="s">
        <v>558</v>
      </c>
      <c r="B459" t="s">
        <v>69</v>
      </c>
      <c r="C459" t="s">
        <v>658</v>
      </c>
      <c r="D459" t="s">
        <v>659</v>
      </c>
      <c r="E459" s="10" t="b">
        <f>IF(ISERROR(VLOOKUP( LEFT(B459, LEN(B459) - IF(ISNUMBER(RIGHT(B459, 1) * 1), 1, 0)),metadata_testudines!B$1:B$60,1,FALSE)),FALSE,TRUE)</f>
        <v>1</v>
      </c>
      <c r="F459" t="s">
        <v>660</v>
      </c>
      <c r="G459" t="s">
        <v>661</v>
      </c>
      <c r="H459">
        <v>5.2</v>
      </c>
      <c r="I459" t="s">
        <v>662</v>
      </c>
      <c r="J459" t="s">
        <v>663</v>
      </c>
      <c r="K459" t="s">
        <v>647</v>
      </c>
      <c r="L459" t="s">
        <v>664</v>
      </c>
      <c r="M459" t="s">
        <v>664</v>
      </c>
    </row>
    <row r="460" spans="1:13" hidden="1" x14ac:dyDescent="0.2">
      <c r="A460" s="10" t="s">
        <v>558</v>
      </c>
      <c r="B460" t="s">
        <v>69</v>
      </c>
      <c r="C460" t="s">
        <v>658</v>
      </c>
      <c r="D460" t="s">
        <v>659</v>
      </c>
      <c r="E460" s="10" t="b">
        <f>IF(ISERROR(VLOOKUP( LEFT(B460, LEN(B460) - IF(ISNUMBER(RIGHT(B460, 1) * 1), 1, 0)),metadata_testudines!B$1:B$60,1,FALSE)),FALSE,TRUE)</f>
        <v>1</v>
      </c>
      <c r="F460" t="s">
        <v>660</v>
      </c>
      <c r="G460" t="s">
        <v>665</v>
      </c>
      <c r="H460">
        <v>1</v>
      </c>
      <c r="I460" t="s">
        <v>662</v>
      </c>
      <c r="J460" t="s">
        <v>663</v>
      </c>
      <c r="K460" t="s">
        <v>647</v>
      </c>
      <c r="L460" t="s">
        <v>664</v>
      </c>
      <c r="M460" t="s">
        <v>664</v>
      </c>
    </row>
    <row r="461" spans="1:13" hidden="1" x14ac:dyDescent="0.2">
      <c r="A461" s="10" t="s">
        <v>558</v>
      </c>
      <c r="B461" t="s">
        <v>69</v>
      </c>
      <c r="C461" t="s">
        <v>658</v>
      </c>
      <c r="D461" t="s">
        <v>659</v>
      </c>
      <c r="E461" s="10" t="b">
        <f>IF(ISERROR(VLOOKUP( LEFT(B461, LEN(B461) - IF(ISNUMBER(RIGHT(B461, 1) * 1), 1, 0)),metadata_testudines!B$1:B$60,1,FALSE)),FALSE,TRUE)</f>
        <v>1</v>
      </c>
      <c r="F461" t="s">
        <v>660</v>
      </c>
      <c r="G461" t="s">
        <v>661</v>
      </c>
      <c r="H461">
        <v>2</v>
      </c>
      <c r="I461" t="s">
        <v>662</v>
      </c>
      <c r="J461" t="s">
        <v>663</v>
      </c>
      <c r="K461" t="s">
        <v>647</v>
      </c>
      <c r="L461" t="s">
        <v>664</v>
      </c>
      <c r="M461" t="s">
        <v>664</v>
      </c>
    </row>
    <row r="462" spans="1:13" hidden="1" x14ac:dyDescent="0.2">
      <c r="A462" s="10" t="s">
        <v>558</v>
      </c>
      <c r="B462" t="s">
        <v>69</v>
      </c>
      <c r="C462" t="s">
        <v>658</v>
      </c>
      <c r="D462" t="s">
        <v>659</v>
      </c>
      <c r="E462" s="10" t="b">
        <f>IF(ISERROR(VLOOKUP( LEFT(B462, LEN(B462) - IF(ISNUMBER(RIGHT(B462, 1) * 1), 1, 0)),metadata_testudines!B$1:B$60,1,FALSE)),FALSE,TRUE)</f>
        <v>1</v>
      </c>
      <c r="F462" t="s">
        <v>660</v>
      </c>
      <c r="G462" t="s">
        <v>666</v>
      </c>
      <c r="H462">
        <v>40</v>
      </c>
      <c r="I462" t="s">
        <v>667</v>
      </c>
      <c r="J462" t="s">
        <v>668</v>
      </c>
      <c r="K462" t="s">
        <v>647</v>
      </c>
      <c r="L462" t="s">
        <v>664</v>
      </c>
      <c r="M462" t="s">
        <v>664</v>
      </c>
    </row>
    <row r="463" spans="1:13" hidden="1" x14ac:dyDescent="0.2">
      <c r="A463" s="10" t="s">
        <v>558</v>
      </c>
      <c r="B463" t="s">
        <v>69</v>
      </c>
      <c r="C463" t="s">
        <v>658</v>
      </c>
      <c r="D463" t="s">
        <v>659</v>
      </c>
      <c r="E463" s="10" t="b">
        <f>IF(ISERROR(VLOOKUP( LEFT(B463, LEN(B463) - IF(ISNUMBER(RIGHT(B463, 1) * 1), 1, 0)),metadata_testudines!B$1:B$60,1,FALSE)),FALSE,TRUE)</f>
        <v>1</v>
      </c>
      <c r="F463" t="s">
        <v>660</v>
      </c>
      <c r="G463" t="s">
        <v>666</v>
      </c>
      <c r="H463">
        <v>60</v>
      </c>
      <c r="I463" t="s">
        <v>667</v>
      </c>
      <c r="J463" t="s">
        <v>668</v>
      </c>
      <c r="K463" t="s">
        <v>647</v>
      </c>
      <c r="L463" t="s">
        <v>664</v>
      </c>
      <c r="M463" t="s">
        <v>664</v>
      </c>
    </row>
    <row r="464" spans="1:13" hidden="1" x14ac:dyDescent="0.2">
      <c r="A464" s="10" t="s">
        <v>558</v>
      </c>
      <c r="B464" t="s">
        <v>69</v>
      </c>
      <c r="C464" t="s">
        <v>658</v>
      </c>
      <c r="D464" t="s">
        <v>659</v>
      </c>
      <c r="E464" s="10" t="b">
        <f>IF(ISERROR(VLOOKUP( LEFT(B464, LEN(B464) - IF(ISNUMBER(RIGHT(B464, 1) * 1), 1, 0)),metadata_testudines!B$1:B$60,1,FALSE)),FALSE,TRUE)</f>
        <v>1</v>
      </c>
      <c r="F464" t="s">
        <v>660</v>
      </c>
      <c r="G464" t="s">
        <v>661</v>
      </c>
      <c r="H464">
        <v>1</v>
      </c>
      <c r="I464" t="s">
        <v>662</v>
      </c>
      <c r="J464" t="s">
        <v>663</v>
      </c>
      <c r="K464" t="s">
        <v>647</v>
      </c>
      <c r="L464" t="s">
        <v>664</v>
      </c>
      <c r="M464" t="s">
        <v>664</v>
      </c>
    </row>
    <row r="465" spans="1:13" hidden="1" x14ac:dyDescent="0.2">
      <c r="A465" s="10" t="s">
        <v>558</v>
      </c>
      <c r="B465" t="s">
        <v>179</v>
      </c>
      <c r="C465" t="s">
        <v>658</v>
      </c>
      <c r="D465" t="s">
        <v>659</v>
      </c>
      <c r="E465" s="10" t="b">
        <f>IF(ISERROR(VLOOKUP( LEFT(B465, LEN(B465) - IF(ISNUMBER(RIGHT(B465, 1) * 1), 1, 0)),metadata_testudines!B$1:B$60,1,FALSE)),FALSE,TRUE)</f>
        <v>0</v>
      </c>
      <c r="F465" t="s">
        <v>660</v>
      </c>
      <c r="G465" t="s">
        <v>661</v>
      </c>
      <c r="H465">
        <v>8</v>
      </c>
      <c r="I465" t="s">
        <v>662</v>
      </c>
      <c r="J465" t="s">
        <v>663</v>
      </c>
      <c r="K465" t="s">
        <v>647</v>
      </c>
      <c r="L465" t="s">
        <v>664</v>
      </c>
      <c r="M465" t="s">
        <v>664</v>
      </c>
    </row>
    <row r="466" spans="1:13" hidden="1" x14ac:dyDescent="0.2">
      <c r="A466" s="10" t="s">
        <v>558</v>
      </c>
      <c r="B466" t="s">
        <v>179</v>
      </c>
      <c r="C466" t="s">
        <v>658</v>
      </c>
      <c r="D466" t="s">
        <v>659</v>
      </c>
      <c r="E466" s="10" t="b">
        <f>IF(ISERROR(VLOOKUP( LEFT(B466, LEN(B466) - IF(ISNUMBER(RIGHT(B466, 1) * 1), 1, 0)),metadata_testudines!B$1:B$60,1,FALSE)),FALSE,TRUE)</f>
        <v>0</v>
      </c>
      <c r="F466" t="s">
        <v>660</v>
      </c>
      <c r="G466" t="s">
        <v>665</v>
      </c>
      <c r="H466">
        <v>2</v>
      </c>
      <c r="I466" t="s">
        <v>662</v>
      </c>
      <c r="J466" t="s">
        <v>663</v>
      </c>
      <c r="K466" t="s">
        <v>647</v>
      </c>
      <c r="L466" t="s">
        <v>664</v>
      </c>
      <c r="M466" t="s">
        <v>664</v>
      </c>
    </row>
    <row r="467" spans="1:13" hidden="1" x14ac:dyDescent="0.2">
      <c r="A467" s="10" t="s">
        <v>558</v>
      </c>
      <c r="B467" t="s">
        <v>179</v>
      </c>
      <c r="C467" t="s">
        <v>658</v>
      </c>
      <c r="D467" t="s">
        <v>659</v>
      </c>
      <c r="E467" s="10" t="b">
        <f>IF(ISERROR(VLOOKUP( LEFT(B467, LEN(B467) - IF(ISNUMBER(RIGHT(B467, 1) * 1), 1, 0)),metadata_testudines!B$1:B$60,1,FALSE)),FALSE,TRUE)</f>
        <v>0</v>
      </c>
      <c r="F467" t="s">
        <v>660</v>
      </c>
      <c r="G467" t="s">
        <v>661</v>
      </c>
      <c r="H467">
        <v>5.2</v>
      </c>
      <c r="I467" t="s">
        <v>662</v>
      </c>
      <c r="J467" t="s">
        <v>663</v>
      </c>
      <c r="K467" t="s">
        <v>647</v>
      </c>
      <c r="L467" t="s">
        <v>664</v>
      </c>
      <c r="M467" t="s">
        <v>664</v>
      </c>
    </row>
    <row r="468" spans="1:13" hidden="1" x14ac:dyDescent="0.2">
      <c r="A468" s="10" t="s">
        <v>558</v>
      </c>
      <c r="B468" t="s">
        <v>179</v>
      </c>
      <c r="C468" t="s">
        <v>658</v>
      </c>
      <c r="D468" t="s">
        <v>659</v>
      </c>
      <c r="E468" s="10" t="b">
        <f>IF(ISERROR(VLOOKUP( LEFT(B468, LEN(B468) - IF(ISNUMBER(RIGHT(B468, 1) * 1), 1, 0)),metadata_testudines!B$1:B$60,1,FALSE)),FALSE,TRUE)</f>
        <v>0</v>
      </c>
      <c r="F468" t="s">
        <v>660</v>
      </c>
      <c r="G468" t="s">
        <v>669</v>
      </c>
      <c r="H468">
        <v>5478.75</v>
      </c>
      <c r="I468" t="s">
        <v>662</v>
      </c>
      <c r="J468" t="s">
        <v>670</v>
      </c>
      <c r="K468" t="s">
        <v>647</v>
      </c>
      <c r="L468" t="s">
        <v>647</v>
      </c>
      <c r="M468" t="s">
        <v>664</v>
      </c>
    </row>
    <row r="469" spans="1:13" hidden="1" x14ac:dyDescent="0.2">
      <c r="A469" s="10" t="s">
        <v>558</v>
      </c>
      <c r="B469" t="s">
        <v>179</v>
      </c>
      <c r="C469" t="s">
        <v>658</v>
      </c>
      <c r="D469" t="s">
        <v>659</v>
      </c>
      <c r="E469" s="10" t="b">
        <f>IF(ISERROR(VLOOKUP( LEFT(B469, LEN(B469) - IF(ISNUMBER(RIGHT(B469, 1) * 1), 1, 0)),metadata_testudines!B$1:B$60,1,FALSE)),FALSE,TRUE)</f>
        <v>0</v>
      </c>
      <c r="F469" t="s">
        <v>660</v>
      </c>
      <c r="G469" t="s">
        <v>661</v>
      </c>
      <c r="H469">
        <v>5.2</v>
      </c>
      <c r="I469" t="s">
        <v>662</v>
      </c>
      <c r="J469" t="s">
        <v>663</v>
      </c>
      <c r="K469" t="s">
        <v>647</v>
      </c>
      <c r="L469" t="s">
        <v>664</v>
      </c>
      <c r="M469" t="s">
        <v>664</v>
      </c>
    </row>
    <row r="470" spans="1:13" hidden="1" x14ac:dyDescent="0.2">
      <c r="A470" s="10" t="s">
        <v>558</v>
      </c>
      <c r="B470" t="s">
        <v>179</v>
      </c>
      <c r="C470" t="s">
        <v>658</v>
      </c>
      <c r="D470" t="s">
        <v>659</v>
      </c>
      <c r="E470" s="10" t="b">
        <f>IF(ISERROR(VLOOKUP( LEFT(B470, LEN(B470) - IF(ISNUMBER(RIGHT(B470, 1) * 1), 1, 0)),metadata_testudines!B$1:B$60,1,FALSE)),FALSE,TRUE)</f>
        <v>0</v>
      </c>
      <c r="F470" t="s">
        <v>660</v>
      </c>
      <c r="G470" t="s">
        <v>669</v>
      </c>
      <c r="H470">
        <v>7305</v>
      </c>
      <c r="I470" t="s">
        <v>662</v>
      </c>
      <c r="J470" t="s">
        <v>670</v>
      </c>
      <c r="K470" t="s">
        <v>647</v>
      </c>
      <c r="L470" t="s">
        <v>647</v>
      </c>
      <c r="M470" t="s">
        <v>664</v>
      </c>
    </row>
    <row r="471" spans="1:13" hidden="1" x14ac:dyDescent="0.2">
      <c r="A471" s="10" t="s">
        <v>558</v>
      </c>
      <c r="B471" t="s">
        <v>179</v>
      </c>
      <c r="C471" t="s">
        <v>658</v>
      </c>
      <c r="D471" t="s">
        <v>659</v>
      </c>
      <c r="E471" s="10" t="b">
        <f>IF(ISERROR(VLOOKUP( LEFT(B471, LEN(B471) - IF(ISNUMBER(RIGHT(B471, 1) * 1), 1, 0)),metadata_testudines!B$1:B$60,1,FALSE)),FALSE,TRUE)</f>
        <v>0</v>
      </c>
      <c r="F471" t="s">
        <v>660</v>
      </c>
      <c r="G471" t="s">
        <v>669</v>
      </c>
      <c r="H471">
        <v>7304.8</v>
      </c>
      <c r="I471" t="s">
        <v>662</v>
      </c>
      <c r="J471" t="s">
        <v>670</v>
      </c>
      <c r="K471" t="s">
        <v>647</v>
      </c>
      <c r="L471" t="s">
        <v>647</v>
      </c>
      <c r="M471" t="s">
        <v>664</v>
      </c>
    </row>
    <row r="472" spans="1:13" hidden="1" x14ac:dyDescent="0.2">
      <c r="A472" s="10" t="s">
        <v>558</v>
      </c>
      <c r="B472" t="s">
        <v>179</v>
      </c>
      <c r="C472" t="s">
        <v>658</v>
      </c>
      <c r="D472" t="s">
        <v>659</v>
      </c>
      <c r="E472" s="10" t="b">
        <f>IF(ISERROR(VLOOKUP( LEFT(B472, LEN(B472) - IF(ISNUMBER(RIGHT(B472, 1) * 1), 1, 0)),metadata_testudines!B$1:B$60,1,FALSE)),FALSE,TRUE)</f>
        <v>0</v>
      </c>
      <c r="F472" t="s">
        <v>660</v>
      </c>
      <c r="G472" t="s">
        <v>669</v>
      </c>
      <c r="H472">
        <v>5478.6</v>
      </c>
      <c r="I472" t="s">
        <v>662</v>
      </c>
      <c r="J472" t="s">
        <v>670</v>
      </c>
      <c r="K472" t="s">
        <v>647</v>
      </c>
      <c r="L472" t="s">
        <v>647</v>
      </c>
      <c r="M472" t="s">
        <v>664</v>
      </c>
    </row>
    <row r="473" spans="1:13" hidden="1" x14ac:dyDescent="0.2">
      <c r="A473" s="10" t="s">
        <v>558</v>
      </c>
      <c r="B473" t="s">
        <v>179</v>
      </c>
      <c r="C473" t="s">
        <v>658</v>
      </c>
      <c r="D473" t="s">
        <v>659</v>
      </c>
      <c r="E473" s="10" t="b">
        <f>IF(ISERROR(VLOOKUP( LEFT(B473, LEN(B473) - IF(ISNUMBER(RIGHT(B473, 1) * 1), 1, 0)),metadata_testudines!B$1:B$60,1,FALSE)),FALSE,TRUE)</f>
        <v>0</v>
      </c>
      <c r="F473" t="s">
        <v>660</v>
      </c>
      <c r="G473" t="s">
        <v>669</v>
      </c>
      <c r="H473">
        <v>7305</v>
      </c>
      <c r="I473" t="s">
        <v>662</v>
      </c>
      <c r="J473" t="s">
        <v>670</v>
      </c>
      <c r="K473" t="s">
        <v>647</v>
      </c>
      <c r="L473" t="s">
        <v>647</v>
      </c>
      <c r="M473" t="s">
        <v>664</v>
      </c>
    </row>
    <row r="474" spans="1:13" hidden="1" x14ac:dyDescent="0.2">
      <c r="A474" s="10" t="s">
        <v>558</v>
      </c>
      <c r="B474" t="s">
        <v>179</v>
      </c>
      <c r="C474" t="s">
        <v>658</v>
      </c>
      <c r="D474" t="s">
        <v>659</v>
      </c>
      <c r="E474" s="10" t="b">
        <f>IF(ISERROR(VLOOKUP( LEFT(B474, LEN(B474) - IF(ISNUMBER(RIGHT(B474, 1) * 1), 1, 0)),metadata_testudines!B$1:B$60,1,FALSE)),FALSE,TRUE)</f>
        <v>0</v>
      </c>
      <c r="F474" t="s">
        <v>660</v>
      </c>
      <c r="G474" t="s">
        <v>661</v>
      </c>
      <c r="H474">
        <v>9</v>
      </c>
      <c r="I474" t="s">
        <v>662</v>
      </c>
      <c r="J474" t="s">
        <v>663</v>
      </c>
      <c r="K474" t="s">
        <v>647</v>
      </c>
      <c r="L474" t="s">
        <v>664</v>
      </c>
      <c r="M474" t="s">
        <v>664</v>
      </c>
    </row>
    <row r="475" spans="1:13" hidden="1" x14ac:dyDescent="0.2">
      <c r="A475" s="10" t="s">
        <v>558</v>
      </c>
      <c r="B475" t="s">
        <v>179</v>
      </c>
      <c r="C475" t="s">
        <v>658</v>
      </c>
      <c r="D475" t="s">
        <v>659</v>
      </c>
      <c r="E475" s="10" t="b">
        <f>IF(ISERROR(VLOOKUP( LEFT(B475, LEN(B475) - IF(ISNUMBER(RIGHT(B475, 1) * 1), 1, 0)),metadata_testudines!B$1:B$60,1,FALSE)),FALSE,TRUE)</f>
        <v>0</v>
      </c>
      <c r="F475" t="s">
        <v>660</v>
      </c>
      <c r="G475" t="s">
        <v>665</v>
      </c>
      <c r="H475">
        <v>1.3</v>
      </c>
      <c r="I475" t="s">
        <v>662</v>
      </c>
      <c r="J475" t="s">
        <v>663</v>
      </c>
      <c r="K475" t="s">
        <v>647</v>
      </c>
      <c r="L475" t="s">
        <v>664</v>
      </c>
      <c r="M475" t="s">
        <v>664</v>
      </c>
    </row>
    <row r="476" spans="1:13" hidden="1" x14ac:dyDescent="0.2">
      <c r="A476" s="10" t="s">
        <v>558</v>
      </c>
      <c r="B476" t="s">
        <v>179</v>
      </c>
      <c r="C476" t="s">
        <v>658</v>
      </c>
      <c r="D476" t="s">
        <v>659</v>
      </c>
      <c r="E476" s="10" t="b">
        <f>IF(ISERROR(VLOOKUP( LEFT(B476, LEN(B476) - IF(ISNUMBER(RIGHT(B476, 1) * 1), 1, 0)),metadata_testudines!B$1:B$60,1,FALSE)),FALSE,TRUE)</f>
        <v>0</v>
      </c>
      <c r="F476" t="s">
        <v>660</v>
      </c>
      <c r="G476" t="s">
        <v>665</v>
      </c>
      <c r="H476">
        <v>1</v>
      </c>
      <c r="I476" t="s">
        <v>662</v>
      </c>
      <c r="J476" t="s">
        <v>663</v>
      </c>
      <c r="K476" t="s">
        <v>647</v>
      </c>
      <c r="L476" t="s">
        <v>664</v>
      </c>
      <c r="M476" t="s">
        <v>664</v>
      </c>
    </row>
    <row r="477" spans="1:13" hidden="1" x14ac:dyDescent="0.2">
      <c r="A477" s="10" t="s">
        <v>558</v>
      </c>
      <c r="B477" t="s">
        <v>179</v>
      </c>
      <c r="C477" t="s">
        <v>658</v>
      </c>
      <c r="D477" t="s">
        <v>659</v>
      </c>
      <c r="E477" s="10" t="b">
        <f>IF(ISERROR(VLOOKUP( LEFT(B477, LEN(B477) - IF(ISNUMBER(RIGHT(B477, 1) * 1), 1, 0)),metadata_testudines!B$1:B$60,1,FALSE)),FALSE,TRUE)</f>
        <v>0</v>
      </c>
      <c r="F477" t="s">
        <v>660</v>
      </c>
      <c r="G477" t="s">
        <v>669</v>
      </c>
      <c r="H477">
        <v>5478.75</v>
      </c>
      <c r="I477" t="s">
        <v>662</v>
      </c>
      <c r="J477" t="s">
        <v>670</v>
      </c>
      <c r="K477" t="s">
        <v>647</v>
      </c>
      <c r="L477" t="s">
        <v>647</v>
      </c>
      <c r="M477" t="s">
        <v>664</v>
      </c>
    </row>
    <row r="478" spans="1:13" hidden="1" x14ac:dyDescent="0.2">
      <c r="A478" s="10" t="s">
        <v>558</v>
      </c>
      <c r="B478" t="s">
        <v>179</v>
      </c>
      <c r="C478" t="s">
        <v>658</v>
      </c>
      <c r="D478" t="s">
        <v>659</v>
      </c>
      <c r="E478" s="10" t="b">
        <f>IF(ISERROR(VLOOKUP( LEFT(B478, LEN(B478) - IF(ISNUMBER(RIGHT(B478, 1) * 1), 1, 0)),metadata_testudines!B$1:B$60,1,FALSE)),FALSE,TRUE)</f>
        <v>0</v>
      </c>
      <c r="F478" t="s">
        <v>660</v>
      </c>
      <c r="G478" t="s">
        <v>661</v>
      </c>
      <c r="H478">
        <v>3</v>
      </c>
      <c r="I478" t="s">
        <v>662</v>
      </c>
      <c r="J478" t="s">
        <v>663</v>
      </c>
      <c r="K478" t="s">
        <v>647</v>
      </c>
      <c r="L478" t="s">
        <v>664</v>
      </c>
      <c r="M478" t="s">
        <v>664</v>
      </c>
    </row>
    <row r="479" spans="1:13" hidden="1" x14ac:dyDescent="0.2">
      <c r="A479" s="10" t="s">
        <v>558</v>
      </c>
      <c r="B479" t="s">
        <v>179</v>
      </c>
      <c r="C479" t="s">
        <v>658</v>
      </c>
      <c r="D479" t="s">
        <v>659</v>
      </c>
      <c r="E479" s="10" t="b">
        <f>IF(ISERROR(VLOOKUP( LEFT(B479, LEN(B479) - IF(ISNUMBER(RIGHT(B479, 1) * 1), 1, 0)),metadata_testudines!B$1:B$60,1,FALSE)),FALSE,TRUE)</f>
        <v>0</v>
      </c>
      <c r="F479" t="s">
        <v>660</v>
      </c>
      <c r="G479" t="s">
        <v>661</v>
      </c>
      <c r="H479">
        <v>3</v>
      </c>
      <c r="I479" t="s">
        <v>662</v>
      </c>
      <c r="J479" t="s">
        <v>663</v>
      </c>
      <c r="K479" t="s">
        <v>647</v>
      </c>
      <c r="L479" t="s">
        <v>664</v>
      </c>
      <c r="M479" t="s">
        <v>664</v>
      </c>
    </row>
    <row r="480" spans="1:13" hidden="1" x14ac:dyDescent="0.2">
      <c r="A480" s="10" t="s">
        <v>558</v>
      </c>
      <c r="B480" t="s">
        <v>710</v>
      </c>
      <c r="C480" t="s">
        <v>658</v>
      </c>
      <c r="D480" t="s">
        <v>659</v>
      </c>
      <c r="E480" s="10" t="b">
        <f>IF(ISERROR(VLOOKUP( LEFT(B480, LEN(B480) - IF(ISNUMBER(RIGHT(B480, 1) * 1), 1, 0)),metadata_testudines!B$1:B$60,1,FALSE)),FALSE,TRUE)</f>
        <v>0</v>
      </c>
      <c r="F480" t="s">
        <v>681</v>
      </c>
      <c r="G480" t="s">
        <v>685</v>
      </c>
      <c r="H480">
        <v>0.82</v>
      </c>
      <c r="I480" t="s">
        <v>667</v>
      </c>
      <c r="J480" t="s">
        <v>683</v>
      </c>
      <c r="K480" t="s">
        <v>645</v>
      </c>
      <c r="L480" t="s">
        <v>684</v>
      </c>
      <c r="M480" t="s">
        <v>664</v>
      </c>
    </row>
    <row r="481" spans="1:13" hidden="1" x14ac:dyDescent="0.2">
      <c r="A481" s="10" t="s">
        <v>558</v>
      </c>
      <c r="B481" t="s">
        <v>710</v>
      </c>
      <c r="C481" t="s">
        <v>658</v>
      </c>
      <c r="D481" t="s">
        <v>659</v>
      </c>
      <c r="E481" s="10" t="b">
        <f>IF(ISERROR(VLOOKUP( LEFT(B481, LEN(B481) - IF(ISNUMBER(RIGHT(B481, 1) * 1), 1, 0)),metadata_testudines!B$1:B$60,1,FALSE)),FALSE,TRUE)</f>
        <v>0</v>
      </c>
      <c r="F481" t="s">
        <v>681</v>
      </c>
      <c r="G481" t="s">
        <v>682</v>
      </c>
      <c r="H481">
        <v>0.47</v>
      </c>
      <c r="I481" t="s">
        <v>667</v>
      </c>
      <c r="J481" t="s">
        <v>683</v>
      </c>
      <c r="K481" t="s">
        <v>645</v>
      </c>
      <c r="L481" t="s">
        <v>684</v>
      </c>
      <c r="M481" t="s">
        <v>664</v>
      </c>
    </row>
    <row r="482" spans="1:13" hidden="1" x14ac:dyDescent="0.2">
      <c r="A482" s="10" t="s">
        <v>558</v>
      </c>
      <c r="B482" t="s">
        <v>710</v>
      </c>
      <c r="C482" t="s">
        <v>658</v>
      </c>
      <c r="D482" t="s">
        <v>659</v>
      </c>
      <c r="E482" s="10" t="b">
        <f>IF(ISERROR(VLOOKUP( LEFT(B482, LEN(B482) - IF(ISNUMBER(RIGHT(B482, 1) * 1), 1, 0)),metadata_testudines!B$1:B$60,1,FALSE)),FALSE,TRUE)</f>
        <v>0</v>
      </c>
      <c r="F482" t="s">
        <v>681</v>
      </c>
      <c r="G482" t="s">
        <v>685</v>
      </c>
      <c r="H482">
        <v>0.94</v>
      </c>
      <c r="I482" t="s">
        <v>667</v>
      </c>
      <c r="J482" t="s">
        <v>683</v>
      </c>
      <c r="K482" t="s">
        <v>645</v>
      </c>
      <c r="L482" t="s">
        <v>684</v>
      </c>
      <c r="M482" t="s">
        <v>664</v>
      </c>
    </row>
    <row r="483" spans="1:13" hidden="1" x14ac:dyDescent="0.2">
      <c r="A483" s="10" t="s">
        <v>558</v>
      </c>
      <c r="B483" t="s">
        <v>710</v>
      </c>
      <c r="C483" t="s">
        <v>658</v>
      </c>
      <c r="D483" t="s">
        <v>659</v>
      </c>
      <c r="E483" s="10" t="b">
        <f>IF(ISERROR(VLOOKUP( LEFT(B483, LEN(B483) - IF(ISNUMBER(RIGHT(B483, 1) * 1), 1, 0)),metadata_testudines!B$1:B$60,1,FALSE)),FALSE,TRUE)</f>
        <v>0</v>
      </c>
      <c r="F483" t="s">
        <v>681</v>
      </c>
      <c r="G483" t="s">
        <v>685</v>
      </c>
      <c r="H483">
        <v>0.82</v>
      </c>
      <c r="I483" t="s">
        <v>667</v>
      </c>
      <c r="J483" t="s">
        <v>683</v>
      </c>
      <c r="K483" t="s">
        <v>645</v>
      </c>
      <c r="L483" t="s">
        <v>684</v>
      </c>
      <c r="M483" t="s">
        <v>664</v>
      </c>
    </row>
    <row r="484" spans="1:13" hidden="1" x14ac:dyDescent="0.2">
      <c r="A484" s="10" t="s">
        <v>558</v>
      </c>
      <c r="B484" t="s">
        <v>710</v>
      </c>
      <c r="C484" t="s">
        <v>658</v>
      </c>
      <c r="D484" t="s">
        <v>659</v>
      </c>
      <c r="E484" s="10" t="b">
        <f>IF(ISERROR(VLOOKUP( LEFT(B484, LEN(B484) - IF(ISNUMBER(RIGHT(B484, 1) * 1), 1, 0)),metadata_testudines!B$1:B$60,1,FALSE)),FALSE,TRUE)</f>
        <v>0</v>
      </c>
      <c r="F484" t="s">
        <v>681</v>
      </c>
      <c r="G484" t="s">
        <v>685</v>
      </c>
      <c r="H484">
        <v>0.94</v>
      </c>
      <c r="I484" t="s">
        <v>667</v>
      </c>
      <c r="J484" t="s">
        <v>683</v>
      </c>
      <c r="K484" t="s">
        <v>645</v>
      </c>
      <c r="L484" t="s">
        <v>684</v>
      </c>
      <c r="M484" t="s">
        <v>664</v>
      </c>
    </row>
    <row r="485" spans="1:13" hidden="1" x14ac:dyDescent="0.2">
      <c r="A485" s="10" t="s">
        <v>558</v>
      </c>
      <c r="B485" t="s">
        <v>710</v>
      </c>
      <c r="C485" t="s">
        <v>658</v>
      </c>
      <c r="D485" t="s">
        <v>659</v>
      </c>
      <c r="E485" s="10" t="b">
        <f>IF(ISERROR(VLOOKUP( LEFT(B485, LEN(B485) - IF(ISNUMBER(RIGHT(B485, 1) * 1), 1, 0)),metadata_testudines!B$1:B$60,1,FALSE)),FALSE,TRUE)</f>
        <v>0</v>
      </c>
      <c r="F485" t="s">
        <v>681</v>
      </c>
      <c r="G485" t="s">
        <v>682</v>
      </c>
      <c r="H485">
        <v>0.47</v>
      </c>
      <c r="I485" t="s">
        <v>667</v>
      </c>
      <c r="J485" t="s">
        <v>683</v>
      </c>
      <c r="K485" t="s">
        <v>645</v>
      </c>
      <c r="L485" t="s">
        <v>684</v>
      </c>
      <c r="M485" t="s">
        <v>664</v>
      </c>
    </row>
    <row r="486" spans="1:13" hidden="1" x14ac:dyDescent="0.2">
      <c r="A486" s="10" t="s">
        <v>558</v>
      </c>
      <c r="B486" t="s">
        <v>710</v>
      </c>
      <c r="C486" t="s">
        <v>658</v>
      </c>
      <c r="D486" t="s">
        <v>659</v>
      </c>
      <c r="E486" s="10" t="b">
        <f>IF(ISERROR(VLOOKUP( LEFT(B486, LEN(B486) - IF(ISNUMBER(RIGHT(B486, 1) * 1), 1, 0)),metadata_testudines!B$1:B$60,1,FALSE)),FALSE,TRUE)</f>
        <v>0</v>
      </c>
      <c r="F486" t="s">
        <v>681</v>
      </c>
      <c r="G486" t="s">
        <v>682</v>
      </c>
      <c r="H486">
        <v>0.94</v>
      </c>
      <c r="I486" t="s">
        <v>667</v>
      </c>
      <c r="J486" t="s">
        <v>683</v>
      </c>
      <c r="K486" t="s">
        <v>645</v>
      </c>
      <c r="L486" t="s">
        <v>684</v>
      </c>
      <c r="M486" t="s">
        <v>664</v>
      </c>
    </row>
    <row r="487" spans="1:13" hidden="1" x14ac:dyDescent="0.2">
      <c r="A487" s="10" t="s">
        <v>558</v>
      </c>
      <c r="B487" t="s">
        <v>710</v>
      </c>
      <c r="C487" t="s">
        <v>658</v>
      </c>
      <c r="D487" t="s">
        <v>659</v>
      </c>
      <c r="E487" s="10" t="b">
        <f>IF(ISERROR(VLOOKUP( LEFT(B487, LEN(B487) - IF(ISNUMBER(RIGHT(B487, 1) * 1), 1, 0)),metadata_testudines!B$1:B$60,1,FALSE)),FALSE,TRUE)</f>
        <v>0</v>
      </c>
      <c r="F487" t="s">
        <v>681</v>
      </c>
      <c r="G487" t="s">
        <v>685</v>
      </c>
      <c r="H487">
        <v>0.82</v>
      </c>
      <c r="I487" t="s">
        <v>667</v>
      </c>
      <c r="J487" t="s">
        <v>683</v>
      </c>
      <c r="K487" t="s">
        <v>645</v>
      </c>
      <c r="L487" t="s">
        <v>684</v>
      </c>
      <c r="M487" t="s">
        <v>664</v>
      </c>
    </row>
    <row r="488" spans="1:13" hidden="1" x14ac:dyDescent="0.2">
      <c r="A488" s="10" t="s">
        <v>558</v>
      </c>
      <c r="B488" t="s">
        <v>710</v>
      </c>
      <c r="C488" t="s">
        <v>658</v>
      </c>
      <c r="D488" t="s">
        <v>659</v>
      </c>
      <c r="E488" s="10" t="b">
        <f>IF(ISERROR(VLOOKUP( LEFT(B488, LEN(B488) - IF(ISNUMBER(RIGHT(B488, 1) * 1), 1, 0)),metadata_testudines!B$1:B$60,1,FALSE)),FALSE,TRUE)</f>
        <v>0</v>
      </c>
      <c r="F488" t="s">
        <v>681</v>
      </c>
      <c r="G488" t="s">
        <v>682</v>
      </c>
      <c r="H488">
        <v>0.88</v>
      </c>
      <c r="I488" t="s">
        <v>667</v>
      </c>
      <c r="J488" t="s">
        <v>683</v>
      </c>
      <c r="K488" t="s">
        <v>645</v>
      </c>
      <c r="L488" t="s">
        <v>684</v>
      </c>
      <c r="M488" t="s">
        <v>664</v>
      </c>
    </row>
    <row r="489" spans="1:13" hidden="1" x14ac:dyDescent="0.2">
      <c r="A489" s="10" t="s">
        <v>558</v>
      </c>
      <c r="B489" t="s">
        <v>710</v>
      </c>
      <c r="C489" t="s">
        <v>658</v>
      </c>
      <c r="D489" t="s">
        <v>659</v>
      </c>
      <c r="E489" s="10" t="b">
        <f>IF(ISERROR(VLOOKUP( LEFT(B489, LEN(B489) - IF(ISNUMBER(RIGHT(B489, 1) * 1), 1, 0)),metadata_testudines!B$1:B$60,1,FALSE)),FALSE,TRUE)</f>
        <v>0</v>
      </c>
      <c r="F489" t="s">
        <v>681</v>
      </c>
      <c r="G489" t="s">
        <v>685</v>
      </c>
      <c r="H489">
        <v>0.47</v>
      </c>
      <c r="I489" t="s">
        <v>667</v>
      </c>
      <c r="J489" t="s">
        <v>683</v>
      </c>
      <c r="K489" t="s">
        <v>645</v>
      </c>
      <c r="L489" t="s">
        <v>684</v>
      </c>
      <c r="M489" t="s">
        <v>664</v>
      </c>
    </row>
    <row r="490" spans="1:13" hidden="1" x14ac:dyDescent="0.2">
      <c r="A490" s="10" t="s">
        <v>558</v>
      </c>
      <c r="B490" t="s">
        <v>710</v>
      </c>
      <c r="C490" t="s">
        <v>658</v>
      </c>
      <c r="D490" t="s">
        <v>659</v>
      </c>
      <c r="E490" s="10" t="b">
        <f>IF(ISERROR(VLOOKUP( LEFT(B490, LEN(B490) - IF(ISNUMBER(RIGHT(B490, 1) * 1), 1, 0)),metadata_testudines!B$1:B$60,1,FALSE)),FALSE,TRUE)</f>
        <v>0</v>
      </c>
      <c r="F490" t="s">
        <v>681</v>
      </c>
      <c r="G490" t="s">
        <v>685</v>
      </c>
      <c r="H490">
        <v>0.47</v>
      </c>
      <c r="I490" t="s">
        <v>667</v>
      </c>
      <c r="J490" t="s">
        <v>683</v>
      </c>
      <c r="K490" t="s">
        <v>645</v>
      </c>
      <c r="L490" t="s">
        <v>684</v>
      </c>
      <c r="M490" t="s">
        <v>664</v>
      </c>
    </row>
    <row r="491" spans="1:13" hidden="1" x14ac:dyDescent="0.2">
      <c r="A491" s="10" t="s">
        <v>558</v>
      </c>
      <c r="B491" t="s">
        <v>710</v>
      </c>
      <c r="C491" t="s">
        <v>658</v>
      </c>
      <c r="D491" t="s">
        <v>659</v>
      </c>
      <c r="E491" s="10" t="b">
        <f>IF(ISERROR(VLOOKUP( LEFT(B491, LEN(B491) - IF(ISNUMBER(RIGHT(B491, 1) * 1), 1, 0)),metadata_testudines!B$1:B$60,1,FALSE)),FALSE,TRUE)</f>
        <v>0</v>
      </c>
      <c r="F491" t="s">
        <v>681</v>
      </c>
      <c r="G491" t="s">
        <v>682</v>
      </c>
      <c r="H491">
        <v>0.47</v>
      </c>
      <c r="I491" t="s">
        <v>667</v>
      </c>
      <c r="J491" t="s">
        <v>683</v>
      </c>
      <c r="K491" t="s">
        <v>645</v>
      </c>
      <c r="L491" t="s">
        <v>684</v>
      </c>
      <c r="M491" t="s">
        <v>664</v>
      </c>
    </row>
    <row r="492" spans="1:13" hidden="1" x14ac:dyDescent="0.2">
      <c r="A492" s="10" t="s">
        <v>558</v>
      </c>
      <c r="B492" t="s">
        <v>710</v>
      </c>
      <c r="C492" t="s">
        <v>658</v>
      </c>
      <c r="D492" t="s">
        <v>659</v>
      </c>
      <c r="E492" s="10" t="b">
        <f>IF(ISERROR(VLOOKUP( LEFT(B492, LEN(B492) - IF(ISNUMBER(RIGHT(B492, 1) * 1), 1, 0)),metadata_testudines!B$1:B$60,1,FALSE)),FALSE,TRUE)</f>
        <v>0</v>
      </c>
      <c r="F492" t="s">
        <v>681</v>
      </c>
      <c r="G492" t="s">
        <v>682</v>
      </c>
      <c r="H492">
        <v>0.82</v>
      </c>
      <c r="I492" t="s">
        <v>667</v>
      </c>
      <c r="J492" t="s">
        <v>683</v>
      </c>
      <c r="K492" t="s">
        <v>645</v>
      </c>
      <c r="L492" t="s">
        <v>684</v>
      </c>
      <c r="M492" t="s">
        <v>664</v>
      </c>
    </row>
    <row r="493" spans="1:13" hidden="1" x14ac:dyDescent="0.2">
      <c r="A493" s="10" t="s">
        <v>558</v>
      </c>
      <c r="B493" t="s">
        <v>710</v>
      </c>
      <c r="C493" t="s">
        <v>658</v>
      </c>
      <c r="D493" t="s">
        <v>659</v>
      </c>
      <c r="E493" s="10" t="b">
        <f>IF(ISERROR(VLOOKUP( LEFT(B493, LEN(B493) - IF(ISNUMBER(RIGHT(B493, 1) * 1), 1, 0)),metadata_testudines!B$1:B$60,1,FALSE)),FALSE,TRUE)</f>
        <v>0</v>
      </c>
      <c r="F493" t="s">
        <v>681</v>
      </c>
      <c r="G493" t="s">
        <v>682</v>
      </c>
      <c r="H493">
        <v>0.88</v>
      </c>
      <c r="I493" t="s">
        <v>667</v>
      </c>
      <c r="J493" t="s">
        <v>683</v>
      </c>
      <c r="K493" t="s">
        <v>645</v>
      </c>
      <c r="L493" t="s">
        <v>684</v>
      </c>
      <c r="M493" t="s">
        <v>664</v>
      </c>
    </row>
    <row r="494" spans="1:13" hidden="1" x14ac:dyDescent="0.2">
      <c r="A494" s="10" t="s">
        <v>558</v>
      </c>
      <c r="B494" t="s">
        <v>710</v>
      </c>
      <c r="C494" t="s">
        <v>658</v>
      </c>
      <c r="D494" t="s">
        <v>659</v>
      </c>
      <c r="E494" s="10" t="b">
        <f>IF(ISERROR(VLOOKUP( LEFT(B494, LEN(B494) - IF(ISNUMBER(RIGHT(B494, 1) * 1), 1, 0)),metadata_testudines!B$1:B$60,1,FALSE)),FALSE,TRUE)</f>
        <v>0</v>
      </c>
      <c r="F494" t="s">
        <v>681</v>
      </c>
      <c r="G494" t="s">
        <v>682</v>
      </c>
      <c r="H494">
        <v>0.82</v>
      </c>
      <c r="I494" t="s">
        <v>667</v>
      </c>
      <c r="J494" t="s">
        <v>683</v>
      </c>
      <c r="K494" t="s">
        <v>645</v>
      </c>
      <c r="L494" t="s">
        <v>684</v>
      </c>
      <c r="M494" t="s">
        <v>664</v>
      </c>
    </row>
    <row r="495" spans="1:13" hidden="1" x14ac:dyDescent="0.2">
      <c r="A495" s="10" t="s">
        <v>558</v>
      </c>
      <c r="B495" t="s">
        <v>710</v>
      </c>
      <c r="C495" t="s">
        <v>658</v>
      </c>
      <c r="D495" t="s">
        <v>659</v>
      </c>
      <c r="E495" s="10" t="b">
        <f>IF(ISERROR(VLOOKUP( LEFT(B495, LEN(B495) - IF(ISNUMBER(RIGHT(B495, 1) * 1), 1, 0)),metadata_testudines!B$1:B$60,1,FALSE)),FALSE,TRUE)</f>
        <v>0</v>
      </c>
      <c r="F495" t="s">
        <v>681</v>
      </c>
      <c r="G495" t="s">
        <v>682</v>
      </c>
      <c r="H495">
        <v>0.94</v>
      </c>
      <c r="I495" t="s">
        <v>667</v>
      </c>
      <c r="J495" t="s">
        <v>683</v>
      </c>
      <c r="K495" t="s">
        <v>645</v>
      </c>
      <c r="L495" t="s">
        <v>684</v>
      </c>
      <c r="M495" t="s">
        <v>664</v>
      </c>
    </row>
    <row r="496" spans="1:13" hidden="1" x14ac:dyDescent="0.2">
      <c r="A496" s="10" t="s">
        <v>558</v>
      </c>
      <c r="B496" t="s">
        <v>710</v>
      </c>
      <c r="C496" t="s">
        <v>658</v>
      </c>
      <c r="D496" t="s">
        <v>659</v>
      </c>
      <c r="E496" s="10" t="b">
        <f>IF(ISERROR(VLOOKUP( LEFT(B496, LEN(B496) - IF(ISNUMBER(RIGHT(B496, 1) * 1), 1, 0)),metadata_testudines!B$1:B$60,1,FALSE)),FALSE,TRUE)</f>
        <v>0</v>
      </c>
      <c r="F496" t="s">
        <v>681</v>
      </c>
      <c r="G496" t="s">
        <v>685</v>
      </c>
      <c r="H496">
        <v>0.88</v>
      </c>
      <c r="I496" t="s">
        <v>667</v>
      </c>
      <c r="J496" t="s">
        <v>683</v>
      </c>
      <c r="K496" t="s">
        <v>645</v>
      </c>
      <c r="L496" t="s">
        <v>684</v>
      </c>
      <c r="M496" t="s">
        <v>664</v>
      </c>
    </row>
    <row r="497" spans="1:13" hidden="1" x14ac:dyDescent="0.2">
      <c r="A497" s="10" t="s">
        <v>558</v>
      </c>
      <c r="B497" t="s">
        <v>710</v>
      </c>
      <c r="C497" t="s">
        <v>658</v>
      </c>
      <c r="D497" t="s">
        <v>659</v>
      </c>
      <c r="E497" s="10" t="b">
        <f>IF(ISERROR(VLOOKUP( LEFT(B497, LEN(B497) - IF(ISNUMBER(RIGHT(B497, 1) * 1), 1, 0)),metadata_testudines!B$1:B$60,1,FALSE)),FALSE,TRUE)</f>
        <v>0</v>
      </c>
      <c r="F497" t="s">
        <v>681</v>
      </c>
      <c r="G497" t="s">
        <v>682</v>
      </c>
      <c r="H497">
        <v>0.82</v>
      </c>
      <c r="I497" t="s">
        <v>667</v>
      </c>
      <c r="J497" t="s">
        <v>683</v>
      </c>
      <c r="K497" t="s">
        <v>645</v>
      </c>
      <c r="L497" t="s">
        <v>684</v>
      </c>
      <c r="M497" t="s">
        <v>664</v>
      </c>
    </row>
    <row r="498" spans="1:13" hidden="1" x14ac:dyDescent="0.2">
      <c r="A498" s="10" t="s">
        <v>558</v>
      </c>
      <c r="B498" t="s">
        <v>710</v>
      </c>
      <c r="C498" t="s">
        <v>658</v>
      </c>
      <c r="D498" t="s">
        <v>659</v>
      </c>
      <c r="E498" s="10" t="b">
        <f>IF(ISERROR(VLOOKUP( LEFT(B498, LEN(B498) - IF(ISNUMBER(RIGHT(B498, 1) * 1), 1, 0)),metadata_testudines!B$1:B$60,1,FALSE)),FALSE,TRUE)</f>
        <v>0</v>
      </c>
      <c r="F498" t="s">
        <v>681</v>
      </c>
      <c r="G498" t="s">
        <v>685</v>
      </c>
      <c r="H498">
        <v>0.88</v>
      </c>
      <c r="I498" t="s">
        <v>667</v>
      </c>
      <c r="J498" t="s">
        <v>683</v>
      </c>
      <c r="K498" t="s">
        <v>645</v>
      </c>
      <c r="L498" t="s">
        <v>684</v>
      </c>
      <c r="M498" t="s">
        <v>664</v>
      </c>
    </row>
    <row r="499" spans="1:13" hidden="1" x14ac:dyDescent="0.2">
      <c r="A499" s="10" t="s">
        <v>558</v>
      </c>
      <c r="B499" t="s">
        <v>710</v>
      </c>
      <c r="C499" t="s">
        <v>658</v>
      </c>
      <c r="D499" t="s">
        <v>659</v>
      </c>
      <c r="E499" s="10" t="b">
        <f>IF(ISERROR(VLOOKUP( LEFT(B499, LEN(B499) - IF(ISNUMBER(RIGHT(B499, 1) * 1), 1, 0)),metadata_testudines!B$1:B$60,1,FALSE)),FALSE,TRUE)</f>
        <v>0</v>
      </c>
      <c r="F499" t="s">
        <v>681</v>
      </c>
      <c r="G499" t="s">
        <v>682</v>
      </c>
      <c r="H499">
        <v>0.88</v>
      </c>
      <c r="I499" t="s">
        <v>667</v>
      </c>
      <c r="J499" t="s">
        <v>683</v>
      </c>
      <c r="K499" t="s">
        <v>645</v>
      </c>
      <c r="L499" t="s">
        <v>684</v>
      </c>
      <c r="M499" t="s">
        <v>664</v>
      </c>
    </row>
    <row r="500" spans="1:13" hidden="1" x14ac:dyDescent="0.2">
      <c r="A500" s="10" t="s">
        <v>558</v>
      </c>
      <c r="B500" t="s">
        <v>710</v>
      </c>
      <c r="C500" t="s">
        <v>658</v>
      </c>
      <c r="D500" t="s">
        <v>659</v>
      </c>
      <c r="E500" s="10" t="b">
        <f>IF(ISERROR(VLOOKUP( LEFT(B500, LEN(B500) - IF(ISNUMBER(RIGHT(B500, 1) * 1), 1, 0)),metadata_testudines!B$1:B$60,1,FALSE)),FALSE,TRUE)</f>
        <v>0</v>
      </c>
      <c r="F500" t="s">
        <v>681</v>
      </c>
      <c r="G500" t="s">
        <v>685</v>
      </c>
      <c r="H500">
        <v>0.88</v>
      </c>
      <c r="I500" t="s">
        <v>667</v>
      </c>
      <c r="J500" t="s">
        <v>683</v>
      </c>
      <c r="K500" t="s">
        <v>645</v>
      </c>
      <c r="L500" t="s">
        <v>684</v>
      </c>
      <c r="M500" t="s">
        <v>664</v>
      </c>
    </row>
    <row r="501" spans="1:13" hidden="1" x14ac:dyDescent="0.2">
      <c r="A501" s="10" t="s">
        <v>558</v>
      </c>
      <c r="B501" t="s">
        <v>710</v>
      </c>
      <c r="C501" t="s">
        <v>658</v>
      </c>
      <c r="D501" t="s">
        <v>659</v>
      </c>
      <c r="E501" s="10" t="b">
        <f>IF(ISERROR(VLOOKUP( LEFT(B501, LEN(B501) - IF(ISNUMBER(RIGHT(B501, 1) * 1), 1, 0)),metadata_testudines!B$1:B$60,1,FALSE)),FALSE,TRUE)</f>
        <v>0</v>
      </c>
      <c r="F501" t="s">
        <v>681</v>
      </c>
      <c r="G501" t="s">
        <v>685</v>
      </c>
      <c r="H501">
        <v>0.94</v>
      </c>
      <c r="I501" t="s">
        <v>667</v>
      </c>
      <c r="J501" t="s">
        <v>683</v>
      </c>
      <c r="K501" t="s">
        <v>645</v>
      </c>
      <c r="L501" t="s">
        <v>684</v>
      </c>
      <c r="M501" t="s">
        <v>664</v>
      </c>
    </row>
    <row r="502" spans="1:13" hidden="1" x14ac:dyDescent="0.2">
      <c r="A502" s="10" t="s">
        <v>558</v>
      </c>
      <c r="B502" t="s">
        <v>710</v>
      </c>
      <c r="C502" t="s">
        <v>658</v>
      </c>
      <c r="D502" t="s">
        <v>659</v>
      </c>
      <c r="E502" s="10" t="b">
        <f>IF(ISERROR(VLOOKUP( LEFT(B502, LEN(B502) - IF(ISNUMBER(RIGHT(B502, 1) * 1), 1, 0)),metadata_testudines!B$1:B$60,1,FALSE)),FALSE,TRUE)</f>
        <v>0</v>
      </c>
      <c r="F502" t="s">
        <v>681</v>
      </c>
      <c r="G502" t="s">
        <v>682</v>
      </c>
      <c r="H502">
        <v>0.94</v>
      </c>
      <c r="I502" t="s">
        <v>667</v>
      </c>
      <c r="J502" t="s">
        <v>683</v>
      </c>
      <c r="K502" t="s">
        <v>645</v>
      </c>
      <c r="L502" t="s">
        <v>684</v>
      </c>
      <c r="M502" t="s">
        <v>664</v>
      </c>
    </row>
    <row r="503" spans="1:13" hidden="1" x14ac:dyDescent="0.2">
      <c r="A503" s="10" t="s">
        <v>558</v>
      </c>
      <c r="B503" t="s">
        <v>710</v>
      </c>
      <c r="C503" t="s">
        <v>658</v>
      </c>
      <c r="D503" t="s">
        <v>659</v>
      </c>
      <c r="E503" s="10" t="b">
        <f>IF(ISERROR(VLOOKUP( LEFT(B503, LEN(B503) - IF(ISNUMBER(RIGHT(B503, 1) * 1), 1, 0)),metadata_testudines!B$1:B$60,1,FALSE)),FALSE,TRUE)</f>
        <v>0</v>
      </c>
      <c r="F503" t="s">
        <v>681</v>
      </c>
      <c r="G503" t="s">
        <v>685</v>
      </c>
      <c r="H503">
        <v>0.47</v>
      </c>
      <c r="I503" t="s">
        <v>667</v>
      </c>
      <c r="J503" t="s">
        <v>683</v>
      </c>
      <c r="K503" t="s">
        <v>645</v>
      </c>
      <c r="L503" t="s">
        <v>684</v>
      </c>
      <c r="M503" t="s">
        <v>664</v>
      </c>
    </row>
    <row r="504" spans="1:13" hidden="1" x14ac:dyDescent="0.2">
      <c r="A504" s="10" t="s">
        <v>558</v>
      </c>
      <c r="B504" t="s">
        <v>68</v>
      </c>
      <c r="C504" t="s">
        <v>658</v>
      </c>
      <c r="D504" t="s">
        <v>659</v>
      </c>
      <c r="E504" s="10" t="b">
        <f>IF(ISERROR(VLOOKUP( LEFT(B504, LEN(B504) - IF(ISNUMBER(RIGHT(B504, 1) * 1), 1, 0)),metadata_testudines!B$1:B$60,1,FALSE)),FALSE,TRUE)</f>
        <v>1</v>
      </c>
      <c r="F504" t="s">
        <v>681</v>
      </c>
      <c r="G504" t="s">
        <v>688</v>
      </c>
      <c r="H504">
        <v>1</v>
      </c>
      <c r="I504" t="s">
        <v>662</v>
      </c>
      <c r="J504" t="s">
        <v>670</v>
      </c>
      <c r="K504" t="s">
        <v>645</v>
      </c>
      <c r="L504" t="s">
        <v>646</v>
      </c>
      <c r="M504" t="s">
        <v>664</v>
      </c>
    </row>
    <row r="505" spans="1:13" hidden="1" x14ac:dyDescent="0.2">
      <c r="A505" s="10" t="s">
        <v>558</v>
      </c>
      <c r="B505" t="s">
        <v>68</v>
      </c>
      <c r="C505" t="s">
        <v>658</v>
      </c>
      <c r="D505" t="s">
        <v>659</v>
      </c>
      <c r="E505" s="10" t="b">
        <f>IF(ISERROR(VLOOKUP( LEFT(B505, LEN(B505) - IF(ISNUMBER(RIGHT(B505, 1) * 1), 1, 0)),metadata_testudines!B$1:B$60,1,FALSE)),FALSE,TRUE)</f>
        <v>1</v>
      </c>
      <c r="F505" t="s">
        <v>681</v>
      </c>
      <c r="G505" t="s">
        <v>685</v>
      </c>
      <c r="H505">
        <v>0.89</v>
      </c>
      <c r="I505" t="s">
        <v>667</v>
      </c>
      <c r="J505" t="s">
        <v>683</v>
      </c>
      <c r="K505" t="s">
        <v>645</v>
      </c>
      <c r="L505" t="s">
        <v>684</v>
      </c>
      <c r="M505" t="s">
        <v>664</v>
      </c>
    </row>
    <row r="506" spans="1:13" hidden="1" x14ac:dyDescent="0.2">
      <c r="A506" s="10" t="s">
        <v>558</v>
      </c>
      <c r="B506" t="s">
        <v>68</v>
      </c>
      <c r="C506" t="s">
        <v>658</v>
      </c>
      <c r="D506" t="s">
        <v>659</v>
      </c>
      <c r="E506" s="10" t="b">
        <f>IF(ISERROR(VLOOKUP( LEFT(B506, LEN(B506) - IF(ISNUMBER(RIGHT(B506, 1) * 1), 1, 0)),metadata_testudines!B$1:B$60,1,FALSE)),FALSE,TRUE)</f>
        <v>1</v>
      </c>
      <c r="F506" t="s">
        <v>660</v>
      </c>
      <c r="G506" t="s">
        <v>661</v>
      </c>
      <c r="H506">
        <v>12</v>
      </c>
      <c r="I506" t="s">
        <v>662</v>
      </c>
      <c r="J506" t="s">
        <v>663</v>
      </c>
      <c r="K506" t="s">
        <v>647</v>
      </c>
      <c r="L506" t="s">
        <v>664</v>
      </c>
      <c r="M506" t="s">
        <v>664</v>
      </c>
    </row>
    <row r="507" spans="1:13" hidden="1" x14ac:dyDescent="0.2">
      <c r="A507" s="10" t="s">
        <v>558</v>
      </c>
      <c r="B507" t="s">
        <v>68</v>
      </c>
      <c r="C507" t="s">
        <v>658</v>
      </c>
      <c r="D507" t="s">
        <v>659</v>
      </c>
      <c r="E507" s="10" t="b">
        <f>IF(ISERROR(VLOOKUP( LEFT(B507, LEN(B507) - IF(ISNUMBER(RIGHT(B507, 1) * 1), 1, 0)),metadata_testudines!B$1:B$60,1,FALSE)),FALSE,TRUE)</f>
        <v>1</v>
      </c>
      <c r="F507" t="s">
        <v>671</v>
      </c>
      <c r="G507" t="s">
        <v>699</v>
      </c>
      <c r="H507">
        <v>3650</v>
      </c>
      <c r="I507" t="s">
        <v>662</v>
      </c>
      <c r="J507" t="s">
        <v>670</v>
      </c>
      <c r="K507" t="s">
        <v>647</v>
      </c>
      <c r="L507" t="s">
        <v>677</v>
      </c>
      <c r="M507" t="s">
        <v>664</v>
      </c>
    </row>
    <row r="508" spans="1:13" hidden="1" x14ac:dyDescent="0.2">
      <c r="A508" s="10" t="s">
        <v>558</v>
      </c>
      <c r="B508" t="s">
        <v>68</v>
      </c>
      <c r="C508" t="s">
        <v>658</v>
      </c>
      <c r="D508" t="s">
        <v>659</v>
      </c>
      <c r="E508" s="10" t="b">
        <f>IF(ISERROR(VLOOKUP( LEFT(B508, LEN(B508) - IF(ISNUMBER(RIGHT(B508, 1) * 1), 1, 0)),metadata_testudines!B$1:B$60,1,FALSE)),FALSE,TRUE)</f>
        <v>1</v>
      </c>
      <c r="F508" t="s">
        <v>681</v>
      </c>
      <c r="G508" t="s">
        <v>682</v>
      </c>
      <c r="H508">
        <v>0.5</v>
      </c>
      <c r="I508" t="s">
        <v>667</v>
      </c>
      <c r="J508" t="s">
        <v>683</v>
      </c>
      <c r="K508" t="s">
        <v>645</v>
      </c>
      <c r="L508" t="s">
        <v>646</v>
      </c>
      <c r="M508" t="s">
        <v>664</v>
      </c>
    </row>
    <row r="509" spans="1:13" hidden="1" x14ac:dyDescent="0.2">
      <c r="A509" s="10" t="s">
        <v>558</v>
      </c>
      <c r="B509" t="s">
        <v>68</v>
      </c>
      <c r="C509" t="s">
        <v>658</v>
      </c>
      <c r="D509" t="s">
        <v>659</v>
      </c>
      <c r="E509" s="10" t="b">
        <f>IF(ISERROR(VLOOKUP( LEFT(B509, LEN(B509) - IF(ISNUMBER(RIGHT(B509, 1) * 1), 1, 0)),metadata_testudines!B$1:B$60,1,FALSE)),FALSE,TRUE)</f>
        <v>1</v>
      </c>
      <c r="F509" t="s">
        <v>681</v>
      </c>
      <c r="G509" t="s">
        <v>682</v>
      </c>
      <c r="H509">
        <v>0.89</v>
      </c>
      <c r="I509" t="s">
        <v>667</v>
      </c>
      <c r="J509" t="s">
        <v>683</v>
      </c>
      <c r="K509" t="s">
        <v>645</v>
      </c>
      <c r="L509" t="s">
        <v>684</v>
      </c>
      <c r="M509" t="s">
        <v>664</v>
      </c>
    </row>
    <row r="510" spans="1:13" hidden="1" x14ac:dyDescent="0.2">
      <c r="A510" s="10" t="s">
        <v>558</v>
      </c>
      <c r="B510" t="s">
        <v>68</v>
      </c>
      <c r="C510" t="s">
        <v>658</v>
      </c>
      <c r="D510" t="s">
        <v>659</v>
      </c>
      <c r="E510" s="10" t="b">
        <f>IF(ISERROR(VLOOKUP( LEFT(B510, LEN(B510) - IF(ISNUMBER(RIGHT(B510, 1) * 1), 1, 0)),metadata_testudines!B$1:B$60,1,FALSE)),FALSE,TRUE)</f>
        <v>1</v>
      </c>
      <c r="F510" t="s">
        <v>681</v>
      </c>
      <c r="G510" t="s">
        <v>685</v>
      </c>
      <c r="H510">
        <v>0.5</v>
      </c>
      <c r="I510" t="s">
        <v>667</v>
      </c>
      <c r="J510" t="s">
        <v>683</v>
      </c>
      <c r="K510" t="s">
        <v>645</v>
      </c>
      <c r="L510" t="s">
        <v>646</v>
      </c>
      <c r="M510" t="s">
        <v>664</v>
      </c>
    </row>
    <row r="511" spans="1:13" hidden="1" x14ac:dyDescent="0.2">
      <c r="A511" s="10" t="s">
        <v>558</v>
      </c>
      <c r="B511" t="s">
        <v>68</v>
      </c>
      <c r="C511" t="s">
        <v>658</v>
      </c>
      <c r="D511" t="s">
        <v>659</v>
      </c>
      <c r="E511" s="10" t="b">
        <f>IF(ISERROR(VLOOKUP( LEFT(B511, LEN(B511) - IF(ISNUMBER(RIGHT(B511, 1) * 1), 1, 0)),metadata_testudines!B$1:B$60,1,FALSE)),FALSE,TRUE)</f>
        <v>1</v>
      </c>
      <c r="F511" t="s">
        <v>660</v>
      </c>
      <c r="G511" t="s">
        <v>666</v>
      </c>
      <c r="H511">
        <v>8.5</v>
      </c>
      <c r="I511" t="s">
        <v>667</v>
      </c>
      <c r="J511" t="s">
        <v>668</v>
      </c>
      <c r="K511" t="s">
        <v>647</v>
      </c>
      <c r="L511" t="s">
        <v>664</v>
      </c>
      <c r="M511" t="s">
        <v>664</v>
      </c>
    </row>
    <row r="512" spans="1:13" hidden="1" x14ac:dyDescent="0.2">
      <c r="A512" s="10" t="s">
        <v>558</v>
      </c>
      <c r="B512" t="s">
        <v>68</v>
      </c>
      <c r="C512" t="s">
        <v>658</v>
      </c>
      <c r="D512" t="s">
        <v>659</v>
      </c>
      <c r="E512" s="10" t="b">
        <f>IF(ISERROR(VLOOKUP( LEFT(B512, LEN(B512) - IF(ISNUMBER(RIGHT(B512, 1) * 1), 1, 0)),metadata_testudines!B$1:B$60,1,FALSE)),FALSE,TRUE)</f>
        <v>1</v>
      </c>
      <c r="F512" t="s">
        <v>671</v>
      </c>
      <c r="G512" t="s">
        <v>700</v>
      </c>
      <c r="H512">
        <v>8</v>
      </c>
      <c r="I512" t="s">
        <v>662</v>
      </c>
      <c r="J512" t="s">
        <v>663</v>
      </c>
      <c r="K512" t="s">
        <v>647</v>
      </c>
      <c r="L512" t="s">
        <v>664</v>
      </c>
      <c r="M512" t="s">
        <v>664</v>
      </c>
    </row>
    <row r="513" spans="1:13" hidden="1" x14ac:dyDescent="0.2">
      <c r="A513" s="10" t="s">
        <v>558</v>
      </c>
      <c r="B513" t="s">
        <v>68</v>
      </c>
      <c r="C513" t="s">
        <v>658</v>
      </c>
      <c r="D513" t="s">
        <v>659</v>
      </c>
      <c r="E513" s="10" t="b">
        <f>IF(ISERROR(VLOOKUP( LEFT(B513, LEN(B513) - IF(ISNUMBER(RIGHT(B513, 1) * 1), 1, 0)),metadata_testudines!B$1:B$60,1,FALSE)),FALSE,TRUE)</f>
        <v>1</v>
      </c>
      <c r="F513" t="s">
        <v>681</v>
      </c>
      <c r="G513" t="s">
        <v>682</v>
      </c>
      <c r="H513">
        <v>0.9</v>
      </c>
      <c r="I513" t="s">
        <v>667</v>
      </c>
      <c r="J513" t="s">
        <v>683</v>
      </c>
      <c r="K513" t="s">
        <v>645</v>
      </c>
      <c r="L513" t="s">
        <v>646</v>
      </c>
      <c r="M513" t="s">
        <v>664</v>
      </c>
    </row>
    <row r="514" spans="1:13" hidden="1" x14ac:dyDescent="0.2">
      <c r="A514" s="10" t="s">
        <v>558</v>
      </c>
      <c r="B514" t="s">
        <v>68</v>
      </c>
      <c r="C514" t="s">
        <v>658</v>
      </c>
      <c r="D514" t="s">
        <v>659</v>
      </c>
      <c r="E514" s="10" t="b">
        <f>IF(ISERROR(VLOOKUP( LEFT(B514, LEN(B514) - IF(ISNUMBER(RIGHT(B514, 1) * 1), 1, 0)),metadata_testudines!B$1:B$60,1,FALSE)),FALSE,TRUE)</f>
        <v>1</v>
      </c>
      <c r="F514" t="s">
        <v>671</v>
      </c>
      <c r="G514" t="s">
        <v>698</v>
      </c>
      <c r="H514">
        <v>3650</v>
      </c>
      <c r="I514" t="s">
        <v>662</v>
      </c>
      <c r="J514" t="s">
        <v>670</v>
      </c>
      <c r="K514" t="s">
        <v>647</v>
      </c>
      <c r="L514" t="s">
        <v>646</v>
      </c>
      <c r="M514" t="s">
        <v>664</v>
      </c>
    </row>
    <row r="515" spans="1:13" hidden="1" x14ac:dyDescent="0.2">
      <c r="A515" s="10" t="s">
        <v>558</v>
      </c>
      <c r="B515" t="s">
        <v>68</v>
      </c>
      <c r="C515" t="s">
        <v>658</v>
      </c>
      <c r="D515" t="s">
        <v>659</v>
      </c>
      <c r="E515" s="10" t="b">
        <f>IF(ISERROR(VLOOKUP( LEFT(B515, LEN(B515) - IF(ISNUMBER(RIGHT(B515, 1) * 1), 1, 0)),metadata_testudines!B$1:B$60,1,FALSE)),FALSE,TRUE)</f>
        <v>1</v>
      </c>
      <c r="F515" t="s">
        <v>681</v>
      </c>
      <c r="G515" t="s">
        <v>682</v>
      </c>
      <c r="H515">
        <v>0.89</v>
      </c>
      <c r="I515" t="s">
        <v>667</v>
      </c>
      <c r="J515" t="s">
        <v>683</v>
      </c>
      <c r="K515" t="s">
        <v>645</v>
      </c>
      <c r="L515" t="s">
        <v>684</v>
      </c>
      <c r="M515" t="s">
        <v>664</v>
      </c>
    </row>
    <row r="516" spans="1:13" hidden="1" x14ac:dyDescent="0.2">
      <c r="A516" s="10" t="s">
        <v>558</v>
      </c>
      <c r="B516" t="s">
        <v>68</v>
      </c>
      <c r="C516" t="s">
        <v>658</v>
      </c>
      <c r="D516" t="s">
        <v>659</v>
      </c>
      <c r="E516" s="10" t="b">
        <f>IF(ISERROR(VLOOKUP( LEFT(B516, LEN(B516) - IF(ISNUMBER(RIGHT(B516, 1) * 1), 1, 0)),metadata_testudines!B$1:B$60,1,FALSE)),FALSE,TRUE)</f>
        <v>1</v>
      </c>
      <c r="F516" t="s">
        <v>660</v>
      </c>
      <c r="G516" t="s">
        <v>661</v>
      </c>
      <c r="H516">
        <v>5.2</v>
      </c>
      <c r="I516" t="s">
        <v>662</v>
      </c>
      <c r="J516" t="s">
        <v>663</v>
      </c>
      <c r="K516" t="s">
        <v>647</v>
      </c>
      <c r="L516" t="s">
        <v>664</v>
      </c>
      <c r="M516" t="s">
        <v>664</v>
      </c>
    </row>
    <row r="517" spans="1:13" hidden="1" x14ac:dyDescent="0.2">
      <c r="A517" s="10" t="s">
        <v>558</v>
      </c>
      <c r="B517" t="s">
        <v>68</v>
      </c>
      <c r="C517" t="s">
        <v>658</v>
      </c>
      <c r="D517" t="s">
        <v>659</v>
      </c>
      <c r="E517" s="10" t="b">
        <f>IF(ISERROR(VLOOKUP( LEFT(B517, LEN(B517) - IF(ISNUMBER(RIGHT(B517, 1) * 1), 1, 0)),metadata_testudines!B$1:B$60,1,FALSE)),FALSE,TRUE)</f>
        <v>1</v>
      </c>
      <c r="F517" t="s">
        <v>681</v>
      </c>
      <c r="G517" t="s">
        <v>685</v>
      </c>
      <c r="H517">
        <v>0.9</v>
      </c>
      <c r="I517" t="s">
        <v>667</v>
      </c>
      <c r="J517" t="s">
        <v>683</v>
      </c>
      <c r="K517" t="s">
        <v>645</v>
      </c>
      <c r="L517" t="s">
        <v>646</v>
      </c>
      <c r="M517" t="s">
        <v>664</v>
      </c>
    </row>
    <row r="518" spans="1:13" hidden="1" x14ac:dyDescent="0.2">
      <c r="A518" s="10" t="s">
        <v>558</v>
      </c>
      <c r="B518" t="s">
        <v>68</v>
      </c>
      <c r="C518" t="s">
        <v>658</v>
      </c>
      <c r="D518" t="s">
        <v>659</v>
      </c>
      <c r="E518" s="10" t="b">
        <f>IF(ISERROR(VLOOKUP( LEFT(B518, LEN(B518) - IF(ISNUMBER(RIGHT(B518, 1) * 1), 1, 0)),metadata_testudines!B$1:B$60,1,FALSE)),FALSE,TRUE)</f>
        <v>1</v>
      </c>
      <c r="F518" t="s">
        <v>681</v>
      </c>
      <c r="G518" t="s">
        <v>685</v>
      </c>
      <c r="H518">
        <v>0.94</v>
      </c>
      <c r="I518" t="s">
        <v>667</v>
      </c>
      <c r="J518" t="s">
        <v>683</v>
      </c>
      <c r="K518" t="s">
        <v>645</v>
      </c>
      <c r="L518" t="s">
        <v>684</v>
      </c>
      <c r="M518" t="s">
        <v>664</v>
      </c>
    </row>
    <row r="519" spans="1:13" hidden="1" x14ac:dyDescent="0.2">
      <c r="A519" s="10" t="s">
        <v>558</v>
      </c>
      <c r="B519" t="s">
        <v>68</v>
      </c>
      <c r="C519" t="s">
        <v>658</v>
      </c>
      <c r="D519" t="s">
        <v>659</v>
      </c>
      <c r="E519" s="10" t="b">
        <f>IF(ISERROR(VLOOKUP( LEFT(B519, LEN(B519) - IF(ISNUMBER(RIGHT(B519, 1) * 1), 1, 0)),metadata_testudines!B$1:B$60,1,FALSE)),FALSE,TRUE)</f>
        <v>1</v>
      </c>
      <c r="F519" t="s">
        <v>681</v>
      </c>
      <c r="G519" t="s">
        <v>682</v>
      </c>
      <c r="H519">
        <v>0.9</v>
      </c>
      <c r="I519" t="s">
        <v>667</v>
      </c>
      <c r="J519" t="s">
        <v>683</v>
      </c>
      <c r="K519" t="s">
        <v>645</v>
      </c>
      <c r="L519" t="s">
        <v>646</v>
      </c>
      <c r="M519" t="s">
        <v>664</v>
      </c>
    </row>
    <row r="520" spans="1:13" hidden="1" x14ac:dyDescent="0.2">
      <c r="A520" s="10" t="s">
        <v>558</v>
      </c>
      <c r="B520" t="s">
        <v>68</v>
      </c>
      <c r="C520" t="s">
        <v>658</v>
      </c>
      <c r="D520" t="s">
        <v>659</v>
      </c>
      <c r="E520" s="10" t="b">
        <f>IF(ISERROR(VLOOKUP( LEFT(B520, LEN(B520) - IF(ISNUMBER(RIGHT(B520, 1) * 1), 1, 0)),metadata_testudines!B$1:B$60,1,FALSE)),FALSE,TRUE)</f>
        <v>1</v>
      </c>
      <c r="F520" t="s">
        <v>681</v>
      </c>
      <c r="G520" t="s">
        <v>685</v>
      </c>
      <c r="H520">
        <v>0.5</v>
      </c>
      <c r="I520" t="s">
        <v>667</v>
      </c>
      <c r="J520" t="s">
        <v>683</v>
      </c>
      <c r="K520" t="s">
        <v>645</v>
      </c>
      <c r="L520" t="s">
        <v>646</v>
      </c>
      <c r="M520" t="s">
        <v>664</v>
      </c>
    </row>
    <row r="521" spans="1:13" hidden="1" x14ac:dyDescent="0.2">
      <c r="A521" s="10" t="s">
        <v>558</v>
      </c>
      <c r="B521" t="s">
        <v>68</v>
      </c>
      <c r="C521" t="s">
        <v>658</v>
      </c>
      <c r="D521" t="s">
        <v>659</v>
      </c>
      <c r="E521" s="10" t="b">
        <f>IF(ISERROR(VLOOKUP( LEFT(B521, LEN(B521) - IF(ISNUMBER(RIGHT(B521, 1) * 1), 1, 0)),metadata_testudines!B$1:B$60,1,FALSE)),FALSE,TRUE)</f>
        <v>1</v>
      </c>
      <c r="F521" t="s">
        <v>681</v>
      </c>
      <c r="G521" t="s">
        <v>682</v>
      </c>
      <c r="H521">
        <v>0.89</v>
      </c>
      <c r="I521" t="s">
        <v>667</v>
      </c>
      <c r="J521" t="s">
        <v>683</v>
      </c>
      <c r="K521" t="s">
        <v>645</v>
      </c>
      <c r="L521" t="s">
        <v>684</v>
      </c>
      <c r="M521" t="s">
        <v>664</v>
      </c>
    </row>
    <row r="522" spans="1:13" hidden="1" x14ac:dyDescent="0.2">
      <c r="A522" s="10" t="s">
        <v>558</v>
      </c>
      <c r="B522" t="s">
        <v>68</v>
      </c>
      <c r="C522" t="s">
        <v>658</v>
      </c>
      <c r="D522" t="s">
        <v>659</v>
      </c>
      <c r="E522" s="10" t="b">
        <f>IF(ISERROR(VLOOKUP( LEFT(B522, LEN(B522) - IF(ISNUMBER(RIGHT(B522, 1) * 1), 1, 0)),metadata_testudines!B$1:B$60,1,FALSE)),FALSE,TRUE)</f>
        <v>1</v>
      </c>
      <c r="F522" t="s">
        <v>681</v>
      </c>
      <c r="G522" t="s">
        <v>685</v>
      </c>
      <c r="H522">
        <v>0.89</v>
      </c>
      <c r="I522" t="s">
        <v>667</v>
      </c>
      <c r="J522" t="s">
        <v>683</v>
      </c>
      <c r="K522" t="s">
        <v>645</v>
      </c>
      <c r="L522" t="s">
        <v>684</v>
      </c>
      <c r="M522" t="s">
        <v>664</v>
      </c>
    </row>
    <row r="523" spans="1:13" hidden="1" x14ac:dyDescent="0.2">
      <c r="A523" s="10" t="s">
        <v>558</v>
      </c>
      <c r="B523" t="s">
        <v>68</v>
      </c>
      <c r="C523" t="s">
        <v>658</v>
      </c>
      <c r="D523" t="s">
        <v>659</v>
      </c>
      <c r="E523" s="10" t="b">
        <f>IF(ISERROR(VLOOKUP( LEFT(B523, LEN(B523) - IF(ISNUMBER(RIGHT(B523, 1) * 1), 1, 0)),metadata_testudines!B$1:B$60,1,FALSE)),FALSE,TRUE)</f>
        <v>1</v>
      </c>
      <c r="F523" t="s">
        <v>681</v>
      </c>
      <c r="G523" t="s">
        <v>685</v>
      </c>
      <c r="H523">
        <v>0.9</v>
      </c>
      <c r="I523" t="s">
        <v>667</v>
      </c>
      <c r="J523" t="s">
        <v>683</v>
      </c>
      <c r="K523" t="s">
        <v>645</v>
      </c>
      <c r="L523" t="s">
        <v>646</v>
      </c>
      <c r="M523" t="s">
        <v>664</v>
      </c>
    </row>
    <row r="524" spans="1:13" hidden="1" x14ac:dyDescent="0.2">
      <c r="A524" s="10" t="s">
        <v>558</v>
      </c>
      <c r="B524" t="s">
        <v>68</v>
      </c>
      <c r="C524" t="s">
        <v>658</v>
      </c>
      <c r="D524" t="s">
        <v>659</v>
      </c>
      <c r="E524" s="10" t="b">
        <f>IF(ISERROR(VLOOKUP( LEFT(B524, LEN(B524) - IF(ISNUMBER(RIGHT(B524, 1) * 1), 1, 0)),metadata_testudines!B$1:B$60,1,FALSE)),FALSE,TRUE)</f>
        <v>1</v>
      </c>
      <c r="F524" t="s">
        <v>681</v>
      </c>
      <c r="G524" t="s">
        <v>685</v>
      </c>
      <c r="H524">
        <v>0.47</v>
      </c>
      <c r="I524" t="s">
        <v>667</v>
      </c>
      <c r="J524" t="s">
        <v>683</v>
      </c>
      <c r="K524" t="s">
        <v>645</v>
      </c>
      <c r="L524" t="s">
        <v>684</v>
      </c>
      <c r="M524" t="s">
        <v>664</v>
      </c>
    </row>
    <row r="525" spans="1:13" hidden="1" x14ac:dyDescent="0.2">
      <c r="A525" s="10" t="s">
        <v>558</v>
      </c>
      <c r="B525" t="s">
        <v>68</v>
      </c>
      <c r="C525" t="s">
        <v>658</v>
      </c>
      <c r="D525" t="s">
        <v>659</v>
      </c>
      <c r="E525" s="10" t="b">
        <f>IF(ISERROR(VLOOKUP( LEFT(B525, LEN(B525) - IF(ISNUMBER(RIGHT(B525, 1) * 1), 1, 0)),metadata_testudines!B$1:B$60,1,FALSE)),FALSE,TRUE)</f>
        <v>1</v>
      </c>
      <c r="F525" t="s">
        <v>660</v>
      </c>
      <c r="G525" t="s">
        <v>669</v>
      </c>
      <c r="H525">
        <v>5478.75</v>
      </c>
      <c r="I525" t="s">
        <v>662</v>
      </c>
      <c r="J525" t="s">
        <v>670</v>
      </c>
      <c r="K525" t="s">
        <v>647</v>
      </c>
      <c r="L525" t="s">
        <v>647</v>
      </c>
      <c r="M525" t="s">
        <v>664</v>
      </c>
    </row>
    <row r="526" spans="1:13" hidden="1" x14ac:dyDescent="0.2">
      <c r="A526" s="10" t="s">
        <v>558</v>
      </c>
      <c r="B526" t="s">
        <v>68</v>
      </c>
      <c r="C526" t="s">
        <v>658</v>
      </c>
      <c r="D526" t="s">
        <v>659</v>
      </c>
      <c r="E526" s="10" t="b">
        <f>IF(ISERROR(VLOOKUP( LEFT(B526, LEN(B526) - IF(ISNUMBER(RIGHT(B526, 1) * 1), 1, 0)),metadata_testudines!B$1:B$60,1,FALSE)),FALSE,TRUE)</f>
        <v>1</v>
      </c>
      <c r="F526" t="s">
        <v>681</v>
      </c>
      <c r="G526" t="s">
        <v>685</v>
      </c>
      <c r="H526">
        <v>0.5</v>
      </c>
      <c r="I526" t="s">
        <v>667</v>
      </c>
      <c r="J526" t="s">
        <v>683</v>
      </c>
      <c r="K526" t="s">
        <v>645</v>
      </c>
      <c r="L526" t="s">
        <v>646</v>
      </c>
      <c r="M526" t="s">
        <v>664</v>
      </c>
    </row>
    <row r="527" spans="1:13" hidden="1" x14ac:dyDescent="0.2">
      <c r="A527" s="10" t="s">
        <v>558</v>
      </c>
      <c r="B527" t="s">
        <v>68</v>
      </c>
      <c r="C527" t="s">
        <v>658</v>
      </c>
      <c r="D527" t="s">
        <v>659</v>
      </c>
      <c r="E527" s="10" t="b">
        <f>IF(ISERROR(VLOOKUP( LEFT(B527, LEN(B527) - IF(ISNUMBER(RIGHT(B527, 1) * 1), 1, 0)),metadata_testudines!B$1:B$60,1,FALSE)),FALSE,TRUE)</f>
        <v>1</v>
      </c>
      <c r="F527" t="s">
        <v>660</v>
      </c>
      <c r="G527" t="s">
        <v>669</v>
      </c>
      <c r="H527">
        <v>5844</v>
      </c>
      <c r="I527" t="s">
        <v>662</v>
      </c>
      <c r="J527" t="s">
        <v>670</v>
      </c>
      <c r="K527" t="s">
        <v>647</v>
      </c>
      <c r="L527" t="s">
        <v>647</v>
      </c>
      <c r="M527" t="s">
        <v>664</v>
      </c>
    </row>
    <row r="528" spans="1:13" hidden="1" x14ac:dyDescent="0.2">
      <c r="A528" s="10" t="s">
        <v>558</v>
      </c>
      <c r="B528" t="s">
        <v>68</v>
      </c>
      <c r="C528" t="s">
        <v>658</v>
      </c>
      <c r="D528" t="s">
        <v>659</v>
      </c>
      <c r="E528" s="10" t="b">
        <f>IF(ISERROR(VLOOKUP( LEFT(B528, LEN(B528) - IF(ISNUMBER(RIGHT(B528, 1) * 1), 1, 0)),metadata_testudines!B$1:B$60,1,FALSE)),FALSE,TRUE)</f>
        <v>1</v>
      </c>
      <c r="F528" t="s">
        <v>660</v>
      </c>
      <c r="G528" t="s">
        <v>661</v>
      </c>
      <c r="H528">
        <v>2</v>
      </c>
      <c r="I528" t="s">
        <v>662</v>
      </c>
      <c r="J528" t="s">
        <v>663</v>
      </c>
      <c r="K528" t="s">
        <v>647</v>
      </c>
      <c r="L528" t="s">
        <v>664</v>
      </c>
      <c r="M528" t="s">
        <v>664</v>
      </c>
    </row>
    <row r="529" spans="1:13" hidden="1" x14ac:dyDescent="0.2">
      <c r="A529" s="10" t="s">
        <v>558</v>
      </c>
      <c r="B529" t="s">
        <v>68</v>
      </c>
      <c r="C529" t="s">
        <v>658</v>
      </c>
      <c r="D529" t="s">
        <v>659</v>
      </c>
      <c r="E529" s="10" t="b">
        <f>IF(ISERROR(VLOOKUP( LEFT(B529, LEN(B529) - IF(ISNUMBER(RIGHT(B529, 1) * 1), 1, 0)),metadata_testudines!B$1:B$60,1,FALSE)),FALSE,TRUE)</f>
        <v>1</v>
      </c>
      <c r="F529" t="s">
        <v>681</v>
      </c>
      <c r="G529" t="s">
        <v>682</v>
      </c>
      <c r="H529">
        <v>0.94</v>
      </c>
      <c r="I529" t="s">
        <v>667</v>
      </c>
      <c r="J529" t="s">
        <v>683</v>
      </c>
      <c r="K529" t="s">
        <v>645</v>
      </c>
      <c r="L529" t="s">
        <v>684</v>
      </c>
      <c r="M529" t="s">
        <v>664</v>
      </c>
    </row>
    <row r="530" spans="1:13" hidden="1" x14ac:dyDescent="0.2">
      <c r="A530" s="10" t="s">
        <v>558</v>
      </c>
      <c r="B530" t="s">
        <v>68</v>
      </c>
      <c r="C530" t="s">
        <v>658</v>
      </c>
      <c r="D530" t="s">
        <v>659</v>
      </c>
      <c r="E530" s="10" t="b">
        <f>IF(ISERROR(VLOOKUP( LEFT(B530, LEN(B530) - IF(ISNUMBER(RIGHT(B530, 1) * 1), 1, 0)),metadata_testudines!B$1:B$60,1,FALSE)),FALSE,TRUE)</f>
        <v>1</v>
      </c>
      <c r="F530" t="s">
        <v>681</v>
      </c>
      <c r="G530" t="s">
        <v>685</v>
      </c>
      <c r="H530">
        <v>0.9</v>
      </c>
      <c r="I530" t="s">
        <v>667</v>
      </c>
      <c r="J530" t="s">
        <v>683</v>
      </c>
      <c r="K530" t="s">
        <v>645</v>
      </c>
      <c r="L530" t="s">
        <v>646</v>
      </c>
      <c r="M530" t="s">
        <v>664</v>
      </c>
    </row>
    <row r="531" spans="1:13" hidden="1" x14ac:dyDescent="0.2">
      <c r="A531" s="10" t="s">
        <v>558</v>
      </c>
      <c r="B531" t="s">
        <v>68</v>
      </c>
      <c r="C531" t="s">
        <v>658</v>
      </c>
      <c r="D531" t="s">
        <v>659</v>
      </c>
      <c r="E531" s="10" t="b">
        <f>IF(ISERROR(VLOOKUP( LEFT(B531, LEN(B531) - IF(ISNUMBER(RIGHT(B531, 1) * 1), 1, 0)),metadata_testudines!B$1:B$60,1,FALSE)),FALSE,TRUE)</f>
        <v>1</v>
      </c>
      <c r="F531" t="s">
        <v>660</v>
      </c>
      <c r="G531" t="s">
        <v>666</v>
      </c>
      <c r="H531">
        <v>60</v>
      </c>
      <c r="I531" t="s">
        <v>667</v>
      </c>
      <c r="J531" t="s">
        <v>668</v>
      </c>
      <c r="K531" t="s">
        <v>647</v>
      </c>
      <c r="L531" t="s">
        <v>664</v>
      </c>
      <c r="M531" t="s">
        <v>664</v>
      </c>
    </row>
    <row r="532" spans="1:13" hidden="1" x14ac:dyDescent="0.2">
      <c r="A532" s="10" t="s">
        <v>558</v>
      </c>
      <c r="B532" t="s">
        <v>68</v>
      </c>
      <c r="C532" t="s">
        <v>658</v>
      </c>
      <c r="D532" t="s">
        <v>659</v>
      </c>
      <c r="E532" s="10" t="b">
        <f>IF(ISERROR(VLOOKUP( LEFT(B532, LEN(B532) - IF(ISNUMBER(RIGHT(B532, 1) * 1), 1, 0)),metadata_testudines!B$1:B$60,1,FALSE)),FALSE,TRUE)</f>
        <v>1</v>
      </c>
      <c r="F532" t="s">
        <v>681</v>
      </c>
      <c r="G532" t="s">
        <v>682</v>
      </c>
      <c r="H532">
        <v>0.89</v>
      </c>
      <c r="I532" t="s">
        <v>667</v>
      </c>
      <c r="J532" t="s">
        <v>683</v>
      </c>
      <c r="K532" t="s">
        <v>645</v>
      </c>
      <c r="L532" t="s">
        <v>684</v>
      </c>
      <c r="M532" t="s">
        <v>664</v>
      </c>
    </row>
    <row r="533" spans="1:13" hidden="1" x14ac:dyDescent="0.2">
      <c r="A533" s="10" t="s">
        <v>558</v>
      </c>
      <c r="B533" t="s">
        <v>68</v>
      </c>
      <c r="C533" t="s">
        <v>658</v>
      </c>
      <c r="D533" t="s">
        <v>659</v>
      </c>
      <c r="E533" s="10" t="b">
        <f>IF(ISERROR(VLOOKUP( LEFT(B533, LEN(B533) - IF(ISNUMBER(RIGHT(B533, 1) * 1), 1, 0)),metadata_testudines!B$1:B$60,1,FALSE)),FALSE,TRUE)</f>
        <v>1</v>
      </c>
      <c r="F533" t="s">
        <v>681</v>
      </c>
      <c r="G533" t="s">
        <v>685</v>
      </c>
      <c r="H533">
        <v>0.89</v>
      </c>
      <c r="I533" t="s">
        <v>667</v>
      </c>
      <c r="J533" t="s">
        <v>683</v>
      </c>
      <c r="K533" t="s">
        <v>645</v>
      </c>
      <c r="L533" t="s">
        <v>684</v>
      </c>
      <c r="M533" t="s">
        <v>664</v>
      </c>
    </row>
    <row r="534" spans="1:13" hidden="1" x14ac:dyDescent="0.2">
      <c r="A534" s="10" t="s">
        <v>558</v>
      </c>
      <c r="B534" t="s">
        <v>68</v>
      </c>
      <c r="C534" t="s">
        <v>658</v>
      </c>
      <c r="D534" t="s">
        <v>659</v>
      </c>
      <c r="E534" s="10" t="b">
        <f>IF(ISERROR(VLOOKUP( LEFT(B534, LEN(B534) - IF(ISNUMBER(RIGHT(B534, 1) * 1), 1, 0)),metadata_testudines!B$1:B$60,1,FALSE)),FALSE,TRUE)</f>
        <v>1</v>
      </c>
      <c r="F534" t="s">
        <v>686</v>
      </c>
      <c r="G534" t="s">
        <v>687</v>
      </c>
      <c r="H534">
        <v>11</v>
      </c>
      <c r="I534" t="s">
        <v>662</v>
      </c>
      <c r="J534" t="s">
        <v>670</v>
      </c>
      <c r="K534" t="s">
        <v>647</v>
      </c>
      <c r="L534" t="s">
        <v>646</v>
      </c>
      <c r="M534" t="s">
        <v>664</v>
      </c>
    </row>
    <row r="535" spans="1:13" hidden="1" x14ac:dyDescent="0.2">
      <c r="A535" s="10" t="s">
        <v>558</v>
      </c>
      <c r="B535" t="s">
        <v>68</v>
      </c>
      <c r="C535" t="s">
        <v>658</v>
      </c>
      <c r="D535" t="s">
        <v>659</v>
      </c>
      <c r="E535" s="10" t="b">
        <f>IF(ISERROR(VLOOKUP( LEFT(B535, LEN(B535) - IF(ISNUMBER(RIGHT(B535, 1) * 1), 1, 0)),metadata_testudines!B$1:B$60,1,FALSE)),FALSE,TRUE)</f>
        <v>1</v>
      </c>
      <c r="F535" t="s">
        <v>681</v>
      </c>
      <c r="G535" t="s">
        <v>682</v>
      </c>
      <c r="H535">
        <v>0.88</v>
      </c>
      <c r="I535" t="s">
        <v>667</v>
      </c>
      <c r="J535" t="s">
        <v>683</v>
      </c>
      <c r="K535" t="s">
        <v>645</v>
      </c>
      <c r="L535" t="s">
        <v>684</v>
      </c>
      <c r="M535" t="s">
        <v>664</v>
      </c>
    </row>
    <row r="536" spans="1:13" hidden="1" x14ac:dyDescent="0.2">
      <c r="A536" s="10" t="s">
        <v>558</v>
      </c>
      <c r="B536" t="s">
        <v>68</v>
      </c>
      <c r="C536" t="s">
        <v>658</v>
      </c>
      <c r="D536" t="s">
        <v>659</v>
      </c>
      <c r="E536" s="10" t="b">
        <f>IF(ISERROR(VLOOKUP( LEFT(B536, LEN(B536) - IF(ISNUMBER(RIGHT(B536, 1) * 1), 1, 0)),metadata_testudines!B$1:B$60,1,FALSE)),FALSE,TRUE)</f>
        <v>1</v>
      </c>
      <c r="F536" t="s">
        <v>681</v>
      </c>
      <c r="G536" t="s">
        <v>682</v>
      </c>
      <c r="H536">
        <v>0.47</v>
      </c>
      <c r="I536" t="s">
        <v>667</v>
      </c>
      <c r="J536" t="s">
        <v>683</v>
      </c>
      <c r="K536" t="s">
        <v>645</v>
      </c>
      <c r="L536" t="s">
        <v>684</v>
      </c>
      <c r="M536" t="s">
        <v>664</v>
      </c>
    </row>
    <row r="537" spans="1:13" hidden="1" x14ac:dyDescent="0.2">
      <c r="A537" s="10" t="s">
        <v>558</v>
      </c>
      <c r="B537" t="s">
        <v>68</v>
      </c>
      <c r="C537" t="s">
        <v>658</v>
      </c>
      <c r="D537" t="s">
        <v>659</v>
      </c>
      <c r="E537" s="10" t="b">
        <f>IF(ISERROR(VLOOKUP( LEFT(B537, LEN(B537) - IF(ISNUMBER(RIGHT(B537, 1) * 1), 1, 0)),metadata_testudines!B$1:B$60,1,FALSE)),FALSE,TRUE)</f>
        <v>1</v>
      </c>
      <c r="F537" t="s">
        <v>681</v>
      </c>
      <c r="G537" t="s">
        <v>682</v>
      </c>
      <c r="H537">
        <v>0.5</v>
      </c>
      <c r="I537" t="s">
        <v>667</v>
      </c>
      <c r="J537" t="s">
        <v>683</v>
      </c>
      <c r="K537" t="s">
        <v>645</v>
      </c>
      <c r="L537" t="s">
        <v>646</v>
      </c>
      <c r="M537" t="s">
        <v>664</v>
      </c>
    </row>
    <row r="538" spans="1:13" hidden="1" x14ac:dyDescent="0.2">
      <c r="A538" s="10" t="s">
        <v>558</v>
      </c>
      <c r="B538" t="s">
        <v>68</v>
      </c>
      <c r="C538" t="s">
        <v>658</v>
      </c>
      <c r="D538" t="s">
        <v>659</v>
      </c>
      <c r="E538" s="10" t="b">
        <f>IF(ISERROR(VLOOKUP( LEFT(B538, LEN(B538) - IF(ISNUMBER(RIGHT(B538, 1) * 1), 1, 0)),metadata_testudines!B$1:B$60,1,FALSE)),FALSE,TRUE)</f>
        <v>1</v>
      </c>
      <c r="F538" t="s">
        <v>660</v>
      </c>
      <c r="G538" t="s">
        <v>669</v>
      </c>
      <c r="H538">
        <v>3652.5</v>
      </c>
      <c r="I538" t="s">
        <v>662</v>
      </c>
      <c r="J538" t="s">
        <v>670</v>
      </c>
      <c r="K538" t="s">
        <v>647</v>
      </c>
      <c r="L538" t="s">
        <v>647</v>
      </c>
      <c r="M538" t="s">
        <v>664</v>
      </c>
    </row>
    <row r="539" spans="1:13" hidden="1" x14ac:dyDescent="0.2">
      <c r="A539" s="10" t="s">
        <v>558</v>
      </c>
      <c r="B539" t="s">
        <v>68</v>
      </c>
      <c r="C539" t="s">
        <v>658</v>
      </c>
      <c r="D539" t="s">
        <v>659</v>
      </c>
      <c r="E539" s="10" t="b">
        <f>IF(ISERROR(VLOOKUP( LEFT(B539, LEN(B539) - IF(ISNUMBER(RIGHT(B539, 1) * 1), 1, 0)),metadata_testudines!B$1:B$60,1,FALSE)),FALSE,TRUE)</f>
        <v>1</v>
      </c>
      <c r="F539" t="s">
        <v>660</v>
      </c>
      <c r="G539" t="s">
        <v>669</v>
      </c>
      <c r="H539">
        <v>7670.25</v>
      </c>
      <c r="I539" t="s">
        <v>662</v>
      </c>
      <c r="J539" t="s">
        <v>670</v>
      </c>
      <c r="K539" t="s">
        <v>647</v>
      </c>
      <c r="L539" t="s">
        <v>647</v>
      </c>
      <c r="M539" t="s">
        <v>664</v>
      </c>
    </row>
    <row r="540" spans="1:13" hidden="1" x14ac:dyDescent="0.2">
      <c r="A540" s="10" t="s">
        <v>558</v>
      </c>
      <c r="B540" t="s">
        <v>68</v>
      </c>
      <c r="C540" t="s">
        <v>658</v>
      </c>
      <c r="D540" t="s">
        <v>659</v>
      </c>
      <c r="E540" s="10" t="b">
        <f>IF(ISERROR(VLOOKUP( LEFT(B540, LEN(B540) - IF(ISNUMBER(RIGHT(B540, 1) * 1), 1, 0)),metadata_testudines!B$1:B$60,1,FALSE)),FALSE,TRUE)</f>
        <v>1</v>
      </c>
      <c r="F540" t="s">
        <v>681</v>
      </c>
      <c r="G540" t="s">
        <v>685</v>
      </c>
      <c r="H540">
        <v>0.47</v>
      </c>
      <c r="I540" t="s">
        <v>667</v>
      </c>
      <c r="J540" t="s">
        <v>683</v>
      </c>
      <c r="K540" t="s">
        <v>645</v>
      </c>
      <c r="L540" t="s">
        <v>684</v>
      </c>
      <c r="M540" t="s">
        <v>664</v>
      </c>
    </row>
    <row r="541" spans="1:13" hidden="1" x14ac:dyDescent="0.2">
      <c r="A541" s="10" t="s">
        <v>558</v>
      </c>
      <c r="B541" t="s">
        <v>68</v>
      </c>
      <c r="C541" t="s">
        <v>658</v>
      </c>
      <c r="D541" t="s">
        <v>659</v>
      </c>
      <c r="E541" s="10" t="b">
        <f>IF(ISERROR(VLOOKUP( LEFT(B541, LEN(B541) - IF(ISNUMBER(RIGHT(B541, 1) * 1), 1, 0)),metadata_testudines!B$1:B$60,1,FALSE)),FALSE,TRUE)</f>
        <v>1</v>
      </c>
      <c r="F541" t="s">
        <v>660</v>
      </c>
      <c r="G541" t="s">
        <v>666</v>
      </c>
      <c r="H541">
        <v>40</v>
      </c>
      <c r="I541" t="s">
        <v>667</v>
      </c>
      <c r="J541" t="s">
        <v>668</v>
      </c>
      <c r="K541" t="s">
        <v>647</v>
      </c>
      <c r="L541" t="s">
        <v>664</v>
      </c>
      <c r="M541" t="s">
        <v>664</v>
      </c>
    </row>
    <row r="542" spans="1:13" hidden="1" x14ac:dyDescent="0.2">
      <c r="A542" s="10" t="s">
        <v>558</v>
      </c>
      <c r="B542" t="s">
        <v>68</v>
      </c>
      <c r="C542" t="s">
        <v>658</v>
      </c>
      <c r="D542" t="s">
        <v>659</v>
      </c>
      <c r="E542" s="10" t="b">
        <f>IF(ISERROR(VLOOKUP( LEFT(B542, LEN(B542) - IF(ISNUMBER(RIGHT(B542, 1) * 1), 1, 0)),metadata_testudines!B$1:B$60,1,FALSE)),FALSE,TRUE)</f>
        <v>1</v>
      </c>
      <c r="F542" t="s">
        <v>681</v>
      </c>
      <c r="G542" t="s">
        <v>682</v>
      </c>
      <c r="H542">
        <v>0.5</v>
      </c>
      <c r="I542" t="s">
        <v>667</v>
      </c>
      <c r="J542" t="s">
        <v>683</v>
      </c>
      <c r="K542" t="s">
        <v>645</v>
      </c>
      <c r="L542" t="s">
        <v>646</v>
      </c>
      <c r="M542" t="s">
        <v>664</v>
      </c>
    </row>
    <row r="543" spans="1:13" hidden="1" x14ac:dyDescent="0.2">
      <c r="A543" s="10" t="s">
        <v>558</v>
      </c>
      <c r="B543" t="s">
        <v>68</v>
      </c>
      <c r="C543" t="s">
        <v>658</v>
      </c>
      <c r="D543" t="s">
        <v>659</v>
      </c>
      <c r="E543" s="10" t="b">
        <f>IF(ISERROR(VLOOKUP( LEFT(B543, LEN(B543) - IF(ISNUMBER(RIGHT(B543, 1) * 1), 1, 0)),metadata_testudines!B$1:B$60,1,FALSE)),FALSE,TRUE)</f>
        <v>1</v>
      </c>
      <c r="F543" t="s">
        <v>681</v>
      </c>
      <c r="G543" t="s">
        <v>685</v>
      </c>
      <c r="H543">
        <v>0.89</v>
      </c>
      <c r="I543" t="s">
        <v>667</v>
      </c>
      <c r="J543" t="s">
        <v>683</v>
      </c>
      <c r="K543" t="s">
        <v>645</v>
      </c>
      <c r="L543" t="s">
        <v>684</v>
      </c>
      <c r="M543" t="s">
        <v>664</v>
      </c>
    </row>
    <row r="544" spans="1:13" hidden="1" x14ac:dyDescent="0.2">
      <c r="A544" s="10" t="s">
        <v>558</v>
      </c>
      <c r="B544" t="s">
        <v>68</v>
      </c>
      <c r="C544" t="s">
        <v>658</v>
      </c>
      <c r="D544" t="s">
        <v>659</v>
      </c>
      <c r="E544" s="10" t="b">
        <f>IF(ISERROR(VLOOKUP( LEFT(B544, LEN(B544) - IF(ISNUMBER(RIGHT(B544, 1) * 1), 1, 0)),metadata_testudines!B$1:B$60,1,FALSE)),FALSE,TRUE)</f>
        <v>1</v>
      </c>
      <c r="F544" t="s">
        <v>681</v>
      </c>
      <c r="G544" t="s">
        <v>682</v>
      </c>
      <c r="H544">
        <v>0.9</v>
      </c>
      <c r="I544" t="s">
        <v>667</v>
      </c>
      <c r="J544" t="s">
        <v>683</v>
      </c>
      <c r="K544" t="s">
        <v>645</v>
      </c>
      <c r="L544" t="s">
        <v>646</v>
      </c>
      <c r="M544" t="s">
        <v>664</v>
      </c>
    </row>
    <row r="545" spans="1:13" hidden="1" x14ac:dyDescent="0.2">
      <c r="A545" s="10" t="s">
        <v>558</v>
      </c>
      <c r="B545" t="s">
        <v>68</v>
      </c>
      <c r="C545" t="s">
        <v>658</v>
      </c>
      <c r="D545" t="s">
        <v>659</v>
      </c>
      <c r="E545" s="10" t="b">
        <f>IF(ISERROR(VLOOKUP( LEFT(B545, LEN(B545) - IF(ISNUMBER(RIGHT(B545, 1) * 1), 1, 0)),metadata_testudines!B$1:B$60,1,FALSE)),FALSE,TRUE)</f>
        <v>1</v>
      </c>
      <c r="F545" t="s">
        <v>681</v>
      </c>
      <c r="G545" t="s">
        <v>685</v>
      </c>
      <c r="H545">
        <v>0.94</v>
      </c>
      <c r="I545" t="s">
        <v>667</v>
      </c>
      <c r="J545" t="s">
        <v>683</v>
      </c>
      <c r="K545" t="s">
        <v>645</v>
      </c>
      <c r="L545" t="s">
        <v>684</v>
      </c>
      <c r="M545" t="s">
        <v>664</v>
      </c>
    </row>
    <row r="546" spans="1:13" hidden="1" x14ac:dyDescent="0.2">
      <c r="A546" s="10" t="s">
        <v>558</v>
      </c>
      <c r="B546" t="s">
        <v>68</v>
      </c>
      <c r="C546" t="s">
        <v>658</v>
      </c>
      <c r="D546" t="s">
        <v>659</v>
      </c>
      <c r="E546" s="10" t="b">
        <f>IF(ISERROR(VLOOKUP( LEFT(B546, LEN(B546) - IF(ISNUMBER(RIGHT(B546, 1) * 1), 1, 0)),metadata_testudines!B$1:B$60,1,FALSE)),FALSE,TRUE)</f>
        <v>1</v>
      </c>
      <c r="F546" t="s">
        <v>681</v>
      </c>
      <c r="G546" t="s">
        <v>682</v>
      </c>
      <c r="H546">
        <v>0.47</v>
      </c>
      <c r="I546" t="s">
        <v>667</v>
      </c>
      <c r="J546" t="s">
        <v>683</v>
      </c>
      <c r="K546" t="s">
        <v>645</v>
      </c>
      <c r="L546" t="s">
        <v>684</v>
      </c>
      <c r="M546" t="s">
        <v>664</v>
      </c>
    </row>
    <row r="547" spans="1:13" hidden="1" x14ac:dyDescent="0.2">
      <c r="A547" s="10" t="s">
        <v>558</v>
      </c>
      <c r="B547" t="s">
        <v>68</v>
      </c>
      <c r="C547" t="s">
        <v>658</v>
      </c>
      <c r="D547" t="s">
        <v>659</v>
      </c>
      <c r="E547" s="10" t="b">
        <f>IF(ISERROR(VLOOKUP( LEFT(B547, LEN(B547) - IF(ISNUMBER(RIGHT(B547, 1) * 1), 1, 0)),metadata_testudines!B$1:B$60,1,FALSE)),FALSE,TRUE)</f>
        <v>1</v>
      </c>
      <c r="F547" t="s">
        <v>660</v>
      </c>
      <c r="G547" t="s">
        <v>665</v>
      </c>
      <c r="H547">
        <v>1</v>
      </c>
      <c r="I547" t="s">
        <v>662</v>
      </c>
      <c r="J547" t="s">
        <v>663</v>
      </c>
      <c r="K547" t="s">
        <v>647</v>
      </c>
      <c r="L547" t="s">
        <v>664</v>
      </c>
      <c r="M547" t="s">
        <v>664</v>
      </c>
    </row>
    <row r="548" spans="1:13" hidden="1" x14ac:dyDescent="0.2">
      <c r="A548" s="10" t="s">
        <v>558</v>
      </c>
      <c r="B548" t="s">
        <v>68</v>
      </c>
      <c r="C548" t="s">
        <v>658</v>
      </c>
      <c r="D548" t="s">
        <v>659</v>
      </c>
      <c r="E548" s="10" t="b">
        <f>IF(ISERROR(VLOOKUP( LEFT(B548, LEN(B548) - IF(ISNUMBER(RIGHT(B548, 1) * 1), 1, 0)),metadata_testudines!B$1:B$60,1,FALSE)),FALSE,TRUE)</f>
        <v>1</v>
      </c>
      <c r="F548" t="s">
        <v>681</v>
      </c>
      <c r="G548" t="s">
        <v>682</v>
      </c>
      <c r="H548">
        <v>0.82</v>
      </c>
      <c r="I548" t="s">
        <v>667</v>
      </c>
      <c r="J548" t="s">
        <v>683</v>
      </c>
      <c r="K548" t="s">
        <v>645</v>
      </c>
      <c r="L548" t="s">
        <v>684</v>
      </c>
      <c r="M548" t="s">
        <v>664</v>
      </c>
    </row>
    <row r="549" spans="1:13" hidden="1" x14ac:dyDescent="0.2">
      <c r="A549" s="10" t="s">
        <v>558</v>
      </c>
      <c r="B549" t="s">
        <v>68</v>
      </c>
      <c r="C549" t="s">
        <v>658</v>
      </c>
      <c r="D549" t="s">
        <v>659</v>
      </c>
      <c r="E549" s="10" t="b">
        <f>IF(ISERROR(VLOOKUP( LEFT(B549, LEN(B549) - IF(ISNUMBER(RIGHT(B549, 1) * 1), 1, 0)),metadata_testudines!B$1:B$60,1,FALSE)),FALSE,TRUE)</f>
        <v>1</v>
      </c>
      <c r="F549" t="s">
        <v>681</v>
      </c>
      <c r="G549" t="s">
        <v>685</v>
      </c>
      <c r="H549">
        <v>0.82</v>
      </c>
      <c r="I549" t="s">
        <v>667</v>
      </c>
      <c r="J549" t="s">
        <v>683</v>
      </c>
      <c r="K549" t="s">
        <v>645</v>
      </c>
      <c r="L549" t="s">
        <v>684</v>
      </c>
      <c r="M549" t="s">
        <v>664</v>
      </c>
    </row>
    <row r="550" spans="1:13" hidden="1" x14ac:dyDescent="0.2">
      <c r="A550" s="10" t="s">
        <v>558</v>
      </c>
      <c r="B550" t="s">
        <v>68</v>
      </c>
      <c r="C550" t="s">
        <v>658</v>
      </c>
      <c r="D550" t="s">
        <v>659</v>
      </c>
      <c r="E550" s="10" t="b">
        <f>IF(ISERROR(VLOOKUP( LEFT(B550, LEN(B550) - IF(ISNUMBER(RIGHT(B550, 1) * 1), 1, 0)),metadata_testudines!B$1:B$60,1,FALSE)),FALSE,TRUE)</f>
        <v>1</v>
      </c>
      <c r="F550" t="s">
        <v>660</v>
      </c>
      <c r="G550" t="s">
        <v>665</v>
      </c>
      <c r="H550">
        <v>1</v>
      </c>
      <c r="I550" t="s">
        <v>662</v>
      </c>
      <c r="J550" t="s">
        <v>663</v>
      </c>
      <c r="K550" t="s">
        <v>647</v>
      </c>
      <c r="L550" t="s">
        <v>664</v>
      </c>
      <c r="M550" t="s">
        <v>664</v>
      </c>
    </row>
    <row r="551" spans="1:13" hidden="1" x14ac:dyDescent="0.2">
      <c r="A551" s="10" t="s">
        <v>558</v>
      </c>
      <c r="B551" t="s">
        <v>68</v>
      </c>
      <c r="C551" t="s">
        <v>658</v>
      </c>
      <c r="D551" t="s">
        <v>659</v>
      </c>
      <c r="E551" s="10" t="b">
        <f>IF(ISERROR(VLOOKUP( LEFT(B551, LEN(B551) - IF(ISNUMBER(RIGHT(B551, 1) * 1), 1, 0)),metadata_testudines!B$1:B$60,1,FALSE)),FALSE,TRUE)</f>
        <v>1</v>
      </c>
      <c r="F551" t="s">
        <v>681</v>
      </c>
      <c r="G551" t="s">
        <v>682</v>
      </c>
      <c r="H551">
        <v>0.5</v>
      </c>
      <c r="I551" t="s">
        <v>667</v>
      </c>
      <c r="J551" t="s">
        <v>683</v>
      </c>
      <c r="K551" t="s">
        <v>645</v>
      </c>
      <c r="L551" t="s">
        <v>646</v>
      </c>
      <c r="M551" t="s">
        <v>664</v>
      </c>
    </row>
    <row r="552" spans="1:13" hidden="1" x14ac:dyDescent="0.2">
      <c r="A552" s="10" t="s">
        <v>558</v>
      </c>
      <c r="B552" t="s">
        <v>68</v>
      </c>
      <c r="C552" t="s">
        <v>658</v>
      </c>
      <c r="D552" t="s">
        <v>659</v>
      </c>
      <c r="E552" s="10" t="b">
        <f>IF(ISERROR(VLOOKUP( LEFT(B552, LEN(B552) - IF(ISNUMBER(RIGHT(B552, 1) * 1), 1, 0)),metadata_testudines!B$1:B$60,1,FALSE)),FALSE,TRUE)</f>
        <v>1</v>
      </c>
      <c r="F552" t="s">
        <v>681</v>
      </c>
      <c r="G552" t="s">
        <v>685</v>
      </c>
      <c r="H552">
        <v>0.88</v>
      </c>
      <c r="I552" t="s">
        <v>667</v>
      </c>
      <c r="J552" t="s">
        <v>683</v>
      </c>
      <c r="K552" t="s">
        <v>645</v>
      </c>
      <c r="L552" t="s">
        <v>684</v>
      </c>
      <c r="M552" t="s">
        <v>664</v>
      </c>
    </row>
    <row r="553" spans="1:13" hidden="1" x14ac:dyDescent="0.2">
      <c r="A553" s="10" t="s">
        <v>558</v>
      </c>
      <c r="B553" t="s">
        <v>68</v>
      </c>
      <c r="C553" t="s">
        <v>658</v>
      </c>
      <c r="D553" t="s">
        <v>659</v>
      </c>
      <c r="E553" s="10" t="b">
        <f>IF(ISERROR(VLOOKUP( LEFT(B553, LEN(B553) - IF(ISNUMBER(RIGHT(B553, 1) * 1), 1, 0)),metadata_testudines!B$1:B$60,1,FALSE)),FALSE,TRUE)</f>
        <v>1</v>
      </c>
      <c r="F553" t="s">
        <v>686</v>
      </c>
      <c r="G553" t="s">
        <v>690</v>
      </c>
      <c r="H553">
        <v>0.9</v>
      </c>
      <c r="I553" t="s">
        <v>667</v>
      </c>
      <c r="J553" t="s">
        <v>683</v>
      </c>
      <c r="K553" t="s">
        <v>647</v>
      </c>
      <c r="L553" t="s">
        <v>646</v>
      </c>
      <c r="M553" t="s">
        <v>664</v>
      </c>
    </row>
    <row r="554" spans="1:13" hidden="1" x14ac:dyDescent="0.2">
      <c r="A554" s="10" t="s">
        <v>558</v>
      </c>
      <c r="B554" t="s">
        <v>68</v>
      </c>
      <c r="C554" t="s">
        <v>658</v>
      </c>
      <c r="D554" t="s">
        <v>659</v>
      </c>
      <c r="E554" s="10" t="b">
        <f>IF(ISERROR(VLOOKUP( LEFT(B554, LEN(B554) - IF(ISNUMBER(RIGHT(B554, 1) * 1), 1, 0)),metadata_testudines!B$1:B$60,1,FALSE)),FALSE,TRUE)</f>
        <v>1</v>
      </c>
      <c r="F554" t="s">
        <v>681</v>
      </c>
      <c r="G554" t="s">
        <v>685</v>
      </c>
      <c r="H554">
        <v>0.88</v>
      </c>
      <c r="I554" t="s">
        <v>667</v>
      </c>
      <c r="J554" t="s">
        <v>683</v>
      </c>
      <c r="K554" t="s">
        <v>645</v>
      </c>
      <c r="L554" t="s">
        <v>684</v>
      </c>
      <c r="M554" t="s">
        <v>664</v>
      </c>
    </row>
    <row r="555" spans="1:13" hidden="1" x14ac:dyDescent="0.2">
      <c r="A555" s="10" t="s">
        <v>558</v>
      </c>
      <c r="B555" t="s">
        <v>68</v>
      </c>
      <c r="C555" t="s">
        <v>658</v>
      </c>
      <c r="D555" t="s">
        <v>659</v>
      </c>
      <c r="E555" s="10" t="b">
        <f>IF(ISERROR(VLOOKUP( LEFT(B555, LEN(B555) - IF(ISNUMBER(RIGHT(B555, 1) * 1), 1, 0)),metadata_testudines!B$1:B$60,1,FALSE)),FALSE,TRUE)</f>
        <v>1</v>
      </c>
      <c r="F555" t="s">
        <v>681</v>
      </c>
      <c r="G555" t="s">
        <v>682</v>
      </c>
      <c r="H555">
        <v>0.88</v>
      </c>
      <c r="I555" t="s">
        <v>667</v>
      </c>
      <c r="J555" t="s">
        <v>683</v>
      </c>
      <c r="K555" t="s">
        <v>645</v>
      </c>
      <c r="L555" t="s">
        <v>684</v>
      </c>
      <c r="M555" t="s">
        <v>664</v>
      </c>
    </row>
    <row r="556" spans="1:13" hidden="1" x14ac:dyDescent="0.2">
      <c r="A556" s="10" t="s">
        <v>558</v>
      </c>
      <c r="B556" t="s">
        <v>68</v>
      </c>
      <c r="C556" t="s">
        <v>658</v>
      </c>
      <c r="D556" t="s">
        <v>659</v>
      </c>
      <c r="E556" s="10" t="b">
        <f>IF(ISERROR(VLOOKUP( LEFT(B556, LEN(B556) - IF(ISNUMBER(RIGHT(B556, 1) * 1), 1, 0)),metadata_testudines!B$1:B$60,1,FALSE)),FALSE,TRUE)</f>
        <v>1</v>
      </c>
      <c r="F556" t="s">
        <v>681</v>
      </c>
      <c r="G556" t="s">
        <v>685</v>
      </c>
      <c r="H556">
        <v>0.9</v>
      </c>
      <c r="I556" t="s">
        <v>667</v>
      </c>
      <c r="J556" t="s">
        <v>683</v>
      </c>
      <c r="K556" t="s">
        <v>645</v>
      </c>
      <c r="L556" t="s">
        <v>646</v>
      </c>
      <c r="M556" t="s">
        <v>664</v>
      </c>
    </row>
    <row r="557" spans="1:13" hidden="1" x14ac:dyDescent="0.2">
      <c r="A557" s="10" t="s">
        <v>558</v>
      </c>
      <c r="B557" t="s">
        <v>68</v>
      </c>
      <c r="C557" t="s">
        <v>658</v>
      </c>
      <c r="D557" t="s">
        <v>659</v>
      </c>
      <c r="E557" s="10" t="b">
        <f>IF(ISERROR(VLOOKUP( LEFT(B557, LEN(B557) - IF(ISNUMBER(RIGHT(B557, 1) * 1), 1, 0)),metadata_testudines!B$1:B$60,1,FALSE)),FALSE,TRUE)</f>
        <v>1</v>
      </c>
      <c r="F557" t="s">
        <v>660</v>
      </c>
      <c r="G557" t="s">
        <v>666</v>
      </c>
      <c r="H557">
        <v>40</v>
      </c>
      <c r="I557" t="s">
        <v>667</v>
      </c>
      <c r="J557" t="s">
        <v>668</v>
      </c>
      <c r="K557" t="s">
        <v>647</v>
      </c>
      <c r="L557" t="s">
        <v>664</v>
      </c>
      <c r="M557" t="s">
        <v>664</v>
      </c>
    </row>
    <row r="558" spans="1:13" hidden="1" x14ac:dyDescent="0.2">
      <c r="A558" s="10" t="s">
        <v>558</v>
      </c>
      <c r="B558" t="s">
        <v>68</v>
      </c>
      <c r="C558" t="s">
        <v>658</v>
      </c>
      <c r="D558" t="s">
        <v>659</v>
      </c>
      <c r="E558" s="10" t="b">
        <f>IF(ISERROR(VLOOKUP( LEFT(B558, LEN(B558) - IF(ISNUMBER(RIGHT(B558, 1) * 1), 1, 0)),metadata_testudines!B$1:B$60,1,FALSE)),FALSE,TRUE)</f>
        <v>1</v>
      </c>
      <c r="F558" t="s">
        <v>681</v>
      </c>
      <c r="G558" t="s">
        <v>682</v>
      </c>
      <c r="H558">
        <v>0.82</v>
      </c>
      <c r="I558" t="s">
        <v>667</v>
      </c>
      <c r="J558" t="s">
        <v>683</v>
      </c>
      <c r="K558" t="s">
        <v>645</v>
      </c>
      <c r="L558" t="s">
        <v>684</v>
      </c>
      <c r="M558" t="s">
        <v>664</v>
      </c>
    </row>
    <row r="559" spans="1:13" hidden="1" x14ac:dyDescent="0.2">
      <c r="A559" s="10" t="s">
        <v>558</v>
      </c>
      <c r="B559" t="s">
        <v>68</v>
      </c>
      <c r="C559" t="s">
        <v>658</v>
      </c>
      <c r="D559" t="s">
        <v>659</v>
      </c>
      <c r="E559" s="10" t="b">
        <f>IF(ISERROR(VLOOKUP( LEFT(B559, LEN(B559) - IF(ISNUMBER(RIGHT(B559, 1) * 1), 1, 0)),metadata_testudines!B$1:B$60,1,FALSE)),FALSE,TRUE)</f>
        <v>1</v>
      </c>
      <c r="F559" t="s">
        <v>681</v>
      </c>
      <c r="G559" t="s">
        <v>685</v>
      </c>
      <c r="H559">
        <v>0.82</v>
      </c>
      <c r="I559" t="s">
        <v>667</v>
      </c>
      <c r="J559" t="s">
        <v>683</v>
      </c>
      <c r="K559" t="s">
        <v>645</v>
      </c>
      <c r="L559" t="s">
        <v>684</v>
      </c>
      <c r="M559" t="s">
        <v>664</v>
      </c>
    </row>
    <row r="560" spans="1:13" hidden="1" x14ac:dyDescent="0.2">
      <c r="A560" s="10" t="s">
        <v>558</v>
      </c>
      <c r="B560" t="s">
        <v>68</v>
      </c>
      <c r="C560" t="s">
        <v>658</v>
      </c>
      <c r="D560" t="s">
        <v>659</v>
      </c>
      <c r="E560" s="10" t="b">
        <f>IF(ISERROR(VLOOKUP( LEFT(B560, LEN(B560) - IF(ISNUMBER(RIGHT(B560, 1) * 1), 1, 0)),metadata_testudines!B$1:B$60,1,FALSE)),FALSE,TRUE)</f>
        <v>1</v>
      </c>
      <c r="F560" t="s">
        <v>681</v>
      </c>
      <c r="G560" t="s">
        <v>682</v>
      </c>
      <c r="H560">
        <v>0.94</v>
      </c>
      <c r="I560" t="s">
        <v>667</v>
      </c>
      <c r="J560" t="s">
        <v>683</v>
      </c>
      <c r="K560" t="s">
        <v>645</v>
      </c>
      <c r="L560" t="s">
        <v>684</v>
      </c>
      <c r="M560" t="s">
        <v>664</v>
      </c>
    </row>
    <row r="561" spans="1:13" hidden="1" x14ac:dyDescent="0.2">
      <c r="A561" s="10" t="s">
        <v>558</v>
      </c>
      <c r="B561" t="s">
        <v>68</v>
      </c>
      <c r="C561" t="s">
        <v>658</v>
      </c>
      <c r="D561" t="s">
        <v>659</v>
      </c>
      <c r="E561" s="10" t="b">
        <f>IF(ISERROR(VLOOKUP( LEFT(B561, LEN(B561) - IF(ISNUMBER(RIGHT(B561, 1) * 1), 1, 0)),metadata_testudines!B$1:B$60,1,FALSE)),FALSE,TRUE)</f>
        <v>1</v>
      </c>
      <c r="F561" t="s">
        <v>686</v>
      </c>
      <c r="G561" t="s">
        <v>689</v>
      </c>
      <c r="H561">
        <v>0.11</v>
      </c>
      <c r="I561" t="s">
        <v>667</v>
      </c>
      <c r="J561" t="s">
        <v>683</v>
      </c>
      <c r="K561" t="s">
        <v>647</v>
      </c>
      <c r="L561" t="s">
        <v>646</v>
      </c>
      <c r="M561" t="s">
        <v>664</v>
      </c>
    </row>
    <row r="562" spans="1:13" hidden="1" x14ac:dyDescent="0.2">
      <c r="A562" s="10" t="s">
        <v>558</v>
      </c>
      <c r="B562" t="s">
        <v>68</v>
      </c>
      <c r="C562" t="s">
        <v>658</v>
      </c>
      <c r="D562" t="s">
        <v>659</v>
      </c>
      <c r="E562" s="10" t="b">
        <f>IF(ISERROR(VLOOKUP( LEFT(B562, LEN(B562) - IF(ISNUMBER(RIGHT(B562, 1) * 1), 1, 0)),metadata_testudines!B$1:B$60,1,FALSE)),FALSE,TRUE)</f>
        <v>1</v>
      </c>
      <c r="F562" t="s">
        <v>681</v>
      </c>
      <c r="G562" t="s">
        <v>685</v>
      </c>
      <c r="H562">
        <v>0.5</v>
      </c>
      <c r="I562" t="s">
        <v>667</v>
      </c>
      <c r="J562" t="s">
        <v>683</v>
      </c>
      <c r="K562" t="s">
        <v>645</v>
      </c>
      <c r="L562" t="s">
        <v>646</v>
      </c>
      <c r="M562" t="s">
        <v>664</v>
      </c>
    </row>
    <row r="563" spans="1:13" hidden="1" x14ac:dyDescent="0.2">
      <c r="A563" s="10" t="s">
        <v>558</v>
      </c>
      <c r="B563" t="s">
        <v>68</v>
      </c>
      <c r="C563" t="s">
        <v>658</v>
      </c>
      <c r="D563" t="s">
        <v>659</v>
      </c>
      <c r="E563" s="10" t="b">
        <f>IF(ISERROR(VLOOKUP( LEFT(B563, LEN(B563) - IF(ISNUMBER(RIGHT(B563, 1) * 1), 1, 0)),metadata_testudines!B$1:B$60,1,FALSE)),FALSE,TRUE)</f>
        <v>1</v>
      </c>
      <c r="F563" t="s">
        <v>681</v>
      </c>
      <c r="G563" t="s">
        <v>682</v>
      </c>
      <c r="H563">
        <v>0.9</v>
      </c>
      <c r="I563" t="s">
        <v>667</v>
      </c>
      <c r="J563" t="s">
        <v>683</v>
      </c>
      <c r="K563" t="s">
        <v>645</v>
      </c>
      <c r="L563" t="s">
        <v>646</v>
      </c>
      <c r="M563" t="s">
        <v>664</v>
      </c>
    </row>
    <row r="564" spans="1:13" hidden="1" x14ac:dyDescent="0.2">
      <c r="A564" s="10" t="s">
        <v>558</v>
      </c>
      <c r="B564" t="s">
        <v>68</v>
      </c>
      <c r="C564" t="s">
        <v>658</v>
      </c>
      <c r="D564" t="s">
        <v>659</v>
      </c>
      <c r="E564" s="10" t="b">
        <f>IF(ISERROR(VLOOKUP( LEFT(B564, LEN(B564) - IF(ISNUMBER(RIGHT(B564, 1) * 1), 1, 0)),metadata_testudines!B$1:B$60,1,FALSE)),FALSE,TRUE)</f>
        <v>1</v>
      </c>
      <c r="F564" t="s">
        <v>660</v>
      </c>
      <c r="G564" t="s">
        <v>669</v>
      </c>
      <c r="H564">
        <v>4017.75</v>
      </c>
      <c r="I564" t="s">
        <v>662</v>
      </c>
      <c r="J564" t="s">
        <v>670</v>
      </c>
      <c r="K564" t="s">
        <v>647</v>
      </c>
      <c r="L564" t="s">
        <v>647</v>
      </c>
      <c r="M564" t="s">
        <v>664</v>
      </c>
    </row>
    <row r="565" spans="1:13" hidden="1" x14ac:dyDescent="0.2">
      <c r="A565" s="10" t="s">
        <v>558</v>
      </c>
      <c r="B565" t="s">
        <v>68</v>
      </c>
      <c r="C565" t="s">
        <v>658</v>
      </c>
      <c r="D565" t="s">
        <v>659</v>
      </c>
      <c r="E565" s="10" t="b">
        <f>IF(ISERROR(VLOOKUP( LEFT(B565, LEN(B565) - IF(ISNUMBER(RIGHT(B565, 1) * 1), 1, 0)),metadata_testudines!B$1:B$60,1,FALSE)),FALSE,TRUE)</f>
        <v>1</v>
      </c>
      <c r="F565" t="s">
        <v>681</v>
      </c>
      <c r="G565" t="s">
        <v>685</v>
      </c>
      <c r="H565">
        <v>0.89</v>
      </c>
      <c r="I565" t="s">
        <v>667</v>
      </c>
      <c r="J565" t="s">
        <v>683</v>
      </c>
      <c r="K565" t="s">
        <v>645</v>
      </c>
      <c r="L565" t="s">
        <v>684</v>
      </c>
      <c r="M565" t="s">
        <v>664</v>
      </c>
    </row>
    <row r="566" spans="1:13" hidden="1" x14ac:dyDescent="0.2">
      <c r="A566" s="10" t="s">
        <v>558</v>
      </c>
      <c r="B566" t="s">
        <v>68</v>
      </c>
      <c r="C566" t="s">
        <v>658</v>
      </c>
      <c r="D566" t="s">
        <v>659</v>
      </c>
      <c r="E566" s="10" t="b">
        <f>IF(ISERROR(VLOOKUP( LEFT(B566, LEN(B566) - IF(ISNUMBER(RIGHT(B566, 1) * 1), 1, 0)),metadata_testudines!B$1:B$60,1,FALSE)),FALSE,TRUE)</f>
        <v>1</v>
      </c>
      <c r="F566" t="s">
        <v>681</v>
      </c>
      <c r="G566" t="s">
        <v>685</v>
      </c>
      <c r="H566">
        <v>0.9</v>
      </c>
      <c r="I566" t="s">
        <v>667</v>
      </c>
      <c r="J566" t="s">
        <v>683</v>
      </c>
      <c r="K566" t="s">
        <v>645</v>
      </c>
      <c r="L566" t="s">
        <v>646</v>
      </c>
      <c r="M566" t="s">
        <v>664</v>
      </c>
    </row>
    <row r="567" spans="1:13" hidden="1" x14ac:dyDescent="0.2">
      <c r="A567" s="10" t="s">
        <v>558</v>
      </c>
      <c r="B567" t="s">
        <v>68</v>
      </c>
      <c r="C567" t="s">
        <v>658</v>
      </c>
      <c r="D567" t="s">
        <v>659</v>
      </c>
      <c r="E567" s="10" t="b">
        <f>IF(ISERROR(VLOOKUP( LEFT(B567, LEN(B567) - IF(ISNUMBER(RIGHT(B567, 1) * 1), 1, 0)),metadata_testudines!B$1:B$60,1,FALSE)),FALSE,TRUE)</f>
        <v>1</v>
      </c>
      <c r="F567" t="s">
        <v>681</v>
      </c>
      <c r="G567" t="s">
        <v>682</v>
      </c>
      <c r="H567">
        <v>0.9</v>
      </c>
      <c r="I567" t="s">
        <v>667</v>
      </c>
      <c r="J567" t="s">
        <v>683</v>
      </c>
      <c r="K567" t="s">
        <v>645</v>
      </c>
      <c r="L567" t="s">
        <v>646</v>
      </c>
      <c r="M567" t="s">
        <v>664</v>
      </c>
    </row>
    <row r="568" spans="1:13" hidden="1" x14ac:dyDescent="0.2">
      <c r="A568" s="10" t="s">
        <v>558</v>
      </c>
      <c r="B568" t="s">
        <v>68</v>
      </c>
      <c r="C568" t="s">
        <v>658</v>
      </c>
      <c r="D568" t="s">
        <v>659</v>
      </c>
      <c r="E568" s="10" t="b">
        <f>IF(ISERROR(VLOOKUP( LEFT(B568, LEN(B568) - IF(ISNUMBER(RIGHT(B568, 1) * 1), 1, 0)),metadata_testudines!B$1:B$60,1,FALSE)),FALSE,TRUE)</f>
        <v>1</v>
      </c>
      <c r="F568" t="s">
        <v>681</v>
      </c>
      <c r="G568" t="s">
        <v>685</v>
      </c>
      <c r="H568">
        <v>0.5</v>
      </c>
      <c r="I568" t="s">
        <v>667</v>
      </c>
      <c r="J568" t="s">
        <v>683</v>
      </c>
      <c r="K568" t="s">
        <v>645</v>
      </c>
      <c r="L568" t="s">
        <v>646</v>
      </c>
      <c r="M568" t="s">
        <v>664</v>
      </c>
    </row>
    <row r="569" spans="1:13" hidden="1" x14ac:dyDescent="0.2">
      <c r="A569" s="10" t="s">
        <v>558</v>
      </c>
      <c r="B569" t="s">
        <v>68</v>
      </c>
      <c r="C569" t="s">
        <v>658</v>
      </c>
      <c r="D569" t="s">
        <v>659</v>
      </c>
      <c r="E569" s="10" t="b">
        <f>IF(ISERROR(VLOOKUP( LEFT(B569, LEN(B569) - IF(ISNUMBER(RIGHT(B569, 1) * 1), 1, 0)),metadata_testudines!B$1:B$60,1,FALSE)),FALSE,TRUE)</f>
        <v>1</v>
      </c>
      <c r="F569" t="s">
        <v>681</v>
      </c>
      <c r="G569" t="s">
        <v>682</v>
      </c>
      <c r="H569">
        <v>0.89</v>
      </c>
      <c r="I569" t="s">
        <v>667</v>
      </c>
      <c r="J569" t="s">
        <v>683</v>
      </c>
      <c r="K569" t="s">
        <v>645</v>
      </c>
      <c r="L569" t="s">
        <v>684</v>
      </c>
      <c r="M569" t="s">
        <v>664</v>
      </c>
    </row>
    <row r="570" spans="1:13" hidden="1" x14ac:dyDescent="0.2">
      <c r="A570" s="10" t="s">
        <v>558</v>
      </c>
      <c r="B570" t="s">
        <v>68</v>
      </c>
      <c r="C570" t="s">
        <v>658</v>
      </c>
      <c r="D570" t="s">
        <v>659</v>
      </c>
      <c r="E570" s="10" t="b">
        <f>IF(ISERROR(VLOOKUP( LEFT(B570, LEN(B570) - IF(ISNUMBER(RIGHT(B570, 1) * 1), 1, 0)),metadata_testudines!B$1:B$60,1,FALSE)),FALSE,TRUE)</f>
        <v>1</v>
      </c>
      <c r="F570" t="s">
        <v>681</v>
      </c>
      <c r="G570" t="s">
        <v>682</v>
      </c>
      <c r="H570">
        <v>0.5</v>
      </c>
      <c r="I570" t="s">
        <v>667</v>
      </c>
      <c r="J570" t="s">
        <v>683</v>
      </c>
      <c r="K570" t="s">
        <v>645</v>
      </c>
      <c r="L570" t="s">
        <v>646</v>
      </c>
      <c r="M570" t="s">
        <v>664</v>
      </c>
    </row>
    <row r="571" spans="1:13" hidden="1" x14ac:dyDescent="0.2">
      <c r="A571" s="10" t="s">
        <v>558</v>
      </c>
      <c r="B571" t="s">
        <v>180</v>
      </c>
      <c r="C571" t="s">
        <v>658</v>
      </c>
      <c r="D571" t="s">
        <v>659</v>
      </c>
      <c r="E571" s="10" t="b">
        <f>IF(ISERROR(VLOOKUP( LEFT(B571, LEN(B571) - IF(ISNUMBER(RIGHT(B571, 1) * 1), 1, 0)),metadata_testudines!B$1:B$60,1,FALSE)),FALSE,TRUE)</f>
        <v>0</v>
      </c>
      <c r="F571" t="s">
        <v>671</v>
      </c>
      <c r="G571" t="s">
        <v>672</v>
      </c>
      <c r="H571">
        <v>28.6</v>
      </c>
      <c r="I571" t="s">
        <v>667</v>
      </c>
      <c r="J571" t="s">
        <v>668</v>
      </c>
      <c r="K571" t="s">
        <v>673</v>
      </c>
      <c r="L571" t="s">
        <v>664</v>
      </c>
      <c r="M571" t="s">
        <v>678</v>
      </c>
    </row>
    <row r="572" spans="1:13" hidden="1" x14ac:dyDescent="0.2">
      <c r="A572" s="10" t="s">
        <v>558</v>
      </c>
      <c r="B572" t="s">
        <v>180</v>
      </c>
      <c r="C572" t="s">
        <v>658</v>
      </c>
      <c r="D572" t="s">
        <v>659</v>
      </c>
      <c r="E572" s="10" t="b">
        <f>IF(ISERROR(VLOOKUP( LEFT(B572, LEN(B572) - IF(ISNUMBER(RIGHT(B572, 1) * 1), 1, 0)),metadata_testudines!B$1:B$60,1,FALSE)),FALSE,TRUE)</f>
        <v>0</v>
      </c>
      <c r="F572" t="s">
        <v>660</v>
      </c>
      <c r="G572" t="s">
        <v>665</v>
      </c>
      <c r="H572">
        <v>1.9959677419999999</v>
      </c>
      <c r="I572" t="s">
        <v>662</v>
      </c>
      <c r="J572" t="s">
        <v>663</v>
      </c>
      <c r="K572" t="s">
        <v>647</v>
      </c>
      <c r="L572" t="s">
        <v>664</v>
      </c>
      <c r="M572" t="s">
        <v>664</v>
      </c>
    </row>
    <row r="573" spans="1:13" hidden="1" x14ac:dyDescent="0.2">
      <c r="A573" s="10" t="s">
        <v>558</v>
      </c>
      <c r="B573" t="s">
        <v>180</v>
      </c>
      <c r="C573" t="s">
        <v>658</v>
      </c>
      <c r="D573" t="s">
        <v>659</v>
      </c>
      <c r="E573" s="10" t="b">
        <f>IF(ISERROR(VLOOKUP( LEFT(B573, LEN(B573) - IF(ISNUMBER(RIGHT(B573, 1) * 1), 1, 0)),metadata_testudines!B$1:B$60,1,FALSE)),FALSE,TRUE)</f>
        <v>0</v>
      </c>
      <c r="F573" t="s">
        <v>660</v>
      </c>
      <c r="G573" t="s">
        <v>661</v>
      </c>
      <c r="H573">
        <v>1</v>
      </c>
      <c r="I573" t="s">
        <v>662</v>
      </c>
      <c r="J573" t="s">
        <v>663</v>
      </c>
      <c r="K573" t="s">
        <v>647</v>
      </c>
      <c r="L573" t="s">
        <v>664</v>
      </c>
      <c r="M573" t="s">
        <v>664</v>
      </c>
    </row>
    <row r="574" spans="1:13" hidden="1" x14ac:dyDescent="0.2">
      <c r="A574" s="10" t="s">
        <v>558</v>
      </c>
      <c r="B574" t="s">
        <v>180</v>
      </c>
      <c r="C574" t="s">
        <v>658</v>
      </c>
      <c r="D574" t="s">
        <v>659</v>
      </c>
      <c r="E574" s="10" t="b">
        <f>IF(ISERROR(VLOOKUP( LEFT(B574, LEN(B574) - IF(ISNUMBER(RIGHT(B574, 1) * 1), 1, 0)),metadata_testudines!B$1:B$60,1,FALSE)),FALSE,TRUE)</f>
        <v>0</v>
      </c>
      <c r="F574" t="s">
        <v>660</v>
      </c>
      <c r="G574" t="s">
        <v>665</v>
      </c>
      <c r="H574">
        <v>1</v>
      </c>
      <c r="I574" t="s">
        <v>662</v>
      </c>
      <c r="J574" t="s">
        <v>663</v>
      </c>
      <c r="K574" t="s">
        <v>647</v>
      </c>
      <c r="L574" t="s">
        <v>664</v>
      </c>
      <c r="M574" t="s">
        <v>664</v>
      </c>
    </row>
    <row r="575" spans="1:13" hidden="1" x14ac:dyDescent="0.2">
      <c r="A575" s="10" t="s">
        <v>558</v>
      </c>
      <c r="B575" t="s">
        <v>180</v>
      </c>
      <c r="C575" t="s">
        <v>658</v>
      </c>
      <c r="D575" t="s">
        <v>659</v>
      </c>
      <c r="E575" s="10" t="b">
        <f>IF(ISERROR(VLOOKUP( LEFT(B575, LEN(B575) - IF(ISNUMBER(RIGHT(B575, 1) * 1), 1, 0)),metadata_testudines!B$1:B$60,1,FALSE)),FALSE,TRUE)</f>
        <v>0</v>
      </c>
      <c r="F575" t="s">
        <v>660</v>
      </c>
      <c r="G575" t="s">
        <v>679</v>
      </c>
      <c r="H575">
        <v>1</v>
      </c>
      <c r="I575" t="s">
        <v>662</v>
      </c>
      <c r="J575" t="s">
        <v>680</v>
      </c>
      <c r="K575" t="s">
        <v>647</v>
      </c>
      <c r="L575" t="s">
        <v>664</v>
      </c>
      <c r="M575" t="s">
        <v>664</v>
      </c>
    </row>
    <row r="576" spans="1:13" hidden="1" x14ac:dyDescent="0.2">
      <c r="A576" s="10" t="s">
        <v>558</v>
      </c>
      <c r="B576" t="s">
        <v>180</v>
      </c>
      <c r="C576" t="s">
        <v>658</v>
      </c>
      <c r="D576" t="s">
        <v>659</v>
      </c>
      <c r="E576" s="10" t="b">
        <f>IF(ISERROR(VLOOKUP( LEFT(B576, LEN(B576) - IF(ISNUMBER(RIGHT(B576, 1) * 1), 1, 0)),metadata_testudines!B$1:B$60,1,FALSE)),FALSE,TRUE)</f>
        <v>0</v>
      </c>
      <c r="F576" t="s">
        <v>660</v>
      </c>
      <c r="G576" t="s">
        <v>661</v>
      </c>
      <c r="H576">
        <v>5</v>
      </c>
      <c r="I576" t="s">
        <v>662</v>
      </c>
      <c r="J576" t="s">
        <v>663</v>
      </c>
      <c r="K576" t="s">
        <v>647</v>
      </c>
      <c r="L576" t="s">
        <v>664</v>
      </c>
      <c r="M576" t="s">
        <v>664</v>
      </c>
    </row>
    <row r="577" spans="1:13" hidden="1" x14ac:dyDescent="0.2">
      <c r="A577" s="10" t="s">
        <v>558</v>
      </c>
      <c r="B577" t="s">
        <v>180</v>
      </c>
      <c r="C577" t="s">
        <v>658</v>
      </c>
      <c r="D577" t="s">
        <v>659</v>
      </c>
      <c r="E577" s="10" t="b">
        <f>IF(ISERROR(VLOOKUP( LEFT(B577, LEN(B577) - IF(ISNUMBER(RIGHT(B577, 1) * 1), 1, 0)),metadata_testudines!B$1:B$60,1,FALSE)),FALSE,TRUE)</f>
        <v>0</v>
      </c>
      <c r="F577" t="s">
        <v>660</v>
      </c>
      <c r="G577" t="s">
        <v>661</v>
      </c>
      <c r="H577">
        <v>2.755555556</v>
      </c>
      <c r="I577" t="s">
        <v>662</v>
      </c>
      <c r="J577" t="s">
        <v>663</v>
      </c>
      <c r="K577" t="s">
        <v>647</v>
      </c>
      <c r="L577" t="s">
        <v>664</v>
      </c>
      <c r="M577" t="s">
        <v>664</v>
      </c>
    </row>
    <row r="578" spans="1:13" hidden="1" x14ac:dyDescent="0.2">
      <c r="A578" s="10" t="s">
        <v>558</v>
      </c>
      <c r="B578" t="s">
        <v>180</v>
      </c>
      <c r="C578" t="s">
        <v>658</v>
      </c>
      <c r="D578" t="s">
        <v>659</v>
      </c>
      <c r="E578" s="10" t="b">
        <f>IF(ISERROR(VLOOKUP( LEFT(B578, LEN(B578) - IF(ISNUMBER(RIGHT(B578, 1) * 1), 1, 0)),metadata_testudines!B$1:B$60,1,FALSE)),FALSE,TRUE)</f>
        <v>0</v>
      </c>
      <c r="F578" t="s">
        <v>660</v>
      </c>
      <c r="G578" t="s">
        <v>665</v>
      </c>
      <c r="H578">
        <v>1</v>
      </c>
      <c r="I578" t="s">
        <v>662</v>
      </c>
      <c r="J578" t="s">
        <v>663</v>
      </c>
      <c r="K578" t="s">
        <v>647</v>
      </c>
      <c r="L578" t="s">
        <v>664</v>
      </c>
      <c r="M578" t="s">
        <v>664</v>
      </c>
    </row>
    <row r="579" spans="1:13" hidden="1" x14ac:dyDescent="0.2">
      <c r="A579" s="10" t="s">
        <v>558</v>
      </c>
      <c r="B579" t="s">
        <v>180</v>
      </c>
      <c r="C579" t="s">
        <v>658</v>
      </c>
      <c r="D579" t="s">
        <v>659</v>
      </c>
      <c r="E579" s="10" t="b">
        <f>IF(ISERROR(VLOOKUP( LEFT(B579, LEN(B579) - IF(ISNUMBER(RIGHT(B579, 1) * 1), 1, 0)),metadata_testudines!B$1:B$60,1,FALSE)),FALSE,TRUE)</f>
        <v>0</v>
      </c>
      <c r="F579" t="s">
        <v>660</v>
      </c>
      <c r="G579" t="s">
        <v>661</v>
      </c>
      <c r="H579">
        <v>3</v>
      </c>
      <c r="I579" t="s">
        <v>662</v>
      </c>
      <c r="J579" t="s">
        <v>663</v>
      </c>
      <c r="K579" t="s">
        <v>647</v>
      </c>
      <c r="L579" t="s">
        <v>664</v>
      </c>
      <c r="M579" t="s">
        <v>664</v>
      </c>
    </row>
    <row r="580" spans="1:13" hidden="1" x14ac:dyDescent="0.2">
      <c r="A580" s="10" t="s">
        <v>558</v>
      </c>
      <c r="B580" t="s">
        <v>180</v>
      </c>
      <c r="C580" t="s">
        <v>658</v>
      </c>
      <c r="D580" t="s">
        <v>659</v>
      </c>
      <c r="E580" s="10" t="b">
        <f>IF(ISERROR(VLOOKUP( LEFT(B580, LEN(B580) - IF(ISNUMBER(RIGHT(B580, 1) * 1), 1, 0)),metadata_testudines!B$1:B$60,1,FALSE)),FALSE,TRUE)</f>
        <v>0</v>
      </c>
      <c r="F580" t="s">
        <v>660</v>
      </c>
      <c r="G580" t="s">
        <v>661</v>
      </c>
      <c r="H580">
        <v>3</v>
      </c>
      <c r="I580" t="s">
        <v>662</v>
      </c>
      <c r="J580" t="s">
        <v>663</v>
      </c>
      <c r="K580" t="s">
        <v>647</v>
      </c>
      <c r="L580" t="s">
        <v>664</v>
      </c>
      <c r="M580" t="s">
        <v>664</v>
      </c>
    </row>
    <row r="581" spans="1:13" hidden="1" x14ac:dyDescent="0.2">
      <c r="A581" s="10" t="s">
        <v>558</v>
      </c>
      <c r="B581" t="s">
        <v>180</v>
      </c>
      <c r="C581" t="s">
        <v>658</v>
      </c>
      <c r="D581" t="s">
        <v>659</v>
      </c>
      <c r="E581" s="10" t="b">
        <f>IF(ISERROR(VLOOKUP( LEFT(B581, LEN(B581) - IF(ISNUMBER(RIGHT(B581, 1) * 1), 1, 0)),metadata_testudines!B$1:B$60,1,FALSE)),FALSE,TRUE)</f>
        <v>0</v>
      </c>
      <c r="F581" t="s">
        <v>660</v>
      </c>
      <c r="G581" t="s">
        <v>661</v>
      </c>
      <c r="H581">
        <v>1</v>
      </c>
      <c r="I581" t="s">
        <v>662</v>
      </c>
      <c r="J581" t="s">
        <v>663</v>
      </c>
      <c r="K581" t="s">
        <v>647</v>
      </c>
      <c r="L581" t="s">
        <v>664</v>
      </c>
      <c r="M581" t="s">
        <v>664</v>
      </c>
    </row>
    <row r="582" spans="1:13" hidden="1" x14ac:dyDescent="0.2">
      <c r="A582" s="10" t="s">
        <v>558</v>
      </c>
      <c r="B582" t="s">
        <v>180</v>
      </c>
      <c r="C582" t="s">
        <v>658</v>
      </c>
      <c r="D582" t="s">
        <v>659</v>
      </c>
      <c r="E582" s="10" t="b">
        <f>IF(ISERROR(VLOOKUP( LEFT(B582, LEN(B582) - IF(ISNUMBER(RIGHT(B582, 1) * 1), 1, 0)),metadata_testudines!B$1:B$60,1,FALSE)),FALSE,TRUE)</f>
        <v>0</v>
      </c>
      <c r="F582" t="s">
        <v>660</v>
      </c>
      <c r="G582" t="s">
        <v>666</v>
      </c>
      <c r="H582">
        <v>28.6</v>
      </c>
      <c r="I582" t="s">
        <v>667</v>
      </c>
      <c r="J582" t="s">
        <v>668</v>
      </c>
      <c r="K582" t="s">
        <v>647</v>
      </c>
      <c r="L582" t="s">
        <v>664</v>
      </c>
      <c r="M582" t="s">
        <v>664</v>
      </c>
    </row>
    <row r="583" spans="1:13" hidden="1" x14ac:dyDescent="0.2">
      <c r="A583" s="10" t="s">
        <v>558</v>
      </c>
      <c r="B583" t="s">
        <v>180</v>
      </c>
      <c r="C583" t="s">
        <v>658</v>
      </c>
      <c r="D583" t="s">
        <v>659</v>
      </c>
      <c r="E583" s="10" t="b">
        <f>IF(ISERROR(VLOOKUP( LEFT(B583, LEN(B583) - IF(ISNUMBER(RIGHT(B583, 1) * 1), 1, 0)),metadata_testudines!B$1:B$60,1,FALSE)),FALSE,TRUE)</f>
        <v>0</v>
      </c>
      <c r="F583" t="s">
        <v>660</v>
      </c>
      <c r="G583" t="s">
        <v>679</v>
      </c>
      <c r="H583">
        <v>1</v>
      </c>
      <c r="I583" t="s">
        <v>662</v>
      </c>
      <c r="J583" t="s">
        <v>680</v>
      </c>
      <c r="K583" t="s">
        <v>647</v>
      </c>
      <c r="L583" t="s">
        <v>664</v>
      </c>
      <c r="M583" t="s">
        <v>664</v>
      </c>
    </row>
    <row r="584" spans="1:13" hidden="1" x14ac:dyDescent="0.2">
      <c r="A584" s="10" t="s">
        <v>558</v>
      </c>
      <c r="B584" t="s">
        <v>200</v>
      </c>
      <c r="C584" t="s">
        <v>658</v>
      </c>
      <c r="D584" t="s">
        <v>659</v>
      </c>
      <c r="E584" s="10" t="b">
        <f>IF(ISERROR(VLOOKUP( LEFT(B584, LEN(B584) - IF(ISNUMBER(RIGHT(B584, 1) * 1), 1, 0)),metadata_testudines!B$1:B$60,1,FALSE)),FALSE,TRUE)</f>
        <v>0</v>
      </c>
      <c r="F584" t="s">
        <v>660</v>
      </c>
      <c r="G584" t="s">
        <v>679</v>
      </c>
      <c r="H584">
        <v>1</v>
      </c>
      <c r="I584" t="s">
        <v>662</v>
      </c>
      <c r="J584" t="s">
        <v>680</v>
      </c>
      <c r="K584" t="s">
        <v>647</v>
      </c>
      <c r="L584" t="s">
        <v>664</v>
      </c>
      <c r="M584" t="s">
        <v>664</v>
      </c>
    </row>
    <row r="585" spans="1:13" hidden="1" x14ac:dyDescent="0.2">
      <c r="A585" s="10" t="s">
        <v>558</v>
      </c>
      <c r="B585" t="s">
        <v>200</v>
      </c>
      <c r="C585" t="s">
        <v>658</v>
      </c>
      <c r="D585" t="s">
        <v>659</v>
      </c>
      <c r="E585" s="10" t="b">
        <f>IF(ISERROR(VLOOKUP( LEFT(B585, LEN(B585) - IF(ISNUMBER(RIGHT(B585, 1) * 1), 1, 0)),metadata_testudines!B$1:B$60,1,FALSE)),FALSE,TRUE)</f>
        <v>0</v>
      </c>
      <c r="F585" t="s">
        <v>660</v>
      </c>
      <c r="G585" t="s">
        <v>665</v>
      </c>
      <c r="H585">
        <v>3</v>
      </c>
      <c r="I585" t="s">
        <v>662</v>
      </c>
      <c r="J585" t="s">
        <v>663</v>
      </c>
      <c r="K585" t="s">
        <v>647</v>
      </c>
      <c r="L585" t="s">
        <v>664</v>
      </c>
      <c r="M585" t="s">
        <v>664</v>
      </c>
    </row>
    <row r="586" spans="1:13" hidden="1" x14ac:dyDescent="0.2">
      <c r="A586" s="10" t="s">
        <v>558</v>
      </c>
      <c r="B586" t="s">
        <v>200</v>
      </c>
      <c r="C586" t="s">
        <v>658</v>
      </c>
      <c r="D586" t="s">
        <v>659</v>
      </c>
      <c r="E586" s="10" t="b">
        <f>IF(ISERROR(VLOOKUP( LEFT(B586, LEN(B586) - IF(ISNUMBER(RIGHT(B586, 1) * 1), 1, 0)),metadata_testudines!B$1:B$60,1,FALSE)),FALSE,TRUE)</f>
        <v>0</v>
      </c>
      <c r="F586" t="s">
        <v>660</v>
      </c>
      <c r="G586" t="s">
        <v>661</v>
      </c>
      <c r="H586">
        <v>1</v>
      </c>
      <c r="I586" t="s">
        <v>662</v>
      </c>
      <c r="J586" t="s">
        <v>663</v>
      </c>
      <c r="K586" t="s">
        <v>647</v>
      </c>
      <c r="L586" t="s">
        <v>664</v>
      </c>
      <c r="M586" t="s">
        <v>664</v>
      </c>
    </row>
    <row r="587" spans="1:13" hidden="1" x14ac:dyDescent="0.2">
      <c r="A587" s="10" t="s">
        <v>558</v>
      </c>
      <c r="B587" t="s">
        <v>200</v>
      </c>
      <c r="C587" t="s">
        <v>658</v>
      </c>
      <c r="D587" t="s">
        <v>659</v>
      </c>
      <c r="E587" s="10" t="b">
        <f>IF(ISERROR(VLOOKUP( LEFT(B587, LEN(B587) - IF(ISNUMBER(RIGHT(B587, 1) * 1), 1, 0)),metadata_testudines!B$1:B$60,1,FALSE)),FALSE,TRUE)</f>
        <v>0</v>
      </c>
      <c r="F587" t="s">
        <v>660</v>
      </c>
      <c r="G587" t="s">
        <v>665</v>
      </c>
      <c r="H587">
        <v>1</v>
      </c>
      <c r="I587" t="s">
        <v>662</v>
      </c>
      <c r="J587" t="s">
        <v>663</v>
      </c>
      <c r="K587" t="s">
        <v>647</v>
      </c>
      <c r="L587" t="s">
        <v>664</v>
      </c>
      <c r="M587" t="s">
        <v>664</v>
      </c>
    </row>
    <row r="588" spans="1:13" hidden="1" x14ac:dyDescent="0.2">
      <c r="A588" s="10" t="s">
        <v>558</v>
      </c>
      <c r="B588" t="s">
        <v>200</v>
      </c>
      <c r="C588" t="s">
        <v>658</v>
      </c>
      <c r="D588" t="s">
        <v>659</v>
      </c>
      <c r="E588" s="10" t="b">
        <f>IF(ISERROR(VLOOKUP( LEFT(B588, LEN(B588) - IF(ISNUMBER(RIGHT(B588, 1) * 1), 1, 0)),metadata_testudines!B$1:B$60,1,FALSE)),FALSE,TRUE)</f>
        <v>0</v>
      </c>
      <c r="F588" t="s">
        <v>660</v>
      </c>
      <c r="G588" t="s">
        <v>661</v>
      </c>
      <c r="H588">
        <v>1</v>
      </c>
      <c r="I588" t="s">
        <v>662</v>
      </c>
      <c r="J588" t="s">
        <v>663</v>
      </c>
      <c r="K588" t="s">
        <v>647</v>
      </c>
      <c r="L588" t="s">
        <v>664</v>
      </c>
      <c r="M588" t="s">
        <v>664</v>
      </c>
    </row>
    <row r="589" spans="1:13" hidden="1" x14ac:dyDescent="0.2">
      <c r="A589" s="10" t="s">
        <v>558</v>
      </c>
      <c r="B589" t="s">
        <v>200</v>
      </c>
      <c r="C589" t="s">
        <v>658</v>
      </c>
      <c r="D589" t="s">
        <v>659</v>
      </c>
      <c r="E589" s="10" t="b">
        <f>IF(ISERROR(VLOOKUP( LEFT(B589, LEN(B589) - IF(ISNUMBER(RIGHT(B589, 1) * 1), 1, 0)),metadata_testudines!B$1:B$60,1,FALSE)),FALSE,TRUE)</f>
        <v>0</v>
      </c>
      <c r="F589" t="s">
        <v>660</v>
      </c>
      <c r="G589" t="s">
        <v>661</v>
      </c>
      <c r="H589">
        <v>1</v>
      </c>
      <c r="I589" t="s">
        <v>662</v>
      </c>
      <c r="J589" t="s">
        <v>663</v>
      </c>
      <c r="K589" t="s">
        <v>647</v>
      </c>
      <c r="L589" t="s">
        <v>664</v>
      </c>
      <c r="M589" t="s">
        <v>664</v>
      </c>
    </row>
    <row r="590" spans="1:13" hidden="1" x14ac:dyDescent="0.2">
      <c r="A590" s="10" t="s">
        <v>558</v>
      </c>
      <c r="B590" t="s">
        <v>200</v>
      </c>
      <c r="C590" t="s">
        <v>658</v>
      </c>
      <c r="D590" t="s">
        <v>659</v>
      </c>
      <c r="E590" s="10" t="b">
        <f>IF(ISERROR(VLOOKUP( LEFT(B590, LEN(B590) - IF(ISNUMBER(RIGHT(B590, 1) * 1), 1, 0)),metadata_testudines!B$1:B$60,1,FALSE)),FALSE,TRUE)</f>
        <v>0</v>
      </c>
      <c r="F590" t="s">
        <v>660</v>
      </c>
      <c r="G590" t="s">
        <v>665</v>
      </c>
      <c r="H590">
        <v>1</v>
      </c>
      <c r="I590" t="s">
        <v>662</v>
      </c>
      <c r="J590" t="s">
        <v>663</v>
      </c>
      <c r="K590" t="s">
        <v>647</v>
      </c>
      <c r="L590" t="s">
        <v>664</v>
      </c>
      <c r="M590" t="s">
        <v>664</v>
      </c>
    </row>
    <row r="591" spans="1:13" hidden="1" x14ac:dyDescent="0.2">
      <c r="A591" s="10" t="s">
        <v>558</v>
      </c>
      <c r="B591" t="s">
        <v>200</v>
      </c>
      <c r="C591" t="s">
        <v>658</v>
      </c>
      <c r="D591" t="s">
        <v>659</v>
      </c>
      <c r="E591" s="10" t="b">
        <f>IF(ISERROR(VLOOKUP( LEFT(B591, LEN(B591) - IF(ISNUMBER(RIGHT(B591, 1) * 1), 1, 0)),metadata_testudines!B$1:B$60,1,FALSE)),FALSE,TRUE)</f>
        <v>0</v>
      </c>
      <c r="F591" t="s">
        <v>660</v>
      </c>
      <c r="G591" t="s">
        <v>661</v>
      </c>
      <c r="H591">
        <v>1</v>
      </c>
      <c r="I591" t="s">
        <v>662</v>
      </c>
      <c r="J591" t="s">
        <v>663</v>
      </c>
      <c r="K591" t="s">
        <v>647</v>
      </c>
      <c r="L591" t="s">
        <v>664</v>
      </c>
      <c r="M591" t="s">
        <v>664</v>
      </c>
    </row>
    <row r="592" spans="1:13" hidden="1" x14ac:dyDescent="0.2">
      <c r="A592" s="10" t="s">
        <v>558</v>
      </c>
      <c r="B592" t="s">
        <v>200</v>
      </c>
      <c r="C592" t="s">
        <v>658</v>
      </c>
      <c r="D592" t="s">
        <v>659</v>
      </c>
      <c r="E592" s="10" t="b">
        <f>IF(ISERROR(VLOOKUP( LEFT(B592, LEN(B592) - IF(ISNUMBER(RIGHT(B592, 1) * 1), 1, 0)),metadata_testudines!B$1:B$60,1,FALSE)),FALSE,TRUE)</f>
        <v>0</v>
      </c>
      <c r="F592" t="s">
        <v>660</v>
      </c>
      <c r="G592" t="s">
        <v>661</v>
      </c>
      <c r="H592">
        <v>1</v>
      </c>
      <c r="I592" t="s">
        <v>662</v>
      </c>
      <c r="J592" t="s">
        <v>663</v>
      </c>
      <c r="K592" t="s">
        <v>647</v>
      </c>
      <c r="L592" t="s">
        <v>664</v>
      </c>
      <c r="M592" t="s">
        <v>664</v>
      </c>
    </row>
    <row r="593" spans="1:13" hidden="1" x14ac:dyDescent="0.2">
      <c r="A593" s="10" t="s">
        <v>558</v>
      </c>
      <c r="B593" t="s">
        <v>200</v>
      </c>
      <c r="C593" t="s">
        <v>658</v>
      </c>
      <c r="D593" t="s">
        <v>659</v>
      </c>
      <c r="E593" s="10" t="b">
        <f>IF(ISERROR(VLOOKUP( LEFT(B593, LEN(B593) - IF(ISNUMBER(RIGHT(B593, 1) * 1), 1, 0)),metadata_testudines!B$1:B$60,1,FALSE)),FALSE,TRUE)</f>
        <v>0</v>
      </c>
      <c r="F593" t="s">
        <v>660</v>
      </c>
      <c r="G593" t="s">
        <v>679</v>
      </c>
      <c r="H593">
        <v>1</v>
      </c>
      <c r="I593" t="s">
        <v>662</v>
      </c>
      <c r="J593" t="s">
        <v>680</v>
      </c>
      <c r="K593" t="s">
        <v>647</v>
      </c>
      <c r="L593" t="s">
        <v>664</v>
      </c>
      <c r="M593" t="s">
        <v>664</v>
      </c>
    </row>
    <row r="594" spans="1:13" hidden="1" x14ac:dyDescent="0.2">
      <c r="A594" s="10" t="s">
        <v>558</v>
      </c>
      <c r="B594" t="s">
        <v>201</v>
      </c>
      <c r="C594" t="s">
        <v>658</v>
      </c>
      <c r="D594" t="s">
        <v>659</v>
      </c>
      <c r="E594" s="10" t="b">
        <f>IF(ISERROR(VLOOKUP( LEFT(B594, LEN(B594) - IF(ISNUMBER(RIGHT(B594, 1) * 1), 1, 0)),metadata_testudines!B$1:B$60,1,FALSE)),FALSE,TRUE)</f>
        <v>0</v>
      </c>
      <c r="F594" t="s">
        <v>660</v>
      </c>
      <c r="G594" t="s">
        <v>661</v>
      </c>
      <c r="H594">
        <v>2.2571428569999998</v>
      </c>
      <c r="I594" t="s">
        <v>662</v>
      </c>
      <c r="J594" t="s">
        <v>663</v>
      </c>
      <c r="K594" t="s">
        <v>647</v>
      </c>
      <c r="L594" t="s">
        <v>664</v>
      </c>
      <c r="M594" t="s">
        <v>664</v>
      </c>
    </row>
    <row r="595" spans="1:13" hidden="1" x14ac:dyDescent="0.2">
      <c r="A595" s="10" t="s">
        <v>558</v>
      </c>
      <c r="B595" t="s">
        <v>201</v>
      </c>
      <c r="C595" t="s">
        <v>658</v>
      </c>
      <c r="D595" t="s">
        <v>659</v>
      </c>
      <c r="E595" s="10" t="b">
        <f>IF(ISERROR(VLOOKUP( LEFT(B595, LEN(B595) - IF(ISNUMBER(RIGHT(B595, 1) * 1), 1, 0)),metadata_testudines!B$1:B$60,1,FALSE)),FALSE,TRUE)</f>
        <v>0</v>
      </c>
      <c r="F595" t="s">
        <v>660</v>
      </c>
      <c r="G595" t="s">
        <v>679</v>
      </c>
      <c r="H595">
        <v>1</v>
      </c>
      <c r="I595" t="s">
        <v>662</v>
      </c>
      <c r="J595" t="s">
        <v>680</v>
      </c>
      <c r="K595" t="s">
        <v>647</v>
      </c>
      <c r="L595" t="s">
        <v>664</v>
      </c>
      <c r="M595" t="s">
        <v>664</v>
      </c>
    </row>
    <row r="596" spans="1:13" hidden="1" x14ac:dyDescent="0.2">
      <c r="A596" s="10" t="s">
        <v>558</v>
      </c>
      <c r="B596" t="s">
        <v>201</v>
      </c>
      <c r="C596" t="s">
        <v>658</v>
      </c>
      <c r="D596" t="s">
        <v>659</v>
      </c>
      <c r="E596" s="10" t="b">
        <f>IF(ISERROR(VLOOKUP( LEFT(B596, LEN(B596) - IF(ISNUMBER(RIGHT(B596, 1) * 1), 1, 0)),metadata_testudines!B$1:B$60,1,FALSE)),FALSE,TRUE)</f>
        <v>0</v>
      </c>
      <c r="F596" t="s">
        <v>660</v>
      </c>
      <c r="G596" t="s">
        <v>661</v>
      </c>
      <c r="H596">
        <v>3</v>
      </c>
      <c r="I596" t="s">
        <v>662</v>
      </c>
      <c r="J596" t="s">
        <v>663</v>
      </c>
      <c r="K596" t="s">
        <v>647</v>
      </c>
      <c r="L596" t="s">
        <v>664</v>
      </c>
      <c r="M596" t="s">
        <v>664</v>
      </c>
    </row>
    <row r="597" spans="1:13" hidden="1" x14ac:dyDescent="0.2">
      <c r="A597" s="10" t="s">
        <v>558</v>
      </c>
      <c r="B597" t="s">
        <v>201</v>
      </c>
      <c r="C597" t="s">
        <v>658</v>
      </c>
      <c r="D597" t="s">
        <v>659</v>
      </c>
      <c r="E597" s="10" t="b">
        <f>IF(ISERROR(VLOOKUP( LEFT(B597, LEN(B597) - IF(ISNUMBER(RIGHT(B597, 1) * 1), 1, 0)),metadata_testudines!B$1:B$60,1,FALSE)),FALSE,TRUE)</f>
        <v>0</v>
      </c>
      <c r="F597" t="s">
        <v>660</v>
      </c>
      <c r="G597" t="s">
        <v>679</v>
      </c>
      <c r="H597">
        <v>1</v>
      </c>
      <c r="I597" t="s">
        <v>662</v>
      </c>
      <c r="J597" t="s">
        <v>680</v>
      </c>
      <c r="K597" t="s">
        <v>647</v>
      </c>
      <c r="L597" t="s">
        <v>664</v>
      </c>
      <c r="M597" t="s">
        <v>664</v>
      </c>
    </row>
    <row r="598" spans="1:13" hidden="1" x14ac:dyDescent="0.2">
      <c r="A598" s="10" t="s">
        <v>558</v>
      </c>
      <c r="B598" t="s">
        <v>201</v>
      </c>
      <c r="C598" t="s">
        <v>658</v>
      </c>
      <c r="D598" t="s">
        <v>659</v>
      </c>
      <c r="E598" s="10" t="b">
        <f>IF(ISERROR(VLOOKUP( LEFT(B598, LEN(B598) - IF(ISNUMBER(RIGHT(B598, 1) * 1), 1, 0)),metadata_testudines!B$1:B$60,1,FALSE)),FALSE,TRUE)</f>
        <v>0</v>
      </c>
      <c r="F598" t="s">
        <v>660</v>
      </c>
      <c r="G598" t="s">
        <v>665</v>
      </c>
      <c r="H598">
        <v>1</v>
      </c>
      <c r="I598" t="s">
        <v>662</v>
      </c>
      <c r="J598" t="s">
        <v>663</v>
      </c>
      <c r="K598" t="s">
        <v>647</v>
      </c>
      <c r="L598" t="s">
        <v>664</v>
      </c>
      <c r="M598" t="s">
        <v>664</v>
      </c>
    </row>
    <row r="599" spans="1:13" hidden="1" x14ac:dyDescent="0.2">
      <c r="A599" s="10" t="s">
        <v>558</v>
      </c>
      <c r="B599" t="s">
        <v>201</v>
      </c>
      <c r="C599" t="s">
        <v>658</v>
      </c>
      <c r="D599" t="s">
        <v>659</v>
      </c>
      <c r="E599" s="10" t="b">
        <f>IF(ISERROR(VLOOKUP( LEFT(B599, LEN(B599) - IF(ISNUMBER(RIGHT(B599, 1) * 1), 1, 0)),metadata_testudines!B$1:B$60,1,FALSE)),FALSE,TRUE)</f>
        <v>0</v>
      </c>
      <c r="F599" t="s">
        <v>660</v>
      </c>
      <c r="G599" t="s">
        <v>661</v>
      </c>
      <c r="H599">
        <v>1.5</v>
      </c>
      <c r="I599" t="s">
        <v>662</v>
      </c>
      <c r="J599" t="s">
        <v>663</v>
      </c>
      <c r="K599" t="s">
        <v>647</v>
      </c>
      <c r="L599" t="s">
        <v>664</v>
      </c>
      <c r="M599" t="s">
        <v>664</v>
      </c>
    </row>
    <row r="600" spans="1:13" hidden="1" x14ac:dyDescent="0.2">
      <c r="A600" s="10" t="s">
        <v>558</v>
      </c>
      <c r="B600" t="s">
        <v>201</v>
      </c>
      <c r="C600" t="s">
        <v>658</v>
      </c>
      <c r="D600" t="s">
        <v>659</v>
      </c>
      <c r="E600" s="10" t="b">
        <f>IF(ISERROR(VLOOKUP( LEFT(B600, LEN(B600) - IF(ISNUMBER(RIGHT(B600, 1) * 1), 1, 0)),metadata_testudines!B$1:B$60,1,FALSE)),FALSE,TRUE)</f>
        <v>0</v>
      </c>
      <c r="F600" t="s">
        <v>660</v>
      </c>
      <c r="G600" t="s">
        <v>661</v>
      </c>
      <c r="H600">
        <v>1</v>
      </c>
      <c r="I600" t="s">
        <v>662</v>
      </c>
      <c r="J600" t="s">
        <v>663</v>
      </c>
      <c r="K600" t="s">
        <v>647</v>
      </c>
      <c r="L600" t="s">
        <v>664</v>
      </c>
      <c r="M600" t="s">
        <v>664</v>
      </c>
    </row>
    <row r="601" spans="1:13" hidden="1" x14ac:dyDescent="0.2">
      <c r="A601" s="10" t="s">
        <v>558</v>
      </c>
      <c r="B601" t="s">
        <v>201</v>
      </c>
      <c r="C601" t="s">
        <v>658</v>
      </c>
      <c r="D601" t="s">
        <v>659</v>
      </c>
      <c r="E601" s="10" t="b">
        <f>IF(ISERROR(VLOOKUP( LEFT(B601, LEN(B601) - IF(ISNUMBER(RIGHT(B601, 1) * 1), 1, 0)),metadata_testudines!B$1:B$60,1,FALSE)),FALSE,TRUE)</f>
        <v>0</v>
      </c>
      <c r="F601" t="s">
        <v>660</v>
      </c>
      <c r="G601" t="s">
        <v>665</v>
      </c>
      <c r="H601">
        <v>1</v>
      </c>
      <c r="I601" t="s">
        <v>662</v>
      </c>
      <c r="J601" t="s">
        <v>663</v>
      </c>
      <c r="K601" t="s">
        <v>647</v>
      </c>
      <c r="L601" t="s">
        <v>664</v>
      </c>
      <c r="M601" t="s">
        <v>664</v>
      </c>
    </row>
    <row r="602" spans="1:13" hidden="1" x14ac:dyDescent="0.2">
      <c r="A602" s="10" t="s">
        <v>558</v>
      </c>
      <c r="B602" t="s">
        <v>201</v>
      </c>
      <c r="C602" t="s">
        <v>658</v>
      </c>
      <c r="D602" t="s">
        <v>659</v>
      </c>
      <c r="E602" s="10" t="b">
        <f>IF(ISERROR(VLOOKUP( LEFT(B602, LEN(B602) - IF(ISNUMBER(RIGHT(B602, 1) * 1), 1, 0)),metadata_testudines!B$1:B$60,1,FALSE)),FALSE,TRUE)</f>
        <v>0</v>
      </c>
      <c r="F602" t="s">
        <v>660</v>
      </c>
      <c r="G602" t="s">
        <v>665</v>
      </c>
      <c r="H602">
        <v>1.9936708860000001</v>
      </c>
      <c r="I602" t="s">
        <v>662</v>
      </c>
      <c r="J602" t="s">
        <v>663</v>
      </c>
      <c r="K602" t="s">
        <v>647</v>
      </c>
      <c r="L602" t="s">
        <v>664</v>
      </c>
      <c r="M602" t="s">
        <v>664</v>
      </c>
    </row>
    <row r="603" spans="1:13" hidden="1" x14ac:dyDescent="0.2">
      <c r="A603" s="10" t="s">
        <v>558</v>
      </c>
      <c r="B603" t="s">
        <v>201</v>
      </c>
      <c r="C603" t="s">
        <v>658</v>
      </c>
      <c r="D603" t="s">
        <v>659</v>
      </c>
      <c r="E603" s="10" t="b">
        <f>IF(ISERROR(VLOOKUP( LEFT(B603, LEN(B603) - IF(ISNUMBER(RIGHT(B603, 1) * 1), 1, 0)),metadata_testudines!B$1:B$60,1,FALSE)),FALSE,TRUE)</f>
        <v>0</v>
      </c>
      <c r="F603" t="s">
        <v>660</v>
      </c>
      <c r="G603" t="s">
        <v>661</v>
      </c>
      <c r="H603">
        <v>2</v>
      </c>
      <c r="I603" t="s">
        <v>662</v>
      </c>
      <c r="J603" t="s">
        <v>663</v>
      </c>
      <c r="K603" t="s">
        <v>647</v>
      </c>
      <c r="L603" t="s">
        <v>664</v>
      </c>
      <c r="M603" t="s">
        <v>664</v>
      </c>
    </row>
    <row r="604" spans="1:13" hidden="1" x14ac:dyDescent="0.2">
      <c r="A604" s="10" t="s">
        <v>558</v>
      </c>
      <c r="B604" t="s">
        <v>202</v>
      </c>
      <c r="C604" t="s">
        <v>658</v>
      </c>
      <c r="D604" t="s">
        <v>659</v>
      </c>
      <c r="E604" s="10" t="b">
        <f>IF(ISERROR(VLOOKUP( LEFT(B604, LEN(B604) - IF(ISNUMBER(RIGHT(B604, 1) * 1), 1, 0)),metadata_testudines!B$1:B$60,1,FALSE)),FALSE,TRUE)</f>
        <v>0</v>
      </c>
      <c r="F604" t="s">
        <v>660</v>
      </c>
      <c r="G604" t="s">
        <v>665</v>
      </c>
      <c r="H604">
        <v>1</v>
      </c>
      <c r="I604" t="s">
        <v>662</v>
      </c>
      <c r="J604" t="s">
        <v>663</v>
      </c>
      <c r="K604" t="s">
        <v>647</v>
      </c>
      <c r="L604" t="s">
        <v>664</v>
      </c>
      <c r="M604" t="s">
        <v>664</v>
      </c>
    </row>
    <row r="605" spans="1:13" hidden="1" x14ac:dyDescent="0.2">
      <c r="A605" s="10" t="s">
        <v>558</v>
      </c>
      <c r="B605" t="s">
        <v>202</v>
      </c>
      <c r="C605" t="s">
        <v>658</v>
      </c>
      <c r="D605" t="s">
        <v>659</v>
      </c>
      <c r="E605" s="10" t="b">
        <f>IF(ISERROR(VLOOKUP( LEFT(B605, LEN(B605) - IF(ISNUMBER(RIGHT(B605, 1) * 1), 1, 0)),metadata_testudines!B$1:B$60,1,FALSE)),FALSE,TRUE)</f>
        <v>0</v>
      </c>
      <c r="F605" t="s">
        <v>660</v>
      </c>
      <c r="G605" t="s">
        <v>661</v>
      </c>
      <c r="H605">
        <v>1</v>
      </c>
      <c r="I605" t="s">
        <v>662</v>
      </c>
      <c r="J605" t="s">
        <v>663</v>
      </c>
      <c r="K605" t="s">
        <v>647</v>
      </c>
      <c r="L605" t="s">
        <v>664</v>
      </c>
      <c r="M605" t="s">
        <v>664</v>
      </c>
    </row>
    <row r="606" spans="1:13" hidden="1" x14ac:dyDescent="0.2">
      <c r="A606" s="10" t="s">
        <v>558</v>
      </c>
      <c r="B606" t="s">
        <v>202</v>
      </c>
      <c r="C606" t="s">
        <v>658</v>
      </c>
      <c r="D606" t="s">
        <v>659</v>
      </c>
      <c r="E606" s="10" t="b">
        <f>IF(ISERROR(VLOOKUP( LEFT(B606, LEN(B606) - IF(ISNUMBER(RIGHT(B606, 1) * 1), 1, 0)),metadata_testudines!B$1:B$60,1,FALSE)),FALSE,TRUE)</f>
        <v>0</v>
      </c>
      <c r="F606" t="s">
        <v>660</v>
      </c>
      <c r="G606" t="s">
        <v>665</v>
      </c>
      <c r="H606">
        <v>1</v>
      </c>
      <c r="I606" t="s">
        <v>662</v>
      </c>
      <c r="J606" t="s">
        <v>663</v>
      </c>
      <c r="K606" t="s">
        <v>647</v>
      </c>
      <c r="L606" t="s">
        <v>664</v>
      </c>
      <c r="M606" t="s">
        <v>664</v>
      </c>
    </row>
    <row r="607" spans="1:13" hidden="1" x14ac:dyDescent="0.2">
      <c r="A607" s="10" t="s">
        <v>558</v>
      </c>
      <c r="B607" t="s">
        <v>202</v>
      </c>
      <c r="C607" t="s">
        <v>658</v>
      </c>
      <c r="D607" t="s">
        <v>659</v>
      </c>
      <c r="E607" s="10" t="b">
        <f>IF(ISERROR(VLOOKUP( LEFT(B607, LEN(B607) - IF(ISNUMBER(RIGHT(B607, 1) * 1), 1, 0)),metadata_testudines!B$1:B$60,1,FALSE)),FALSE,TRUE)</f>
        <v>0</v>
      </c>
      <c r="F607" t="s">
        <v>660</v>
      </c>
      <c r="G607" t="s">
        <v>679</v>
      </c>
      <c r="H607">
        <v>1</v>
      </c>
      <c r="I607" t="s">
        <v>662</v>
      </c>
      <c r="J607" t="s">
        <v>680</v>
      </c>
      <c r="K607" t="s">
        <v>647</v>
      </c>
      <c r="L607" t="s">
        <v>664</v>
      </c>
      <c r="M607" t="s">
        <v>664</v>
      </c>
    </row>
    <row r="608" spans="1:13" hidden="1" x14ac:dyDescent="0.2">
      <c r="A608" s="10" t="s">
        <v>558</v>
      </c>
      <c r="B608" t="s">
        <v>202</v>
      </c>
      <c r="C608" t="s">
        <v>658</v>
      </c>
      <c r="D608" t="s">
        <v>659</v>
      </c>
      <c r="E608" s="10" t="b">
        <f>IF(ISERROR(VLOOKUP( LEFT(B608, LEN(B608) - IF(ISNUMBER(RIGHT(B608, 1) * 1), 1, 0)),metadata_testudines!B$1:B$60,1,FALSE)),FALSE,TRUE)</f>
        <v>0</v>
      </c>
      <c r="F608" t="s">
        <v>660</v>
      </c>
      <c r="G608" t="s">
        <v>661</v>
      </c>
      <c r="H608">
        <v>1</v>
      </c>
      <c r="I608" t="s">
        <v>662</v>
      </c>
      <c r="J608" t="s">
        <v>663</v>
      </c>
      <c r="K608" t="s">
        <v>647</v>
      </c>
      <c r="L608" t="s">
        <v>664</v>
      </c>
      <c r="M608" t="s">
        <v>664</v>
      </c>
    </row>
    <row r="609" spans="1:13" hidden="1" x14ac:dyDescent="0.2">
      <c r="A609" s="10" t="s">
        <v>558</v>
      </c>
      <c r="B609" t="s">
        <v>202</v>
      </c>
      <c r="C609" t="s">
        <v>658</v>
      </c>
      <c r="D609" t="s">
        <v>659</v>
      </c>
      <c r="E609" s="10" t="b">
        <f>IF(ISERROR(VLOOKUP( LEFT(B609, LEN(B609) - IF(ISNUMBER(RIGHT(B609, 1) * 1), 1, 0)),metadata_testudines!B$1:B$60,1,FALSE)),FALSE,TRUE)</f>
        <v>0</v>
      </c>
      <c r="F609" t="s">
        <v>660</v>
      </c>
      <c r="G609" t="s">
        <v>679</v>
      </c>
      <c r="H609">
        <v>1</v>
      </c>
      <c r="I609" t="s">
        <v>662</v>
      </c>
      <c r="J609" t="s">
        <v>680</v>
      </c>
      <c r="K609" t="s">
        <v>647</v>
      </c>
      <c r="L609" t="s">
        <v>664</v>
      </c>
      <c r="M609" t="s">
        <v>664</v>
      </c>
    </row>
    <row r="610" spans="1:13" hidden="1" x14ac:dyDescent="0.2">
      <c r="A610" s="10" t="s">
        <v>558</v>
      </c>
      <c r="B610" t="s">
        <v>52</v>
      </c>
      <c r="C610" t="s">
        <v>658</v>
      </c>
      <c r="D610" t="s">
        <v>659</v>
      </c>
      <c r="E610" s="10" t="b">
        <f>IF(ISERROR(VLOOKUP( LEFT(B610, LEN(B610) - IF(ISNUMBER(RIGHT(B610, 1) * 1), 1, 0)),metadata_testudines!B$1:B$60,1,FALSE)),FALSE,TRUE)</f>
        <v>1</v>
      </c>
      <c r="F610" t="s">
        <v>660</v>
      </c>
      <c r="G610" t="s">
        <v>661</v>
      </c>
      <c r="H610">
        <v>4.2510638299999997</v>
      </c>
      <c r="I610" t="s">
        <v>662</v>
      </c>
      <c r="J610" t="s">
        <v>663</v>
      </c>
      <c r="K610" t="s">
        <v>647</v>
      </c>
      <c r="L610" t="s">
        <v>664</v>
      </c>
      <c r="M610" t="s">
        <v>664</v>
      </c>
    </row>
    <row r="611" spans="1:13" hidden="1" x14ac:dyDescent="0.2">
      <c r="A611" s="10" t="s">
        <v>558</v>
      </c>
      <c r="B611" t="s">
        <v>52</v>
      </c>
      <c r="C611" t="s">
        <v>658</v>
      </c>
      <c r="D611" t="s">
        <v>659</v>
      </c>
      <c r="E611" s="10" t="b">
        <f>IF(ISERROR(VLOOKUP( LEFT(B611, LEN(B611) - IF(ISNUMBER(RIGHT(B611, 1) * 1), 1, 0)),metadata_testudines!B$1:B$60,1,FALSE)),FALSE,TRUE)</f>
        <v>1</v>
      </c>
      <c r="F611" t="s">
        <v>660</v>
      </c>
      <c r="G611" t="s">
        <v>661</v>
      </c>
      <c r="H611">
        <v>6</v>
      </c>
      <c r="I611" t="s">
        <v>662</v>
      </c>
      <c r="J611" t="s">
        <v>663</v>
      </c>
      <c r="K611" t="s">
        <v>647</v>
      </c>
      <c r="L611" t="s">
        <v>664</v>
      </c>
      <c r="M611" t="s">
        <v>664</v>
      </c>
    </row>
    <row r="612" spans="1:13" hidden="1" x14ac:dyDescent="0.2">
      <c r="A612" s="10" t="s">
        <v>558</v>
      </c>
      <c r="B612" t="s">
        <v>52</v>
      </c>
      <c r="C612" t="s">
        <v>658</v>
      </c>
      <c r="D612" t="s">
        <v>659</v>
      </c>
      <c r="E612" s="10" t="b">
        <f>IF(ISERROR(VLOOKUP( LEFT(B612, LEN(B612) - IF(ISNUMBER(RIGHT(B612, 1) * 1), 1, 0)),metadata_testudines!B$1:B$60,1,FALSE)),FALSE,TRUE)</f>
        <v>1</v>
      </c>
      <c r="F612" t="s">
        <v>660</v>
      </c>
      <c r="G612" t="s">
        <v>661</v>
      </c>
      <c r="H612">
        <v>1</v>
      </c>
      <c r="I612" t="s">
        <v>662</v>
      </c>
      <c r="J612" t="s">
        <v>663</v>
      </c>
      <c r="K612" t="s">
        <v>647</v>
      </c>
      <c r="L612" t="s">
        <v>664</v>
      </c>
      <c r="M612" t="s">
        <v>664</v>
      </c>
    </row>
    <row r="613" spans="1:13" hidden="1" x14ac:dyDescent="0.2">
      <c r="A613" s="10" t="s">
        <v>558</v>
      </c>
      <c r="B613" t="s">
        <v>52</v>
      </c>
      <c r="C613" t="s">
        <v>658</v>
      </c>
      <c r="D613" t="s">
        <v>659</v>
      </c>
      <c r="E613" s="10" t="b">
        <f>IF(ISERROR(VLOOKUP( LEFT(B613, LEN(B613) - IF(ISNUMBER(RIGHT(B613, 1) * 1), 1, 0)),metadata_testudines!B$1:B$60,1,FALSE)),FALSE,TRUE)</f>
        <v>1</v>
      </c>
      <c r="F613" t="s">
        <v>660</v>
      </c>
      <c r="G613" t="s">
        <v>661</v>
      </c>
      <c r="H613">
        <v>4</v>
      </c>
      <c r="I613" t="s">
        <v>662</v>
      </c>
      <c r="J613" t="s">
        <v>663</v>
      </c>
      <c r="K613" t="s">
        <v>647</v>
      </c>
      <c r="L613" t="s">
        <v>664</v>
      </c>
      <c r="M613" t="s">
        <v>664</v>
      </c>
    </row>
    <row r="614" spans="1:13" hidden="1" x14ac:dyDescent="0.2">
      <c r="A614" s="10" t="s">
        <v>558</v>
      </c>
      <c r="B614" t="s">
        <v>52</v>
      </c>
      <c r="C614" t="s">
        <v>658</v>
      </c>
      <c r="D614" t="s">
        <v>659</v>
      </c>
      <c r="E614" s="10" t="b">
        <f>IF(ISERROR(VLOOKUP( LEFT(B614, LEN(B614) - IF(ISNUMBER(RIGHT(B614, 1) * 1), 1, 0)),metadata_testudines!B$1:B$60,1,FALSE)),FALSE,TRUE)</f>
        <v>1</v>
      </c>
      <c r="F614" t="s">
        <v>660</v>
      </c>
      <c r="G614" t="s">
        <v>665</v>
      </c>
      <c r="H614">
        <v>1.9994994989999999</v>
      </c>
      <c r="I614" t="s">
        <v>662</v>
      </c>
      <c r="J614" t="s">
        <v>663</v>
      </c>
      <c r="K614" t="s">
        <v>647</v>
      </c>
      <c r="L614" t="s">
        <v>664</v>
      </c>
      <c r="M614" t="s">
        <v>664</v>
      </c>
    </row>
    <row r="615" spans="1:13" hidden="1" x14ac:dyDescent="0.2">
      <c r="A615" s="10" t="s">
        <v>558</v>
      </c>
      <c r="B615" t="s">
        <v>51</v>
      </c>
      <c r="C615" t="s">
        <v>658</v>
      </c>
      <c r="D615" t="s">
        <v>659</v>
      </c>
      <c r="E615" s="10" t="b">
        <f>IF(ISERROR(VLOOKUP( LEFT(B615, LEN(B615) - IF(ISNUMBER(RIGHT(B615, 1) * 1), 1, 0)),metadata_testudines!B$1:B$60,1,FALSE)),FALSE,TRUE)</f>
        <v>1</v>
      </c>
      <c r="F615" t="s">
        <v>660</v>
      </c>
      <c r="G615" t="s">
        <v>661</v>
      </c>
      <c r="H615">
        <v>6</v>
      </c>
      <c r="I615" t="s">
        <v>662</v>
      </c>
      <c r="J615" t="s">
        <v>663</v>
      </c>
      <c r="K615" t="s">
        <v>647</v>
      </c>
      <c r="L615" t="s">
        <v>664</v>
      </c>
      <c r="M615" t="s">
        <v>664</v>
      </c>
    </row>
    <row r="616" spans="1:13" hidden="1" x14ac:dyDescent="0.2">
      <c r="A616" s="10" t="s">
        <v>558</v>
      </c>
      <c r="B616" t="s">
        <v>51</v>
      </c>
      <c r="C616" t="s">
        <v>658</v>
      </c>
      <c r="D616" t="s">
        <v>659</v>
      </c>
      <c r="E616" s="10" t="b">
        <f>IF(ISERROR(VLOOKUP( LEFT(B616, LEN(B616) - IF(ISNUMBER(RIGHT(B616, 1) * 1), 1, 0)),metadata_testudines!B$1:B$60,1,FALSE)),FALSE,TRUE)</f>
        <v>1</v>
      </c>
      <c r="F616" t="s">
        <v>660</v>
      </c>
      <c r="G616" t="s">
        <v>661</v>
      </c>
      <c r="H616">
        <v>1</v>
      </c>
      <c r="I616" t="s">
        <v>662</v>
      </c>
      <c r="J616" t="s">
        <v>663</v>
      </c>
      <c r="K616" t="s">
        <v>647</v>
      </c>
      <c r="L616" t="s">
        <v>664</v>
      </c>
      <c r="M616" t="s">
        <v>664</v>
      </c>
    </row>
    <row r="617" spans="1:13" hidden="1" x14ac:dyDescent="0.2">
      <c r="A617" s="10" t="s">
        <v>558</v>
      </c>
      <c r="B617" t="s">
        <v>51</v>
      </c>
      <c r="C617" t="s">
        <v>658</v>
      </c>
      <c r="D617" t="s">
        <v>659</v>
      </c>
      <c r="E617" s="10" t="b">
        <f>IF(ISERROR(VLOOKUP( LEFT(B617, LEN(B617) - IF(ISNUMBER(RIGHT(B617, 1) * 1), 1, 0)),metadata_testudines!B$1:B$60,1,FALSE)),FALSE,TRUE)</f>
        <v>1</v>
      </c>
      <c r="F617" t="s">
        <v>660</v>
      </c>
      <c r="G617" t="s">
        <v>661</v>
      </c>
      <c r="H617">
        <v>4</v>
      </c>
      <c r="I617" t="s">
        <v>662</v>
      </c>
      <c r="J617" t="s">
        <v>663</v>
      </c>
      <c r="K617" t="s">
        <v>647</v>
      </c>
      <c r="L617" t="s">
        <v>664</v>
      </c>
      <c r="M617" t="s">
        <v>664</v>
      </c>
    </row>
    <row r="618" spans="1:13" hidden="1" x14ac:dyDescent="0.2">
      <c r="A618" s="10" t="s">
        <v>558</v>
      </c>
      <c r="B618" t="s">
        <v>51</v>
      </c>
      <c r="C618" t="s">
        <v>658</v>
      </c>
      <c r="D618" t="s">
        <v>659</v>
      </c>
      <c r="E618" s="10" t="b">
        <f>IF(ISERROR(VLOOKUP( LEFT(B618, LEN(B618) - IF(ISNUMBER(RIGHT(B618, 1) * 1), 1, 0)),metadata_testudines!B$1:B$60,1,FALSE)),FALSE,TRUE)</f>
        <v>1</v>
      </c>
      <c r="F618" t="s">
        <v>660</v>
      </c>
      <c r="G618" t="s">
        <v>661</v>
      </c>
      <c r="H618">
        <v>4</v>
      </c>
      <c r="I618" t="s">
        <v>662</v>
      </c>
      <c r="J618" t="s">
        <v>663</v>
      </c>
      <c r="K618" t="s">
        <v>647</v>
      </c>
      <c r="L618" t="s">
        <v>664</v>
      </c>
      <c r="M618" t="s">
        <v>664</v>
      </c>
    </row>
    <row r="619" spans="1:13" hidden="1" x14ac:dyDescent="0.2">
      <c r="A619" s="10" t="s">
        <v>558</v>
      </c>
      <c r="B619" t="s">
        <v>51</v>
      </c>
      <c r="C619" t="s">
        <v>658</v>
      </c>
      <c r="D619" t="s">
        <v>659</v>
      </c>
      <c r="E619" s="10" t="b">
        <f>IF(ISERROR(VLOOKUP( LEFT(B619, LEN(B619) - IF(ISNUMBER(RIGHT(B619, 1) * 1), 1, 0)),metadata_testudines!B$1:B$60,1,FALSE)),FALSE,TRUE)</f>
        <v>1</v>
      </c>
      <c r="F619" t="s">
        <v>660</v>
      </c>
      <c r="G619" t="s">
        <v>665</v>
      </c>
      <c r="H619">
        <v>1.9994994989999999</v>
      </c>
      <c r="I619" t="s">
        <v>662</v>
      </c>
      <c r="J619" t="s">
        <v>663</v>
      </c>
      <c r="K619" t="s">
        <v>647</v>
      </c>
      <c r="L619" t="s">
        <v>664</v>
      </c>
      <c r="M619" t="s">
        <v>664</v>
      </c>
    </row>
    <row r="620" spans="1:13" hidden="1" x14ac:dyDescent="0.2">
      <c r="A620" s="10" t="s">
        <v>558</v>
      </c>
      <c r="B620" t="s">
        <v>51</v>
      </c>
      <c r="C620" t="s">
        <v>658</v>
      </c>
      <c r="D620" t="s">
        <v>659</v>
      </c>
      <c r="E620" s="10" t="b">
        <f>IF(ISERROR(VLOOKUP( LEFT(B620, LEN(B620) - IF(ISNUMBER(RIGHT(B620, 1) * 1), 1, 0)),metadata_testudines!B$1:B$60,1,FALSE)),FALSE,TRUE)</f>
        <v>1</v>
      </c>
      <c r="F620" t="s">
        <v>660</v>
      </c>
      <c r="G620" t="s">
        <v>661</v>
      </c>
      <c r="H620">
        <v>3</v>
      </c>
      <c r="I620" t="s">
        <v>662</v>
      </c>
      <c r="J620" t="s">
        <v>663</v>
      </c>
      <c r="K620" t="s">
        <v>647</v>
      </c>
      <c r="L620" t="s">
        <v>664</v>
      </c>
      <c r="M620" t="s">
        <v>664</v>
      </c>
    </row>
    <row r="621" spans="1:13" hidden="1" x14ac:dyDescent="0.2">
      <c r="A621" s="10" t="s">
        <v>558</v>
      </c>
      <c r="B621" t="s">
        <v>51</v>
      </c>
      <c r="C621" t="s">
        <v>658</v>
      </c>
      <c r="D621" t="s">
        <v>659</v>
      </c>
      <c r="E621" s="10" t="b">
        <f>IF(ISERROR(VLOOKUP( LEFT(B621, LEN(B621) - IF(ISNUMBER(RIGHT(B621, 1) * 1), 1, 0)),metadata_testudines!B$1:B$60,1,FALSE)),FALSE,TRUE)</f>
        <v>1</v>
      </c>
      <c r="F621" t="s">
        <v>660</v>
      </c>
      <c r="G621" t="s">
        <v>661</v>
      </c>
      <c r="H621">
        <v>1</v>
      </c>
      <c r="I621" t="s">
        <v>662</v>
      </c>
      <c r="J621" t="s">
        <v>663</v>
      </c>
      <c r="K621" t="s">
        <v>647</v>
      </c>
      <c r="L621" t="s">
        <v>664</v>
      </c>
      <c r="M621" t="s">
        <v>664</v>
      </c>
    </row>
    <row r="622" spans="1:13" hidden="1" x14ac:dyDescent="0.2">
      <c r="A622" s="10" t="s">
        <v>558</v>
      </c>
      <c r="B622" t="s">
        <v>51</v>
      </c>
      <c r="C622" t="s">
        <v>658</v>
      </c>
      <c r="D622" t="s">
        <v>659</v>
      </c>
      <c r="E622" s="10" t="b">
        <f>IF(ISERROR(VLOOKUP( LEFT(B622, LEN(B622) - IF(ISNUMBER(RIGHT(B622, 1) * 1), 1, 0)),metadata_testudines!B$1:B$60,1,FALSE)),FALSE,TRUE)</f>
        <v>1</v>
      </c>
      <c r="F622" t="s">
        <v>660</v>
      </c>
      <c r="G622" t="s">
        <v>666</v>
      </c>
      <c r="H622">
        <v>32.9</v>
      </c>
      <c r="I622" t="s">
        <v>667</v>
      </c>
      <c r="J622" t="s">
        <v>668</v>
      </c>
      <c r="K622" t="s">
        <v>647</v>
      </c>
      <c r="L622" t="s">
        <v>664</v>
      </c>
      <c r="M622" t="s">
        <v>664</v>
      </c>
    </row>
    <row r="623" spans="1:13" hidden="1" x14ac:dyDescent="0.2">
      <c r="A623" s="10" t="s">
        <v>558</v>
      </c>
      <c r="B623" t="s">
        <v>51</v>
      </c>
      <c r="C623" t="s">
        <v>658</v>
      </c>
      <c r="D623" t="s">
        <v>659</v>
      </c>
      <c r="E623" s="10" t="b">
        <f>IF(ISERROR(VLOOKUP( LEFT(B623, LEN(B623) - IF(ISNUMBER(RIGHT(B623, 1) * 1), 1, 0)),metadata_testudines!B$1:B$60,1,FALSE)),FALSE,TRUE)</f>
        <v>1</v>
      </c>
      <c r="F623" t="s">
        <v>660</v>
      </c>
      <c r="G623" t="s">
        <v>661</v>
      </c>
      <c r="H623">
        <v>4.2510638299999997</v>
      </c>
      <c r="I623" t="s">
        <v>662</v>
      </c>
      <c r="J623" t="s">
        <v>663</v>
      </c>
      <c r="K623" t="s">
        <v>647</v>
      </c>
      <c r="L623" t="s">
        <v>664</v>
      </c>
      <c r="M623" t="s">
        <v>664</v>
      </c>
    </row>
    <row r="624" spans="1:13" hidden="1" x14ac:dyDescent="0.2">
      <c r="A624" s="10" t="s">
        <v>558</v>
      </c>
      <c r="B624" t="s">
        <v>51</v>
      </c>
      <c r="C624" t="s">
        <v>658</v>
      </c>
      <c r="D624" t="s">
        <v>659</v>
      </c>
      <c r="E624" s="10" t="b">
        <f>IF(ISERROR(VLOOKUP( LEFT(B624, LEN(B624) - IF(ISNUMBER(RIGHT(B624, 1) * 1), 1, 0)),metadata_testudines!B$1:B$60,1,FALSE)),FALSE,TRUE)</f>
        <v>1</v>
      </c>
      <c r="F624" t="s">
        <v>671</v>
      </c>
      <c r="G624" t="s">
        <v>672</v>
      </c>
      <c r="H624">
        <v>32.9</v>
      </c>
      <c r="I624" t="s">
        <v>667</v>
      </c>
      <c r="J624" t="s">
        <v>668</v>
      </c>
      <c r="K624" t="s">
        <v>673</v>
      </c>
      <c r="L624" t="s">
        <v>664</v>
      </c>
      <c r="M624" t="s">
        <v>678</v>
      </c>
    </row>
    <row r="625" spans="1:13" hidden="1" x14ac:dyDescent="0.2">
      <c r="A625" s="10" t="s">
        <v>558</v>
      </c>
      <c r="B625" t="s">
        <v>181</v>
      </c>
      <c r="C625" t="s">
        <v>658</v>
      </c>
      <c r="D625" t="s">
        <v>659</v>
      </c>
      <c r="E625" s="10" t="b">
        <f>IF(ISERROR(VLOOKUP( LEFT(B625, LEN(B625) - IF(ISNUMBER(RIGHT(B625, 1) * 1), 1, 0)),metadata_testudines!B$1:B$60,1,FALSE)),FALSE,TRUE)</f>
        <v>0</v>
      </c>
      <c r="F625" t="s">
        <v>660</v>
      </c>
      <c r="G625" t="s">
        <v>661</v>
      </c>
      <c r="H625">
        <v>6</v>
      </c>
      <c r="I625" t="s">
        <v>662</v>
      </c>
      <c r="J625" t="s">
        <v>663</v>
      </c>
      <c r="K625" t="s">
        <v>647</v>
      </c>
      <c r="L625" t="s">
        <v>664</v>
      </c>
      <c r="M625" t="s">
        <v>664</v>
      </c>
    </row>
    <row r="626" spans="1:13" hidden="1" x14ac:dyDescent="0.2">
      <c r="A626" s="10" t="s">
        <v>558</v>
      </c>
      <c r="B626" t="s">
        <v>181</v>
      </c>
      <c r="C626" t="s">
        <v>658</v>
      </c>
      <c r="D626" t="s">
        <v>659</v>
      </c>
      <c r="E626" s="10" t="b">
        <f>IF(ISERROR(VLOOKUP( LEFT(B626, LEN(B626) - IF(ISNUMBER(RIGHT(B626, 1) * 1), 1, 0)),metadata_testudines!B$1:B$60,1,FALSE)),FALSE,TRUE)</f>
        <v>0</v>
      </c>
      <c r="F626" t="s">
        <v>660</v>
      </c>
      <c r="G626" t="s">
        <v>661</v>
      </c>
      <c r="H626">
        <v>4</v>
      </c>
      <c r="I626" t="s">
        <v>662</v>
      </c>
      <c r="J626" t="s">
        <v>663</v>
      </c>
      <c r="K626" t="s">
        <v>647</v>
      </c>
      <c r="L626" t="s">
        <v>664</v>
      </c>
      <c r="M626" t="s">
        <v>664</v>
      </c>
    </row>
    <row r="627" spans="1:13" hidden="1" x14ac:dyDescent="0.2">
      <c r="A627" s="10" t="s">
        <v>558</v>
      </c>
      <c r="B627" t="s">
        <v>181</v>
      </c>
      <c r="C627" t="s">
        <v>658</v>
      </c>
      <c r="D627" t="s">
        <v>659</v>
      </c>
      <c r="E627" s="10" t="b">
        <f>IF(ISERROR(VLOOKUP( LEFT(B627, LEN(B627) - IF(ISNUMBER(RIGHT(B627, 1) * 1), 1, 0)),metadata_testudines!B$1:B$60,1,FALSE)),FALSE,TRUE)</f>
        <v>0</v>
      </c>
      <c r="F627" t="s">
        <v>660</v>
      </c>
      <c r="G627" t="s">
        <v>661</v>
      </c>
      <c r="H627">
        <v>5</v>
      </c>
      <c r="I627" t="s">
        <v>662</v>
      </c>
      <c r="J627" t="s">
        <v>663</v>
      </c>
      <c r="K627" t="s">
        <v>647</v>
      </c>
      <c r="L627" t="s">
        <v>664</v>
      </c>
      <c r="M627" t="s">
        <v>664</v>
      </c>
    </row>
    <row r="628" spans="1:13" hidden="1" x14ac:dyDescent="0.2">
      <c r="A628" s="10" t="s">
        <v>558</v>
      </c>
      <c r="B628" t="s">
        <v>181</v>
      </c>
      <c r="C628" t="s">
        <v>658</v>
      </c>
      <c r="D628" t="s">
        <v>659</v>
      </c>
      <c r="E628" s="10" t="b">
        <f>IF(ISERROR(VLOOKUP( LEFT(B628, LEN(B628) - IF(ISNUMBER(RIGHT(B628, 1) * 1), 1, 0)),metadata_testudines!B$1:B$60,1,FALSE)),FALSE,TRUE)</f>
        <v>0</v>
      </c>
      <c r="F628" t="s">
        <v>660</v>
      </c>
      <c r="G628" t="s">
        <v>665</v>
      </c>
      <c r="H628">
        <v>1.9994994989999999</v>
      </c>
      <c r="I628" t="s">
        <v>662</v>
      </c>
      <c r="J628" t="s">
        <v>663</v>
      </c>
      <c r="K628" t="s">
        <v>647</v>
      </c>
      <c r="L628" t="s">
        <v>664</v>
      </c>
      <c r="M628" t="s">
        <v>664</v>
      </c>
    </row>
    <row r="629" spans="1:13" hidden="1" x14ac:dyDescent="0.2">
      <c r="A629" s="10" t="s">
        <v>558</v>
      </c>
      <c r="B629" t="s">
        <v>181</v>
      </c>
      <c r="C629" t="s">
        <v>658</v>
      </c>
      <c r="D629" t="s">
        <v>659</v>
      </c>
      <c r="E629" s="10" t="b">
        <f>IF(ISERROR(VLOOKUP( LEFT(B629, LEN(B629) - IF(ISNUMBER(RIGHT(B629, 1) * 1), 1, 0)),metadata_testudines!B$1:B$60,1,FALSE)),FALSE,TRUE)</f>
        <v>0</v>
      </c>
      <c r="F629" t="s">
        <v>660</v>
      </c>
      <c r="G629" t="s">
        <v>661</v>
      </c>
      <c r="H629">
        <v>1</v>
      </c>
      <c r="I629" t="s">
        <v>662</v>
      </c>
      <c r="J629" t="s">
        <v>663</v>
      </c>
      <c r="K629" t="s">
        <v>647</v>
      </c>
      <c r="L629" t="s">
        <v>664</v>
      </c>
      <c r="M629" t="s">
        <v>664</v>
      </c>
    </row>
    <row r="630" spans="1:13" hidden="1" x14ac:dyDescent="0.2">
      <c r="A630" s="10" t="s">
        <v>558</v>
      </c>
      <c r="B630" t="s">
        <v>181</v>
      </c>
      <c r="C630" t="s">
        <v>658</v>
      </c>
      <c r="D630" t="s">
        <v>659</v>
      </c>
      <c r="E630" s="10" t="b">
        <f>IF(ISERROR(VLOOKUP( LEFT(B630, LEN(B630) - IF(ISNUMBER(RIGHT(B630, 1) * 1), 1, 0)),metadata_testudines!B$1:B$60,1,FALSE)),FALSE,TRUE)</f>
        <v>0</v>
      </c>
      <c r="F630" t="s">
        <v>660</v>
      </c>
      <c r="G630" t="s">
        <v>661</v>
      </c>
      <c r="H630">
        <v>1</v>
      </c>
      <c r="I630" t="s">
        <v>662</v>
      </c>
      <c r="J630" t="s">
        <v>663</v>
      </c>
      <c r="K630" t="s">
        <v>647</v>
      </c>
      <c r="L630" t="s">
        <v>664</v>
      </c>
      <c r="M630" t="s">
        <v>664</v>
      </c>
    </row>
    <row r="631" spans="1:13" hidden="1" x14ac:dyDescent="0.2">
      <c r="A631" s="10" t="s">
        <v>558</v>
      </c>
      <c r="B631" t="s">
        <v>181</v>
      </c>
      <c r="C631" t="s">
        <v>658</v>
      </c>
      <c r="D631" t="s">
        <v>659</v>
      </c>
      <c r="E631" s="10" t="b">
        <f>IF(ISERROR(VLOOKUP( LEFT(B631, LEN(B631) - IF(ISNUMBER(RIGHT(B631, 1) * 1), 1, 0)),metadata_testudines!B$1:B$60,1,FALSE)),FALSE,TRUE)</f>
        <v>0</v>
      </c>
      <c r="F631" t="s">
        <v>660</v>
      </c>
      <c r="G631" t="s">
        <v>661</v>
      </c>
      <c r="H631">
        <v>4.2510638299999997</v>
      </c>
      <c r="I631" t="s">
        <v>662</v>
      </c>
      <c r="J631" t="s">
        <v>663</v>
      </c>
      <c r="K631" t="s">
        <v>647</v>
      </c>
      <c r="L631" t="s">
        <v>664</v>
      </c>
      <c r="M631" t="s">
        <v>664</v>
      </c>
    </row>
    <row r="632" spans="1:13" hidden="1" x14ac:dyDescent="0.2">
      <c r="A632" s="10" t="s">
        <v>558</v>
      </c>
      <c r="B632" t="s">
        <v>59</v>
      </c>
      <c r="C632" t="s">
        <v>658</v>
      </c>
      <c r="D632" t="s">
        <v>659</v>
      </c>
      <c r="E632" s="10" t="b">
        <f>IF(ISERROR(VLOOKUP( LEFT(B632, LEN(B632) - IF(ISNUMBER(RIGHT(B632, 1) * 1), 1, 0)),metadata_testudines!B$1:B$60,1,FALSE)),FALSE,TRUE)</f>
        <v>1</v>
      </c>
      <c r="F632" t="s">
        <v>660</v>
      </c>
      <c r="G632" t="s">
        <v>661</v>
      </c>
      <c r="H632">
        <v>2.2999999999999998</v>
      </c>
      <c r="I632" t="s">
        <v>662</v>
      </c>
      <c r="J632" t="s">
        <v>663</v>
      </c>
      <c r="K632" t="s">
        <v>647</v>
      </c>
      <c r="L632" t="s">
        <v>664</v>
      </c>
      <c r="M632" t="s">
        <v>664</v>
      </c>
    </row>
    <row r="633" spans="1:13" hidden="1" x14ac:dyDescent="0.2">
      <c r="A633" s="10" t="s">
        <v>558</v>
      </c>
      <c r="B633" t="s">
        <v>59</v>
      </c>
      <c r="C633" t="s">
        <v>658</v>
      </c>
      <c r="D633" t="s">
        <v>659</v>
      </c>
      <c r="E633" s="10" t="b">
        <f>IF(ISERROR(VLOOKUP( LEFT(B633, LEN(B633) - IF(ISNUMBER(RIGHT(B633, 1) * 1), 1, 0)),metadata_testudines!B$1:B$60,1,FALSE)),FALSE,TRUE)</f>
        <v>1</v>
      </c>
      <c r="F633" t="s">
        <v>660</v>
      </c>
      <c r="G633" t="s">
        <v>666</v>
      </c>
      <c r="H633">
        <v>22</v>
      </c>
      <c r="I633" t="s">
        <v>667</v>
      </c>
      <c r="J633" t="s">
        <v>668</v>
      </c>
      <c r="K633" t="s">
        <v>647</v>
      </c>
      <c r="L633" t="s">
        <v>664</v>
      </c>
      <c r="M633" t="s">
        <v>664</v>
      </c>
    </row>
    <row r="634" spans="1:13" hidden="1" x14ac:dyDescent="0.2">
      <c r="A634" s="10" t="s">
        <v>558</v>
      </c>
      <c r="B634" t="s">
        <v>59</v>
      </c>
      <c r="C634" t="s">
        <v>658</v>
      </c>
      <c r="D634" t="s">
        <v>659</v>
      </c>
      <c r="E634" s="10" t="b">
        <f>IF(ISERROR(VLOOKUP( LEFT(B634, LEN(B634) - IF(ISNUMBER(RIGHT(B634, 1) * 1), 1, 0)),metadata_testudines!B$1:B$60,1,FALSE)),FALSE,TRUE)</f>
        <v>1</v>
      </c>
      <c r="F634" t="s">
        <v>660</v>
      </c>
      <c r="G634" t="s">
        <v>666</v>
      </c>
      <c r="H634">
        <v>26.5</v>
      </c>
      <c r="I634" t="s">
        <v>667</v>
      </c>
      <c r="J634" t="s">
        <v>668</v>
      </c>
      <c r="K634" t="s">
        <v>647</v>
      </c>
      <c r="L634" t="s">
        <v>664</v>
      </c>
      <c r="M634" t="s">
        <v>664</v>
      </c>
    </row>
    <row r="635" spans="1:13" hidden="1" x14ac:dyDescent="0.2">
      <c r="A635" s="10" t="s">
        <v>558</v>
      </c>
      <c r="B635" t="s">
        <v>59</v>
      </c>
      <c r="C635" t="s">
        <v>658</v>
      </c>
      <c r="D635" t="s">
        <v>659</v>
      </c>
      <c r="E635" s="10" t="b">
        <f>IF(ISERROR(VLOOKUP( LEFT(B635, LEN(B635) - IF(ISNUMBER(RIGHT(B635, 1) * 1), 1, 0)),metadata_testudines!B$1:B$60,1,FALSE)),FALSE,TRUE)</f>
        <v>1</v>
      </c>
      <c r="F635" t="s">
        <v>671</v>
      </c>
      <c r="G635" t="s">
        <v>672</v>
      </c>
      <c r="H635">
        <v>26.5</v>
      </c>
      <c r="I635" t="s">
        <v>667</v>
      </c>
      <c r="J635" t="s">
        <v>668</v>
      </c>
      <c r="K635" t="s">
        <v>673</v>
      </c>
      <c r="L635" t="s">
        <v>664</v>
      </c>
      <c r="M635" t="s">
        <v>678</v>
      </c>
    </row>
    <row r="636" spans="1:13" hidden="1" x14ac:dyDescent="0.2">
      <c r="A636" s="10" t="s">
        <v>558</v>
      </c>
      <c r="B636" t="s">
        <v>59</v>
      </c>
      <c r="C636" t="s">
        <v>658</v>
      </c>
      <c r="D636" t="s">
        <v>659</v>
      </c>
      <c r="E636" s="10" t="b">
        <f>IF(ISERROR(VLOOKUP( LEFT(B636, LEN(B636) - IF(ISNUMBER(RIGHT(B636, 1) * 1), 1, 0)),metadata_testudines!B$1:B$60,1,FALSE)),FALSE,TRUE)</f>
        <v>1</v>
      </c>
      <c r="F636" t="s">
        <v>660</v>
      </c>
      <c r="G636" t="s">
        <v>661</v>
      </c>
      <c r="H636">
        <v>2</v>
      </c>
      <c r="I636" t="s">
        <v>662</v>
      </c>
      <c r="J636" t="s">
        <v>663</v>
      </c>
      <c r="K636" t="s">
        <v>647</v>
      </c>
      <c r="L636" t="s">
        <v>664</v>
      </c>
      <c r="M636" t="s">
        <v>664</v>
      </c>
    </row>
    <row r="637" spans="1:13" hidden="1" x14ac:dyDescent="0.2">
      <c r="A637" s="10" t="s">
        <v>558</v>
      </c>
      <c r="B637" t="s">
        <v>59</v>
      </c>
      <c r="C637" t="s">
        <v>658</v>
      </c>
      <c r="D637" t="s">
        <v>659</v>
      </c>
      <c r="E637" s="10" t="b">
        <f>IF(ISERROR(VLOOKUP( LEFT(B637, LEN(B637) - IF(ISNUMBER(RIGHT(B637, 1) * 1), 1, 0)),metadata_testudines!B$1:B$60,1,FALSE)),FALSE,TRUE)</f>
        <v>1</v>
      </c>
      <c r="F637" t="s">
        <v>660</v>
      </c>
      <c r="G637" t="s">
        <v>661</v>
      </c>
      <c r="H637">
        <v>4</v>
      </c>
      <c r="I637" t="s">
        <v>662</v>
      </c>
      <c r="J637" t="s">
        <v>663</v>
      </c>
      <c r="K637" t="s">
        <v>647</v>
      </c>
      <c r="L637" t="s">
        <v>664</v>
      </c>
      <c r="M637" t="s">
        <v>664</v>
      </c>
    </row>
    <row r="638" spans="1:13" hidden="1" x14ac:dyDescent="0.2">
      <c r="A638" s="10" t="s">
        <v>558</v>
      </c>
      <c r="B638" t="s">
        <v>182</v>
      </c>
      <c r="C638" t="s">
        <v>658</v>
      </c>
      <c r="D638" t="s">
        <v>659</v>
      </c>
      <c r="E638" s="10" t="b">
        <f>IF(ISERROR(VLOOKUP( LEFT(B638, LEN(B638) - IF(ISNUMBER(RIGHT(B638, 1) * 1), 1, 0)),metadata_testudines!B$1:B$60,1,FALSE)),FALSE,TRUE)</f>
        <v>0</v>
      </c>
      <c r="F638" t="s">
        <v>660</v>
      </c>
      <c r="G638" t="s">
        <v>666</v>
      </c>
      <c r="H638">
        <v>24.8</v>
      </c>
      <c r="I638" t="s">
        <v>667</v>
      </c>
      <c r="J638" t="s">
        <v>668</v>
      </c>
      <c r="K638" t="s">
        <v>647</v>
      </c>
      <c r="L638" t="s">
        <v>664</v>
      </c>
      <c r="M638" t="s">
        <v>664</v>
      </c>
    </row>
    <row r="639" spans="1:13" hidden="1" x14ac:dyDescent="0.2">
      <c r="A639" s="10" t="s">
        <v>558</v>
      </c>
      <c r="B639" t="s">
        <v>182</v>
      </c>
      <c r="C639" t="s">
        <v>658</v>
      </c>
      <c r="D639" t="s">
        <v>659</v>
      </c>
      <c r="E639" s="10" t="b">
        <f>IF(ISERROR(VLOOKUP( LEFT(B639, LEN(B639) - IF(ISNUMBER(RIGHT(B639, 1) * 1), 1, 0)),metadata_testudines!B$1:B$60,1,FALSE)),FALSE,TRUE)</f>
        <v>0</v>
      </c>
      <c r="F639" t="s">
        <v>660</v>
      </c>
      <c r="G639" t="s">
        <v>661</v>
      </c>
      <c r="H639">
        <v>1</v>
      </c>
      <c r="I639" t="s">
        <v>662</v>
      </c>
      <c r="J639" t="s">
        <v>663</v>
      </c>
      <c r="K639" t="s">
        <v>647</v>
      </c>
      <c r="L639" t="s">
        <v>664</v>
      </c>
      <c r="M639" t="s">
        <v>664</v>
      </c>
    </row>
    <row r="640" spans="1:13" hidden="1" x14ac:dyDescent="0.2">
      <c r="A640" s="10" t="s">
        <v>558</v>
      </c>
      <c r="B640" t="s">
        <v>182</v>
      </c>
      <c r="C640" t="s">
        <v>658</v>
      </c>
      <c r="D640" t="s">
        <v>659</v>
      </c>
      <c r="E640" s="10" t="b">
        <f>IF(ISERROR(VLOOKUP( LEFT(B640, LEN(B640) - IF(ISNUMBER(RIGHT(B640, 1) * 1), 1, 0)),metadata_testudines!B$1:B$60,1,FALSE)),FALSE,TRUE)</f>
        <v>0</v>
      </c>
      <c r="F640" t="s">
        <v>660</v>
      </c>
      <c r="G640" t="s">
        <v>661</v>
      </c>
      <c r="H640">
        <v>4</v>
      </c>
      <c r="I640" t="s">
        <v>662</v>
      </c>
      <c r="J640" t="s">
        <v>663</v>
      </c>
      <c r="K640" t="s">
        <v>647</v>
      </c>
      <c r="L640" t="s">
        <v>664</v>
      </c>
      <c r="M640" t="s">
        <v>664</v>
      </c>
    </row>
    <row r="641" spans="1:13" hidden="1" x14ac:dyDescent="0.2">
      <c r="A641" s="10" t="s">
        <v>558</v>
      </c>
      <c r="B641" t="s">
        <v>182</v>
      </c>
      <c r="C641" t="s">
        <v>658</v>
      </c>
      <c r="D641" t="s">
        <v>659</v>
      </c>
      <c r="E641" s="10" t="b">
        <f>IF(ISERROR(VLOOKUP( LEFT(B641, LEN(B641) - IF(ISNUMBER(RIGHT(B641, 1) * 1), 1, 0)),metadata_testudines!B$1:B$60,1,FALSE)),FALSE,TRUE)</f>
        <v>0</v>
      </c>
      <c r="F641" t="s">
        <v>671</v>
      </c>
      <c r="G641" t="s">
        <v>672</v>
      </c>
      <c r="H641">
        <v>24.8</v>
      </c>
      <c r="I641" t="s">
        <v>667</v>
      </c>
      <c r="J641" t="s">
        <v>668</v>
      </c>
      <c r="K641" t="s">
        <v>673</v>
      </c>
      <c r="L641" t="s">
        <v>664</v>
      </c>
      <c r="M641" t="s">
        <v>678</v>
      </c>
    </row>
    <row r="642" spans="1:13" x14ac:dyDescent="0.2">
      <c r="A642" s="10" t="s">
        <v>558</v>
      </c>
      <c r="B642" t="s">
        <v>58</v>
      </c>
      <c r="C642" t="s">
        <v>658</v>
      </c>
      <c r="D642" t="s">
        <v>659</v>
      </c>
      <c r="E642" s="10" t="b">
        <f>IF(ISERROR(VLOOKUP( LEFT(B642, LEN(B642) - IF(ISNUMBER(RIGHT(B642, 1) * 1), 1, 0)),metadata_testudines!B$1:B$60,1,FALSE)),FALSE,TRUE)</f>
        <v>1</v>
      </c>
      <c r="F642" t="s">
        <v>660</v>
      </c>
      <c r="G642" t="s">
        <v>665</v>
      </c>
      <c r="H642">
        <v>2</v>
      </c>
      <c r="I642" t="s">
        <v>662</v>
      </c>
      <c r="J642" t="s">
        <v>663</v>
      </c>
      <c r="K642" t="s">
        <v>647</v>
      </c>
      <c r="L642" t="s">
        <v>664</v>
      </c>
      <c r="M642" t="s">
        <v>664</v>
      </c>
    </row>
    <row r="643" spans="1:13" x14ac:dyDescent="0.2">
      <c r="A643" s="10" t="s">
        <v>558</v>
      </c>
      <c r="B643" t="s">
        <v>58</v>
      </c>
      <c r="C643" t="s">
        <v>658</v>
      </c>
      <c r="D643" t="s">
        <v>659</v>
      </c>
      <c r="E643" s="10" t="b">
        <f>IF(ISERROR(VLOOKUP( LEFT(B643, LEN(B643) - IF(ISNUMBER(RIGHT(B643, 1) * 1), 1, 0)),metadata_testudines!B$1:B$60,1,FALSE)),FALSE,TRUE)</f>
        <v>1</v>
      </c>
      <c r="F643" t="s">
        <v>660</v>
      </c>
      <c r="G643" t="s">
        <v>661</v>
      </c>
      <c r="H643">
        <v>4</v>
      </c>
      <c r="I643" t="s">
        <v>662</v>
      </c>
      <c r="J643" t="s">
        <v>663</v>
      </c>
      <c r="K643" t="s">
        <v>647</v>
      </c>
      <c r="L643" t="s">
        <v>664</v>
      </c>
      <c r="M643" t="s">
        <v>664</v>
      </c>
    </row>
    <row r="644" spans="1:13" x14ac:dyDescent="0.2">
      <c r="A644" s="10" t="s">
        <v>558</v>
      </c>
      <c r="B644" t="s">
        <v>58</v>
      </c>
      <c r="C644" t="s">
        <v>658</v>
      </c>
      <c r="D644" t="s">
        <v>659</v>
      </c>
      <c r="E644" s="10" t="b">
        <f>IF(ISERROR(VLOOKUP( LEFT(B644, LEN(B644) - IF(ISNUMBER(RIGHT(B644, 1) * 1), 1, 0)),metadata_testudines!B$1:B$60,1,FALSE)),FALSE,TRUE)</f>
        <v>1</v>
      </c>
      <c r="F644" t="s">
        <v>660</v>
      </c>
      <c r="G644" t="s">
        <v>661</v>
      </c>
      <c r="H644">
        <v>2</v>
      </c>
      <c r="I644" t="s">
        <v>662</v>
      </c>
      <c r="J644" t="s">
        <v>663</v>
      </c>
      <c r="K644" t="s">
        <v>647</v>
      </c>
      <c r="L644" t="s">
        <v>664</v>
      </c>
      <c r="M644" t="s">
        <v>664</v>
      </c>
    </row>
    <row r="645" spans="1:13" x14ac:dyDescent="0.2">
      <c r="A645" s="10" t="s">
        <v>558</v>
      </c>
      <c r="B645" t="s">
        <v>58</v>
      </c>
      <c r="C645" t="s">
        <v>658</v>
      </c>
      <c r="D645" t="s">
        <v>659</v>
      </c>
      <c r="E645" s="10" t="b">
        <f>IF(ISERROR(VLOOKUP( LEFT(B645, LEN(B645) - IF(ISNUMBER(RIGHT(B645, 1) * 1), 1, 0)),metadata_testudines!B$1:B$60,1,FALSE)),FALSE,TRUE)</f>
        <v>1</v>
      </c>
      <c r="F645" t="s">
        <v>660</v>
      </c>
      <c r="G645" t="s">
        <v>665</v>
      </c>
      <c r="H645">
        <v>1</v>
      </c>
      <c r="I645" t="s">
        <v>662</v>
      </c>
      <c r="J645" t="s">
        <v>663</v>
      </c>
      <c r="K645" t="s">
        <v>647</v>
      </c>
      <c r="L645" t="s">
        <v>664</v>
      </c>
      <c r="M645" t="s">
        <v>664</v>
      </c>
    </row>
    <row r="646" spans="1:13" x14ac:dyDescent="0.2">
      <c r="A646" s="10" t="s">
        <v>558</v>
      </c>
      <c r="B646" t="s">
        <v>58</v>
      </c>
      <c r="C646" t="s">
        <v>658</v>
      </c>
      <c r="D646" t="s">
        <v>659</v>
      </c>
      <c r="E646" s="10" t="b">
        <f>IF(ISERROR(VLOOKUP( LEFT(B646, LEN(B646) - IF(ISNUMBER(RIGHT(B646, 1) * 1), 1, 0)),metadata_testudines!B$1:B$60,1,FALSE)),FALSE,TRUE)</f>
        <v>1</v>
      </c>
      <c r="F646" t="s">
        <v>660</v>
      </c>
      <c r="G646" t="s">
        <v>661</v>
      </c>
      <c r="H646">
        <v>2</v>
      </c>
      <c r="I646" t="s">
        <v>662</v>
      </c>
      <c r="J646" t="s">
        <v>663</v>
      </c>
      <c r="K646" t="s">
        <v>647</v>
      </c>
      <c r="L646" t="s">
        <v>664</v>
      </c>
      <c r="M646" t="s">
        <v>664</v>
      </c>
    </row>
    <row r="647" spans="1:13" x14ac:dyDescent="0.2">
      <c r="A647" s="10" t="s">
        <v>558</v>
      </c>
      <c r="B647" t="s">
        <v>58</v>
      </c>
      <c r="C647" t="s">
        <v>658</v>
      </c>
      <c r="D647" t="s">
        <v>659</v>
      </c>
      <c r="E647" s="10" t="b">
        <f>IF(ISERROR(VLOOKUP( LEFT(B647, LEN(B647) - IF(ISNUMBER(RIGHT(B647, 1) * 1), 1, 0)),metadata_testudines!B$1:B$60,1,FALSE)),FALSE,TRUE)</f>
        <v>1</v>
      </c>
      <c r="F647" t="s">
        <v>660</v>
      </c>
      <c r="G647" t="s">
        <v>661</v>
      </c>
      <c r="H647">
        <v>4</v>
      </c>
      <c r="I647" t="s">
        <v>662</v>
      </c>
      <c r="J647" t="s">
        <v>663</v>
      </c>
      <c r="K647" t="s">
        <v>647</v>
      </c>
      <c r="L647" t="s">
        <v>664</v>
      </c>
      <c r="M647" t="s">
        <v>664</v>
      </c>
    </row>
    <row r="648" spans="1:13" hidden="1" x14ac:dyDescent="0.2">
      <c r="A648" s="10" t="s">
        <v>558</v>
      </c>
      <c r="B648" t="s">
        <v>203</v>
      </c>
      <c r="C648" t="s">
        <v>658</v>
      </c>
      <c r="D648" t="s">
        <v>659</v>
      </c>
      <c r="E648" s="10" t="b">
        <f>IF(ISERROR(VLOOKUP( LEFT(B648, LEN(B648) - IF(ISNUMBER(RIGHT(B648, 1) * 1), 1, 0)),metadata_testudines!B$1:B$60,1,FALSE)),FALSE,TRUE)</f>
        <v>0</v>
      </c>
      <c r="F648" t="s">
        <v>660</v>
      </c>
      <c r="G648" t="s">
        <v>661</v>
      </c>
      <c r="H648">
        <v>4</v>
      </c>
      <c r="I648" t="s">
        <v>662</v>
      </c>
      <c r="J648" t="s">
        <v>663</v>
      </c>
      <c r="K648" t="s">
        <v>647</v>
      </c>
      <c r="L648" t="s">
        <v>664</v>
      </c>
      <c r="M648" t="s">
        <v>664</v>
      </c>
    </row>
    <row r="649" spans="1:13" hidden="1" x14ac:dyDescent="0.2">
      <c r="A649" s="10" t="s">
        <v>558</v>
      </c>
      <c r="B649" t="s">
        <v>203</v>
      </c>
      <c r="C649" t="s">
        <v>658</v>
      </c>
      <c r="D649" t="s">
        <v>659</v>
      </c>
      <c r="E649" s="10" t="b">
        <f>IF(ISERROR(VLOOKUP( LEFT(B649, LEN(B649) - IF(ISNUMBER(RIGHT(B649, 1) * 1), 1, 0)),metadata_testudines!B$1:B$60,1,FALSE)),FALSE,TRUE)</f>
        <v>0</v>
      </c>
      <c r="F649" t="s">
        <v>660</v>
      </c>
      <c r="G649" t="s">
        <v>661</v>
      </c>
      <c r="H649">
        <v>2.2999999999999998</v>
      </c>
      <c r="I649" t="s">
        <v>662</v>
      </c>
      <c r="J649" t="s">
        <v>663</v>
      </c>
      <c r="K649" t="s">
        <v>647</v>
      </c>
      <c r="L649" t="s">
        <v>664</v>
      </c>
      <c r="M649" t="s">
        <v>664</v>
      </c>
    </row>
    <row r="650" spans="1:13" hidden="1" x14ac:dyDescent="0.2">
      <c r="A650" s="10" t="s">
        <v>558</v>
      </c>
      <c r="B650" t="s">
        <v>203</v>
      </c>
      <c r="C650" t="s">
        <v>658</v>
      </c>
      <c r="D650" t="s">
        <v>659</v>
      </c>
      <c r="E650" s="10" t="b">
        <f>IF(ISERROR(VLOOKUP( LEFT(B650, LEN(B650) - IF(ISNUMBER(RIGHT(B650, 1) * 1), 1, 0)),metadata_testudines!B$1:B$60,1,FALSE)),FALSE,TRUE)</f>
        <v>0</v>
      </c>
      <c r="F650" t="s">
        <v>660</v>
      </c>
      <c r="G650" t="s">
        <v>661</v>
      </c>
      <c r="H650">
        <v>2</v>
      </c>
      <c r="I650" t="s">
        <v>662</v>
      </c>
      <c r="J650" t="s">
        <v>663</v>
      </c>
      <c r="K650" t="s">
        <v>647</v>
      </c>
      <c r="L650" t="s">
        <v>664</v>
      </c>
      <c r="M650" t="s">
        <v>664</v>
      </c>
    </row>
    <row r="651" spans="1:13" hidden="1" x14ac:dyDescent="0.2">
      <c r="A651" s="10" t="s">
        <v>558</v>
      </c>
      <c r="B651" t="s">
        <v>203</v>
      </c>
      <c r="C651" t="s">
        <v>658</v>
      </c>
      <c r="D651" t="s">
        <v>659</v>
      </c>
      <c r="E651" s="10" t="b">
        <f>IF(ISERROR(VLOOKUP( LEFT(B651, LEN(B651) - IF(ISNUMBER(RIGHT(B651, 1) * 1), 1, 0)),metadata_testudines!B$1:B$60,1,FALSE)),FALSE,TRUE)</f>
        <v>0</v>
      </c>
      <c r="F651" t="s">
        <v>660</v>
      </c>
      <c r="G651" t="s">
        <v>666</v>
      </c>
      <c r="H651">
        <v>26.5</v>
      </c>
      <c r="I651" t="s">
        <v>667</v>
      </c>
      <c r="J651" t="s">
        <v>668</v>
      </c>
      <c r="K651" t="s">
        <v>647</v>
      </c>
      <c r="L651" t="s">
        <v>664</v>
      </c>
      <c r="M651" t="s">
        <v>664</v>
      </c>
    </row>
    <row r="652" spans="1:13" hidden="1" x14ac:dyDescent="0.2">
      <c r="A652" s="10" t="s">
        <v>558</v>
      </c>
      <c r="B652" t="s">
        <v>203</v>
      </c>
      <c r="C652" t="s">
        <v>658</v>
      </c>
      <c r="D652" t="s">
        <v>659</v>
      </c>
      <c r="E652" s="10" t="b">
        <f>IF(ISERROR(VLOOKUP( LEFT(B652, LEN(B652) - IF(ISNUMBER(RIGHT(B652, 1) * 1), 1, 0)),metadata_testudines!B$1:B$60,1,FALSE)),FALSE,TRUE)</f>
        <v>0</v>
      </c>
      <c r="F652" t="s">
        <v>660</v>
      </c>
      <c r="G652" t="s">
        <v>666</v>
      </c>
      <c r="H652">
        <v>22</v>
      </c>
      <c r="I652" t="s">
        <v>667</v>
      </c>
      <c r="J652" t="s">
        <v>668</v>
      </c>
      <c r="K652" t="s">
        <v>647</v>
      </c>
      <c r="L652" t="s">
        <v>664</v>
      </c>
      <c r="M652" t="s">
        <v>664</v>
      </c>
    </row>
    <row r="653" spans="1:13" hidden="1" x14ac:dyDescent="0.2">
      <c r="A653" s="10" t="s">
        <v>558</v>
      </c>
      <c r="B653" t="s">
        <v>204</v>
      </c>
      <c r="C653" t="s">
        <v>658</v>
      </c>
      <c r="D653" t="s">
        <v>659</v>
      </c>
      <c r="E653" s="10" t="b">
        <f>IF(ISERROR(VLOOKUP( LEFT(B653, LEN(B653) - IF(ISNUMBER(RIGHT(B653, 1) * 1), 1, 0)),metadata_testudines!B$1:B$60,1,FALSE)),FALSE,TRUE)</f>
        <v>0</v>
      </c>
      <c r="F653" t="s">
        <v>660</v>
      </c>
      <c r="G653" t="s">
        <v>661</v>
      </c>
      <c r="H653">
        <v>2</v>
      </c>
      <c r="I653" t="s">
        <v>662</v>
      </c>
      <c r="J653" t="s">
        <v>663</v>
      </c>
      <c r="K653" t="s">
        <v>647</v>
      </c>
      <c r="L653" t="s">
        <v>664</v>
      </c>
      <c r="M653" t="s">
        <v>664</v>
      </c>
    </row>
    <row r="654" spans="1:13" hidden="1" x14ac:dyDescent="0.2">
      <c r="A654" s="10" t="s">
        <v>558</v>
      </c>
      <c r="B654" t="s">
        <v>204</v>
      </c>
      <c r="C654" t="s">
        <v>658</v>
      </c>
      <c r="D654" t="s">
        <v>659</v>
      </c>
      <c r="E654" s="10" t="b">
        <f>IF(ISERROR(VLOOKUP( LEFT(B654, LEN(B654) - IF(ISNUMBER(RIGHT(B654, 1) * 1), 1, 0)),metadata_testudines!B$1:B$60,1,FALSE)),FALSE,TRUE)</f>
        <v>0</v>
      </c>
      <c r="F654" t="s">
        <v>660</v>
      </c>
      <c r="G654" t="s">
        <v>661</v>
      </c>
      <c r="H654">
        <v>2.2999999999999998</v>
      </c>
      <c r="I654" t="s">
        <v>662</v>
      </c>
      <c r="J654" t="s">
        <v>663</v>
      </c>
      <c r="K654" t="s">
        <v>647</v>
      </c>
      <c r="L654" t="s">
        <v>664</v>
      </c>
      <c r="M654" t="s">
        <v>664</v>
      </c>
    </row>
    <row r="655" spans="1:13" hidden="1" x14ac:dyDescent="0.2">
      <c r="A655" s="10" t="s">
        <v>558</v>
      </c>
      <c r="B655" t="s">
        <v>204</v>
      </c>
      <c r="C655" t="s">
        <v>658</v>
      </c>
      <c r="D655" t="s">
        <v>659</v>
      </c>
      <c r="E655" s="10" t="b">
        <f>IF(ISERROR(VLOOKUP( LEFT(B655, LEN(B655) - IF(ISNUMBER(RIGHT(B655, 1) * 1), 1, 0)),metadata_testudines!B$1:B$60,1,FALSE)),FALSE,TRUE)</f>
        <v>0</v>
      </c>
      <c r="F655" t="s">
        <v>660</v>
      </c>
      <c r="G655" t="s">
        <v>666</v>
      </c>
      <c r="H655">
        <v>22</v>
      </c>
      <c r="I655" t="s">
        <v>667</v>
      </c>
      <c r="J655" t="s">
        <v>668</v>
      </c>
      <c r="K655" t="s">
        <v>647</v>
      </c>
      <c r="L655" t="s">
        <v>664</v>
      </c>
      <c r="M655" t="s">
        <v>664</v>
      </c>
    </row>
    <row r="656" spans="1:13" hidden="1" x14ac:dyDescent="0.2">
      <c r="A656" s="10" t="s">
        <v>558</v>
      </c>
      <c r="B656" t="s">
        <v>204</v>
      </c>
      <c r="C656" t="s">
        <v>658</v>
      </c>
      <c r="D656" t="s">
        <v>659</v>
      </c>
      <c r="E656" s="10" t="b">
        <f>IF(ISERROR(VLOOKUP( LEFT(B656, LEN(B656) - IF(ISNUMBER(RIGHT(B656, 1) * 1), 1, 0)),metadata_testudines!B$1:B$60,1,FALSE)),FALSE,TRUE)</f>
        <v>0</v>
      </c>
      <c r="F656" t="s">
        <v>660</v>
      </c>
      <c r="G656" t="s">
        <v>661</v>
      </c>
      <c r="H656">
        <v>4</v>
      </c>
      <c r="I656" t="s">
        <v>662</v>
      </c>
      <c r="J656" t="s">
        <v>663</v>
      </c>
      <c r="K656" t="s">
        <v>647</v>
      </c>
      <c r="L656" t="s">
        <v>664</v>
      </c>
      <c r="M656" t="s">
        <v>664</v>
      </c>
    </row>
    <row r="657" spans="1:13" hidden="1" x14ac:dyDescent="0.2">
      <c r="A657" s="10" t="s">
        <v>558</v>
      </c>
      <c r="B657" t="s">
        <v>204</v>
      </c>
      <c r="C657" t="s">
        <v>658</v>
      </c>
      <c r="D657" t="s">
        <v>659</v>
      </c>
      <c r="E657" s="10" t="b">
        <f>IF(ISERROR(VLOOKUP( LEFT(B657, LEN(B657) - IF(ISNUMBER(RIGHT(B657, 1) * 1), 1, 0)),metadata_testudines!B$1:B$60,1,FALSE)),FALSE,TRUE)</f>
        <v>0</v>
      </c>
      <c r="F657" t="s">
        <v>660</v>
      </c>
      <c r="G657" t="s">
        <v>666</v>
      </c>
      <c r="H657">
        <v>26.5</v>
      </c>
      <c r="I657" t="s">
        <v>667</v>
      </c>
      <c r="J657" t="s">
        <v>668</v>
      </c>
      <c r="K657" t="s">
        <v>647</v>
      </c>
      <c r="L657" t="s">
        <v>664</v>
      </c>
      <c r="M657" t="s">
        <v>664</v>
      </c>
    </row>
    <row r="658" spans="1:13" hidden="1" x14ac:dyDescent="0.2">
      <c r="A658" s="10" t="s">
        <v>558</v>
      </c>
      <c r="B658" t="s">
        <v>205</v>
      </c>
      <c r="C658" t="s">
        <v>658</v>
      </c>
      <c r="D658" t="s">
        <v>659</v>
      </c>
      <c r="E658" s="10" t="b">
        <f>IF(ISERROR(VLOOKUP( LEFT(B658, LEN(B658) - IF(ISNUMBER(RIGHT(B658, 1) * 1), 1, 0)),metadata_testudines!B$1:B$60,1,FALSE)),FALSE,TRUE)</f>
        <v>0</v>
      </c>
      <c r="F658" t="s">
        <v>660</v>
      </c>
      <c r="G658" t="s">
        <v>666</v>
      </c>
      <c r="H658">
        <v>22</v>
      </c>
      <c r="I658" t="s">
        <v>667</v>
      </c>
      <c r="J658" t="s">
        <v>668</v>
      </c>
      <c r="K658" t="s">
        <v>647</v>
      </c>
      <c r="L658" t="s">
        <v>664</v>
      </c>
      <c r="M658" t="s">
        <v>664</v>
      </c>
    </row>
    <row r="659" spans="1:13" hidden="1" x14ac:dyDescent="0.2">
      <c r="A659" s="10" t="s">
        <v>558</v>
      </c>
      <c r="B659" t="s">
        <v>205</v>
      </c>
      <c r="C659" t="s">
        <v>658</v>
      </c>
      <c r="D659" t="s">
        <v>659</v>
      </c>
      <c r="E659" s="10" t="b">
        <f>IF(ISERROR(VLOOKUP( LEFT(B659, LEN(B659) - IF(ISNUMBER(RIGHT(B659, 1) * 1), 1, 0)),metadata_testudines!B$1:B$60,1,FALSE)),FALSE,TRUE)</f>
        <v>0</v>
      </c>
      <c r="F659" t="s">
        <v>660</v>
      </c>
      <c r="G659" t="s">
        <v>666</v>
      </c>
      <c r="H659">
        <v>26.5</v>
      </c>
      <c r="I659" t="s">
        <v>667</v>
      </c>
      <c r="J659" t="s">
        <v>668</v>
      </c>
      <c r="K659" t="s">
        <v>647</v>
      </c>
      <c r="L659" t="s">
        <v>664</v>
      </c>
      <c r="M659" t="s">
        <v>664</v>
      </c>
    </row>
    <row r="660" spans="1:13" hidden="1" x14ac:dyDescent="0.2">
      <c r="A660" s="10" t="s">
        <v>558</v>
      </c>
      <c r="B660" t="s">
        <v>205</v>
      </c>
      <c r="C660" t="s">
        <v>658</v>
      </c>
      <c r="D660" t="s">
        <v>659</v>
      </c>
      <c r="E660" s="10" t="b">
        <f>IF(ISERROR(VLOOKUP( LEFT(B660, LEN(B660) - IF(ISNUMBER(RIGHT(B660, 1) * 1), 1, 0)),metadata_testudines!B$1:B$60,1,FALSE)),FALSE,TRUE)</f>
        <v>0</v>
      </c>
      <c r="F660" t="s">
        <v>660</v>
      </c>
      <c r="G660" t="s">
        <v>661</v>
      </c>
      <c r="H660">
        <v>4</v>
      </c>
      <c r="I660" t="s">
        <v>662</v>
      </c>
      <c r="J660" t="s">
        <v>663</v>
      </c>
      <c r="K660" t="s">
        <v>647</v>
      </c>
      <c r="L660" t="s">
        <v>664</v>
      </c>
      <c r="M660" t="s">
        <v>664</v>
      </c>
    </row>
    <row r="661" spans="1:13" hidden="1" x14ac:dyDescent="0.2">
      <c r="A661" s="10" t="s">
        <v>558</v>
      </c>
      <c r="B661" t="s">
        <v>205</v>
      </c>
      <c r="C661" t="s">
        <v>658</v>
      </c>
      <c r="D661" t="s">
        <v>659</v>
      </c>
      <c r="E661" s="10" t="b">
        <f>IF(ISERROR(VLOOKUP( LEFT(B661, LEN(B661) - IF(ISNUMBER(RIGHT(B661, 1) * 1), 1, 0)),metadata_testudines!B$1:B$60,1,FALSE)),FALSE,TRUE)</f>
        <v>0</v>
      </c>
      <c r="F661" t="s">
        <v>660</v>
      </c>
      <c r="G661" t="s">
        <v>661</v>
      </c>
      <c r="H661">
        <v>2</v>
      </c>
      <c r="I661" t="s">
        <v>662</v>
      </c>
      <c r="J661" t="s">
        <v>663</v>
      </c>
      <c r="K661" t="s">
        <v>647</v>
      </c>
      <c r="L661" t="s">
        <v>664</v>
      </c>
      <c r="M661" t="s">
        <v>664</v>
      </c>
    </row>
    <row r="662" spans="1:13" hidden="1" x14ac:dyDescent="0.2">
      <c r="A662" s="10" t="s">
        <v>558</v>
      </c>
      <c r="B662" t="s">
        <v>205</v>
      </c>
      <c r="C662" t="s">
        <v>658</v>
      </c>
      <c r="D662" t="s">
        <v>659</v>
      </c>
      <c r="E662" s="10" t="b">
        <f>IF(ISERROR(VLOOKUP( LEFT(B662, LEN(B662) - IF(ISNUMBER(RIGHT(B662, 1) * 1), 1, 0)),metadata_testudines!B$1:B$60,1,FALSE)),FALSE,TRUE)</f>
        <v>0</v>
      </c>
      <c r="F662" t="s">
        <v>660</v>
      </c>
      <c r="G662" t="s">
        <v>661</v>
      </c>
      <c r="H662">
        <v>2.2999999999999998</v>
      </c>
      <c r="I662" t="s">
        <v>662</v>
      </c>
      <c r="J662" t="s">
        <v>663</v>
      </c>
      <c r="K662" t="s">
        <v>647</v>
      </c>
      <c r="L662" t="s">
        <v>664</v>
      </c>
      <c r="M662" t="s">
        <v>664</v>
      </c>
    </row>
    <row r="663" spans="1:13" hidden="1" x14ac:dyDescent="0.2">
      <c r="A663" s="10" t="s">
        <v>558</v>
      </c>
      <c r="B663" t="s">
        <v>206</v>
      </c>
      <c r="C663" t="s">
        <v>658</v>
      </c>
      <c r="D663" t="s">
        <v>659</v>
      </c>
      <c r="E663" s="10" t="b">
        <f>IF(ISERROR(VLOOKUP( LEFT(B663, LEN(B663) - IF(ISNUMBER(RIGHT(B663, 1) * 1), 1, 0)),metadata_testudines!B$1:B$60,1,FALSE)),FALSE,TRUE)</f>
        <v>0</v>
      </c>
      <c r="F663" t="s">
        <v>660</v>
      </c>
      <c r="G663" t="s">
        <v>661</v>
      </c>
      <c r="H663">
        <v>2</v>
      </c>
      <c r="I663" t="s">
        <v>662</v>
      </c>
      <c r="J663" t="s">
        <v>663</v>
      </c>
      <c r="K663" t="s">
        <v>647</v>
      </c>
      <c r="L663" t="s">
        <v>664</v>
      </c>
      <c r="M663" t="s">
        <v>664</v>
      </c>
    </row>
    <row r="664" spans="1:13" hidden="1" x14ac:dyDescent="0.2">
      <c r="A664" s="10" t="s">
        <v>558</v>
      </c>
      <c r="B664" t="s">
        <v>206</v>
      </c>
      <c r="C664" t="s">
        <v>658</v>
      </c>
      <c r="D664" t="s">
        <v>659</v>
      </c>
      <c r="E664" s="10" t="b">
        <f>IF(ISERROR(VLOOKUP( LEFT(B664, LEN(B664) - IF(ISNUMBER(RIGHT(B664, 1) * 1), 1, 0)),metadata_testudines!B$1:B$60,1,FALSE)),FALSE,TRUE)</f>
        <v>0</v>
      </c>
      <c r="F664" t="s">
        <v>660</v>
      </c>
      <c r="G664" t="s">
        <v>661</v>
      </c>
      <c r="H664">
        <v>5</v>
      </c>
      <c r="I664" t="s">
        <v>662</v>
      </c>
      <c r="J664" t="s">
        <v>663</v>
      </c>
      <c r="K664" t="s">
        <v>647</v>
      </c>
      <c r="L664" t="s">
        <v>664</v>
      </c>
      <c r="M664" t="s">
        <v>664</v>
      </c>
    </row>
    <row r="665" spans="1:13" hidden="1" x14ac:dyDescent="0.2">
      <c r="A665" s="10" t="s">
        <v>558</v>
      </c>
      <c r="B665" t="s">
        <v>207</v>
      </c>
      <c r="C665" t="s">
        <v>658</v>
      </c>
      <c r="D665" t="s">
        <v>659</v>
      </c>
      <c r="E665" s="10" t="b">
        <f>IF(ISERROR(VLOOKUP( LEFT(B665, LEN(B665) - IF(ISNUMBER(RIGHT(B665, 1) * 1), 1, 0)),metadata_testudines!B$1:B$60,1,FALSE)),FALSE,TRUE)</f>
        <v>0</v>
      </c>
      <c r="F665" t="s">
        <v>660</v>
      </c>
      <c r="G665" t="s">
        <v>661</v>
      </c>
      <c r="H665">
        <v>2.2999999999999998</v>
      </c>
      <c r="I665" t="s">
        <v>662</v>
      </c>
      <c r="J665" t="s">
        <v>663</v>
      </c>
      <c r="K665" t="s">
        <v>647</v>
      </c>
      <c r="L665" t="s">
        <v>664</v>
      </c>
      <c r="M665" t="s">
        <v>664</v>
      </c>
    </row>
    <row r="666" spans="1:13" hidden="1" x14ac:dyDescent="0.2">
      <c r="A666" s="10" t="s">
        <v>558</v>
      </c>
      <c r="B666" t="s">
        <v>207</v>
      </c>
      <c r="C666" t="s">
        <v>658</v>
      </c>
      <c r="D666" t="s">
        <v>659</v>
      </c>
      <c r="E666" s="10" t="b">
        <f>IF(ISERROR(VLOOKUP( LEFT(B666, LEN(B666) - IF(ISNUMBER(RIGHT(B666, 1) * 1), 1, 0)),metadata_testudines!B$1:B$60,1,FALSE)),FALSE,TRUE)</f>
        <v>0</v>
      </c>
      <c r="F666" t="s">
        <v>660</v>
      </c>
      <c r="G666" t="s">
        <v>666</v>
      </c>
      <c r="H666">
        <v>22</v>
      </c>
      <c r="I666" t="s">
        <v>667</v>
      </c>
      <c r="J666" t="s">
        <v>668</v>
      </c>
      <c r="K666" t="s">
        <v>647</v>
      </c>
      <c r="L666" t="s">
        <v>664</v>
      </c>
      <c r="M666" t="s">
        <v>664</v>
      </c>
    </row>
    <row r="667" spans="1:13" hidden="1" x14ac:dyDescent="0.2">
      <c r="A667" s="10" t="s">
        <v>558</v>
      </c>
      <c r="B667" t="s">
        <v>207</v>
      </c>
      <c r="C667" t="s">
        <v>658</v>
      </c>
      <c r="D667" t="s">
        <v>659</v>
      </c>
      <c r="E667" s="10" t="b">
        <f>IF(ISERROR(VLOOKUP( LEFT(B667, LEN(B667) - IF(ISNUMBER(RIGHT(B667, 1) * 1), 1, 0)),metadata_testudines!B$1:B$60,1,FALSE)),FALSE,TRUE)</f>
        <v>0</v>
      </c>
      <c r="F667" t="s">
        <v>660</v>
      </c>
      <c r="G667" t="s">
        <v>661</v>
      </c>
      <c r="H667">
        <v>2</v>
      </c>
      <c r="I667" t="s">
        <v>662</v>
      </c>
      <c r="J667" t="s">
        <v>663</v>
      </c>
      <c r="K667" t="s">
        <v>647</v>
      </c>
      <c r="L667" t="s">
        <v>664</v>
      </c>
      <c r="M667" t="s">
        <v>664</v>
      </c>
    </row>
    <row r="668" spans="1:13" hidden="1" x14ac:dyDescent="0.2">
      <c r="A668" s="10" t="s">
        <v>558</v>
      </c>
      <c r="B668" t="s">
        <v>207</v>
      </c>
      <c r="C668" t="s">
        <v>658</v>
      </c>
      <c r="D668" t="s">
        <v>659</v>
      </c>
      <c r="E668" s="10" t="b">
        <f>IF(ISERROR(VLOOKUP( LEFT(B668, LEN(B668) - IF(ISNUMBER(RIGHT(B668, 1) * 1), 1, 0)),metadata_testudines!B$1:B$60,1,FALSE)),FALSE,TRUE)</f>
        <v>0</v>
      </c>
      <c r="F668" t="s">
        <v>660</v>
      </c>
      <c r="G668" t="s">
        <v>666</v>
      </c>
      <c r="H668">
        <v>26.5</v>
      </c>
      <c r="I668" t="s">
        <v>667</v>
      </c>
      <c r="J668" t="s">
        <v>668</v>
      </c>
      <c r="K668" t="s">
        <v>647</v>
      </c>
      <c r="L668" t="s">
        <v>664</v>
      </c>
      <c r="M668" t="s">
        <v>664</v>
      </c>
    </row>
    <row r="669" spans="1:13" hidden="1" x14ac:dyDescent="0.2">
      <c r="A669" s="10" t="s">
        <v>558</v>
      </c>
      <c r="B669" t="s">
        <v>207</v>
      </c>
      <c r="C669" t="s">
        <v>658</v>
      </c>
      <c r="D669" t="s">
        <v>659</v>
      </c>
      <c r="E669" s="10" t="b">
        <f>IF(ISERROR(VLOOKUP( LEFT(B669, LEN(B669) - IF(ISNUMBER(RIGHT(B669, 1) * 1), 1, 0)),metadata_testudines!B$1:B$60,1,FALSE)),FALSE,TRUE)</f>
        <v>0</v>
      </c>
      <c r="F669" t="s">
        <v>660</v>
      </c>
      <c r="G669" t="s">
        <v>661</v>
      </c>
      <c r="H669">
        <v>4</v>
      </c>
      <c r="I669" t="s">
        <v>662</v>
      </c>
      <c r="J669" t="s">
        <v>663</v>
      </c>
      <c r="K669" t="s">
        <v>647</v>
      </c>
      <c r="L669" t="s">
        <v>664</v>
      </c>
      <c r="M669" t="s">
        <v>664</v>
      </c>
    </row>
    <row r="670" spans="1:13" hidden="1" x14ac:dyDescent="0.2">
      <c r="A670" s="10" t="s">
        <v>558</v>
      </c>
      <c r="B670" t="s">
        <v>53</v>
      </c>
      <c r="C670" t="s">
        <v>658</v>
      </c>
      <c r="D670" t="s">
        <v>659</v>
      </c>
      <c r="E670" s="10" t="b">
        <f>IF(ISERROR(VLOOKUP( LEFT(B670, LEN(B670) - IF(ISNUMBER(RIGHT(B670, 1) * 1), 1, 0)),metadata_testudines!B$1:B$60,1,FALSE)),FALSE,TRUE)</f>
        <v>1</v>
      </c>
      <c r="F670" t="s">
        <v>660</v>
      </c>
      <c r="G670" t="s">
        <v>661</v>
      </c>
      <c r="H670">
        <v>2</v>
      </c>
      <c r="I670" t="s">
        <v>662</v>
      </c>
      <c r="J670" t="s">
        <v>663</v>
      </c>
      <c r="K670" t="s">
        <v>647</v>
      </c>
      <c r="L670" t="s">
        <v>664</v>
      </c>
      <c r="M670" t="s">
        <v>664</v>
      </c>
    </row>
    <row r="671" spans="1:13" hidden="1" x14ac:dyDescent="0.2">
      <c r="A671" s="10" t="s">
        <v>558</v>
      </c>
      <c r="B671" t="s">
        <v>53</v>
      </c>
      <c r="C671" t="s">
        <v>658</v>
      </c>
      <c r="D671" t="s">
        <v>659</v>
      </c>
      <c r="E671" s="10" t="b">
        <f>IF(ISERROR(VLOOKUP( LEFT(B671, LEN(B671) - IF(ISNUMBER(RIGHT(B671, 1) * 1), 1, 0)),metadata_testudines!B$1:B$60,1,FALSE)),FALSE,TRUE)</f>
        <v>1</v>
      </c>
      <c r="F671" t="s">
        <v>660</v>
      </c>
      <c r="G671" t="s">
        <v>661</v>
      </c>
      <c r="H671">
        <v>1</v>
      </c>
      <c r="I671" t="s">
        <v>662</v>
      </c>
      <c r="J671" t="s">
        <v>663</v>
      </c>
      <c r="K671" t="s">
        <v>647</v>
      </c>
      <c r="L671" t="s">
        <v>664</v>
      </c>
      <c r="M671" t="s">
        <v>664</v>
      </c>
    </row>
    <row r="672" spans="1:13" hidden="1" x14ac:dyDescent="0.2">
      <c r="A672" s="10" t="s">
        <v>558</v>
      </c>
      <c r="B672" t="s">
        <v>53</v>
      </c>
      <c r="C672" t="s">
        <v>658</v>
      </c>
      <c r="D672" t="s">
        <v>659</v>
      </c>
      <c r="E672" s="10" t="b">
        <f>IF(ISERROR(VLOOKUP( LEFT(B672, LEN(B672) - IF(ISNUMBER(RIGHT(B672, 1) * 1), 1, 0)),metadata_testudines!B$1:B$60,1,FALSE)),FALSE,TRUE)</f>
        <v>1</v>
      </c>
      <c r="F672" t="s">
        <v>660</v>
      </c>
      <c r="G672" t="s">
        <v>661</v>
      </c>
      <c r="H672">
        <v>1</v>
      </c>
      <c r="I672" t="s">
        <v>662</v>
      </c>
      <c r="J672" t="s">
        <v>663</v>
      </c>
      <c r="K672" t="s">
        <v>647</v>
      </c>
      <c r="L672" t="s">
        <v>664</v>
      </c>
      <c r="M672" t="s">
        <v>664</v>
      </c>
    </row>
    <row r="673" spans="1:13" hidden="1" x14ac:dyDescent="0.2">
      <c r="A673" s="10" t="s">
        <v>558</v>
      </c>
      <c r="B673" t="s">
        <v>53</v>
      </c>
      <c r="C673" t="s">
        <v>658</v>
      </c>
      <c r="D673" t="s">
        <v>659</v>
      </c>
      <c r="E673" s="10" t="b">
        <f>IF(ISERROR(VLOOKUP( LEFT(B673, LEN(B673) - IF(ISNUMBER(RIGHT(B673, 1) * 1), 1, 0)),metadata_testudines!B$1:B$60,1,FALSE)),FALSE,TRUE)</f>
        <v>1</v>
      </c>
      <c r="F673" t="s">
        <v>660</v>
      </c>
      <c r="G673" t="s">
        <v>661</v>
      </c>
      <c r="H673">
        <v>2.4</v>
      </c>
      <c r="I673" t="s">
        <v>662</v>
      </c>
      <c r="J673" t="s">
        <v>663</v>
      </c>
      <c r="K673" t="s">
        <v>647</v>
      </c>
      <c r="L673" t="s">
        <v>664</v>
      </c>
      <c r="M673" t="s">
        <v>664</v>
      </c>
    </row>
    <row r="674" spans="1:13" hidden="1" x14ac:dyDescent="0.2">
      <c r="A674" s="10" t="s">
        <v>558</v>
      </c>
      <c r="B674" t="s">
        <v>53</v>
      </c>
      <c r="C674" t="s">
        <v>658</v>
      </c>
      <c r="D674" t="s">
        <v>659</v>
      </c>
      <c r="E674" s="10" t="b">
        <f>IF(ISERROR(VLOOKUP( LEFT(B674, LEN(B674) - IF(ISNUMBER(RIGHT(B674, 1) * 1), 1, 0)),metadata_testudines!B$1:B$60,1,FALSE)),FALSE,TRUE)</f>
        <v>1</v>
      </c>
      <c r="F674" t="s">
        <v>660</v>
      </c>
      <c r="G674" t="s">
        <v>679</v>
      </c>
      <c r="H674">
        <v>1</v>
      </c>
      <c r="I674" t="s">
        <v>662</v>
      </c>
      <c r="J674" t="s">
        <v>680</v>
      </c>
      <c r="K674" t="s">
        <v>647</v>
      </c>
      <c r="L674" t="s">
        <v>664</v>
      </c>
      <c r="M674" t="s">
        <v>664</v>
      </c>
    </row>
    <row r="675" spans="1:13" hidden="1" x14ac:dyDescent="0.2">
      <c r="A675" s="10" t="s">
        <v>558</v>
      </c>
      <c r="B675" t="s">
        <v>53</v>
      </c>
      <c r="C675" t="s">
        <v>658</v>
      </c>
      <c r="D675" t="s">
        <v>659</v>
      </c>
      <c r="E675" s="10" t="b">
        <f>IF(ISERROR(VLOOKUP( LEFT(B675, LEN(B675) - IF(ISNUMBER(RIGHT(B675, 1) * 1), 1, 0)),metadata_testudines!B$1:B$60,1,FALSE)),FALSE,TRUE)</f>
        <v>1</v>
      </c>
      <c r="F675" t="s">
        <v>660</v>
      </c>
      <c r="G675" t="s">
        <v>661</v>
      </c>
      <c r="H675">
        <v>1</v>
      </c>
      <c r="I675" t="s">
        <v>662</v>
      </c>
      <c r="J675" t="s">
        <v>663</v>
      </c>
      <c r="K675" t="s">
        <v>647</v>
      </c>
      <c r="L675" t="s">
        <v>664</v>
      </c>
      <c r="M675" t="s">
        <v>664</v>
      </c>
    </row>
    <row r="676" spans="1:13" hidden="1" x14ac:dyDescent="0.2">
      <c r="A676" s="10" t="s">
        <v>558</v>
      </c>
      <c r="B676" t="s">
        <v>53</v>
      </c>
      <c r="C676" t="s">
        <v>658</v>
      </c>
      <c r="D676" t="s">
        <v>659</v>
      </c>
      <c r="E676" s="10" t="b">
        <f>IF(ISERROR(VLOOKUP( LEFT(B676, LEN(B676) - IF(ISNUMBER(RIGHT(B676, 1) * 1), 1, 0)),metadata_testudines!B$1:B$60,1,FALSE)),FALSE,TRUE)</f>
        <v>1</v>
      </c>
      <c r="F676" t="s">
        <v>660</v>
      </c>
      <c r="G676" t="s">
        <v>661</v>
      </c>
      <c r="H676">
        <v>1</v>
      </c>
      <c r="I676" t="s">
        <v>662</v>
      </c>
      <c r="J676" t="s">
        <v>663</v>
      </c>
      <c r="K676" t="s">
        <v>647</v>
      </c>
      <c r="L676" t="s">
        <v>664</v>
      </c>
      <c r="M676" t="s">
        <v>664</v>
      </c>
    </row>
    <row r="677" spans="1:13" hidden="1" x14ac:dyDescent="0.2">
      <c r="A677" s="10" t="s">
        <v>558</v>
      </c>
      <c r="B677" t="s">
        <v>53</v>
      </c>
      <c r="C677" t="s">
        <v>658</v>
      </c>
      <c r="D677" t="s">
        <v>659</v>
      </c>
      <c r="E677" s="10" t="b">
        <f>IF(ISERROR(VLOOKUP( LEFT(B677, LEN(B677) - IF(ISNUMBER(RIGHT(B677, 1) * 1), 1, 0)),metadata_testudines!B$1:B$60,1,FALSE)),FALSE,TRUE)</f>
        <v>1</v>
      </c>
      <c r="F677" t="s">
        <v>660</v>
      </c>
      <c r="G677" t="s">
        <v>679</v>
      </c>
      <c r="H677">
        <v>1</v>
      </c>
      <c r="I677" t="s">
        <v>662</v>
      </c>
      <c r="J677" t="s">
        <v>680</v>
      </c>
      <c r="K677" t="s">
        <v>647</v>
      </c>
      <c r="L677" t="s">
        <v>664</v>
      </c>
      <c r="M677" t="s">
        <v>664</v>
      </c>
    </row>
    <row r="678" spans="1:13" hidden="1" x14ac:dyDescent="0.2">
      <c r="A678" s="10" t="s">
        <v>558</v>
      </c>
      <c r="B678" t="s">
        <v>53</v>
      </c>
      <c r="C678" t="s">
        <v>658</v>
      </c>
      <c r="D678" t="s">
        <v>659</v>
      </c>
      <c r="E678" s="10" t="b">
        <f>IF(ISERROR(VLOOKUP( LEFT(B678, LEN(B678) - IF(ISNUMBER(RIGHT(B678, 1) * 1), 1, 0)),metadata_testudines!B$1:B$60,1,FALSE)),FALSE,TRUE)</f>
        <v>1</v>
      </c>
      <c r="F678" t="s">
        <v>660</v>
      </c>
      <c r="G678" t="s">
        <v>665</v>
      </c>
      <c r="H678">
        <v>1</v>
      </c>
      <c r="I678" t="s">
        <v>662</v>
      </c>
      <c r="J678" t="s">
        <v>663</v>
      </c>
      <c r="K678" t="s">
        <v>647</v>
      </c>
      <c r="L678" t="s">
        <v>664</v>
      </c>
      <c r="M678" t="s">
        <v>664</v>
      </c>
    </row>
    <row r="679" spans="1:13" hidden="1" x14ac:dyDescent="0.2">
      <c r="A679" s="10" t="s">
        <v>558</v>
      </c>
      <c r="B679" t="s">
        <v>53</v>
      </c>
      <c r="C679" t="s">
        <v>658</v>
      </c>
      <c r="D679" t="s">
        <v>659</v>
      </c>
      <c r="E679" s="10" t="b">
        <f>IF(ISERROR(VLOOKUP( LEFT(B679, LEN(B679) - IF(ISNUMBER(RIGHT(B679, 1) * 1), 1, 0)),metadata_testudines!B$1:B$60,1,FALSE)),FALSE,TRUE)</f>
        <v>1</v>
      </c>
      <c r="F679" t="s">
        <v>660</v>
      </c>
      <c r="G679" t="s">
        <v>666</v>
      </c>
      <c r="H679">
        <v>25.9</v>
      </c>
      <c r="I679" t="s">
        <v>667</v>
      </c>
      <c r="J679" t="s">
        <v>668</v>
      </c>
      <c r="K679" t="s">
        <v>647</v>
      </c>
      <c r="L679" t="s">
        <v>664</v>
      </c>
      <c r="M679" t="s">
        <v>664</v>
      </c>
    </row>
    <row r="680" spans="1:13" hidden="1" x14ac:dyDescent="0.2">
      <c r="A680" s="10" t="s">
        <v>558</v>
      </c>
      <c r="B680" t="s">
        <v>53</v>
      </c>
      <c r="C680" t="s">
        <v>658</v>
      </c>
      <c r="D680" t="s">
        <v>659</v>
      </c>
      <c r="E680" s="10" t="b">
        <f>IF(ISERROR(VLOOKUP( LEFT(B680, LEN(B680) - IF(ISNUMBER(RIGHT(B680, 1) * 1), 1, 0)),metadata_testudines!B$1:B$60,1,FALSE)),FALSE,TRUE)</f>
        <v>1</v>
      </c>
      <c r="F680" t="s">
        <v>660</v>
      </c>
      <c r="G680" t="s">
        <v>661</v>
      </c>
      <c r="H680">
        <v>1</v>
      </c>
      <c r="I680" t="s">
        <v>662</v>
      </c>
      <c r="J680" t="s">
        <v>663</v>
      </c>
      <c r="K680" t="s">
        <v>647</v>
      </c>
      <c r="L680" t="s">
        <v>664</v>
      </c>
      <c r="M680" t="s">
        <v>664</v>
      </c>
    </row>
    <row r="681" spans="1:13" hidden="1" x14ac:dyDescent="0.2">
      <c r="A681" s="10" t="s">
        <v>558</v>
      </c>
      <c r="B681" t="s">
        <v>53</v>
      </c>
      <c r="C681" t="s">
        <v>658</v>
      </c>
      <c r="D681" t="s">
        <v>659</v>
      </c>
      <c r="E681" s="10" t="b">
        <f>IF(ISERROR(VLOOKUP( LEFT(B681, LEN(B681) - IF(ISNUMBER(RIGHT(B681, 1) * 1), 1, 0)),metadata_testudines!B$1:B$60,1,FALSE)),FALSE,TRUE)</f>
        <v>1</v>
      </c>
      <c r="F681" t="s">
        <v>660</v>
      </c>
      <c r="G681" t="s">
        <v>665</v>
      </c>
      <c r="H681">
        <v>1</v>
      </c>
      <c r="I681" t="s">
        <v>662</v>
      </c>
      <c r="J681" t="s">
        <v>663</v>
      </c>
      <c r="K681" t="s">
        <v>647</v>
      </c>
      <c r="L681" t="s">
        <v>664</v>
      </c>
      <c r="M681" t="s">
        <v>664</v>
      </c>
    </row>
    <row r="682" spans="1:13" hidden="1" x14ac:dyDescent="0.2">
      <c r="A682" s="10" t="s">
        <v>558</v>
      </c>
      <c r="B682" t="s">
        <v>53</v>
      </c>
      <c r="C682" t="s">
        <v>658</v>
      </c>
      <c r="D682" t="s">
        <v>659</v>
      </c>
      <c r="E682" s="10" t="b">
        <f>IF(ISERROR(VLOOKUP( LEFT(B682, LEN(B682) - IF(ISNUMBER(RIGHT(B682, 1) * 1), 1, 0)),metadata_testudines!B$1:B$60,1,FALSE)),FALSE,TRUE)</f>
        <v>1</v>
      </c>
      <c r="F682" t="s">
        <v>660</v>
      </c>
      <c r="G682" t="s">
        <v>661</v>
      </c>
      <c r="H682">
        <v>2</v>
      </c>
      <c r="I682" t="s">
        <v>662</v>
      </c>
      <c r="J682" t="s">
        <v>663</v>
      </c>
      <c r="K682" t="s">
        <v>647</v>
      </c>
      <c r="L682" t="s">
        <v>664</v>
      </c>
      <c r="M682" t="s">
        <v>664</v>
      </c>
    </row>
    <row r="683" spans="1:13" hidden="1" x14ac:dyDescent="0.2">
      <c r="A683" s="10" t="s">
        <v>558</v>
      </c>
      <c r="B683" t="s">
        <v>53</v>
      </c>
      <c r="C683" t="s">
        <v>658</v>
      </c>
      <c r="D683" t="s">
        <v>659</v>
      </c>
      <c r="E683" s="10" t="b">
        <f>IF(ISERROR(VLOOKUP( LEFT(B683, LEN(B683) - IF(ISNUMBER(RIGHT(B683, 1) * 1), 1, 0)),metadata_testudines!B$1:B$60,1,FALSE)),FALSE,TRUE)</f>
        <v>1</v>
      </c>
      <c r="F683" t="s">
        <v>660</v>
      </c>
      <c r="G683" t="s">
        <v>666</v>
      </c>
      <c r="H683">
        <v>25.9</v>
      </c>
      <c r="I683" t="s">
        <v>667</v>
      </c>
      <c r="J683" t="s">
        <v>668</v>
      </c>
      <c r="K683" t="s">
        <v>647</v>
      </c>
      <c r="L683" t="s">
        <v>664</v>
      </c>
      <c r="M683" t="s">
        <v>664</v>
      </c>
    </row>
    <row r="684" spans="1:13" hidden="1" x14ac:dyDescent="0.2">
      <c r="A684" s="10" t="s">
        <v>558</v>
      </c>
      <c r="B684" t="s">
        <v>183</v>
      </c>
      <c r="C684" t="s">
        <v>658</v>
      </c>
      <c r="D684" t="s">
        <v>659</v>
      </c>
      <c r="E684" s="10" t="b">
        <f>IF(ISERROR(VLOOKUP( LEFT(B684, LEN(B684) - IF(ISNUMBER(RIGHT(B684, 1) * 1), 1, 0)),metadata_testudines!B$1:B$60,1,FALSE)),FALSE,TRUE)</f>
        <v>0</v>
      </c>
      <c r="F684" t="s">
        <v>660</v>
      </c>
      <c r="G684" t="s">
        <v>665</v>
      </c>
      <c r="H684">
        <v>1</v>
      </c>
      <c r="I684" t="s">
        <v>662</v>
      </c>
      <c r="J684" t="s">
        <v>663</v>
      </c>
      <c r="K684" t="s">
        <v>647</v>
      </c>
      <c r="L684" t="s">
        <v>664</v>
      </c>
      <c r="M684" t="s">
        <v>664</v>
      </c>
    </row>
    <row r="685" spans="1:13" hidden="1" x14ac:dyDescent="0.2">
      <c r="A685" s="10" t="s">
        <v>558</v>
      </c>
      <c r="B685" t="s">
        <v>183</v>
      </c>
      <c r="C685" t="s">
        <v>658</v>
      </c>
      <c r="D685" t="s">
        <v>659</v>
      </c>
      <c r="E685" s="10" t="b">
        <f>IF(ISERROR(VLOOKUP( LEFT(B685, LEN(B685) - IF(ISNUMBER(RIGHT(B685, 1) * 1), 1, 0)),metadata_testudines!B$1:B$60,1,FALSE)),FALSE,TRUE)</f>
        <v>0</v>
      </c>
      <c r="F685" t="s">
        <v>660</v>
      </c>
      <c r="G685" t="s">
        <v>661</v>
      </c>
      <c r="H685">
        <v>23</v>
      </c>
      <c r="I685" t="s">
        <v>662</v>
      </c>
      <c r="J685" t="s">
        <v>663</v>
      </c>
      <c r="K685" t="s">
        <v>647</v>
      </c>
      <c r="L685" t="s">
        <v>664</v>
      </c>
      <c r="M685" t="s">
        <v>664</v>
      </c>
    </row>
    <row r="686" spans="1:13" hidden="1" x14ac:dyDescent="0.2">
      <c r="A686" s="10" t="s">
        <v>558</v>
      </c>
      <c r="B686" t="s">
        <v>183</v>
      </c>
      <c r="C686" t="s">
        <v>658</v>
      </c>
      <c r="D686" t="s">
        <v>659</v>
      </c>
      <c r="E686" s="10" t="b">
        <f>IF(ISERROR(VLOOKUP( LEFT(B686, LEN(B686) - IF(ISNUMBER(RIGHT(B686, 1) * 1), 1, 0)),metadata_testudines!B$1:B$60,1,FALSE)),FALSE,TRUE)</f>
        <v>0</v>
      </c>
      <c r="F686" t="s">
        <v>660</v>
      </c>
      <c r="G686" t="s">
        <v>666</v>
      </c>
      <c r="H686">
        <v>19.899999999999999</v>
      </c>
      <c r="I686" t="s">
        <v>667</v>
      </c>
      <c r="J686" t="s">
        <v>668</v>
      </c>
      <c r="K686" t="s">
        <v>647</v>
      </c>
      <c r="L686" t="s">
        <v>664</v>
      </c>
      <c r="M686" t="s">
        <v>664</v>
      </c>
    </row>
    <row r="687" spans="1:13" hidden="1" x14ac:dyDescent="0.2">
      <c r="A687" s="10" t="s">
        <v>558</v>
      </c>
      <c r="B687" t="s">
        <v>183</v>
      </c>
      <c r="C687" t="s">
        <v>658</v>
      </c>
      <c r="D687" t="s">
        <v>659</v>
      </c>
      <c r="E687" s="10" t="b">
        <f>IF(ISERROR(VLOOKUP( LEFT(B687, LEN(B687) - IF(ISNUMBER(RIGHT(B687, 1) * 1), 1, 0)),metadata_testudines!B$1:B$60,1,FALSE)),FALSE,TRUE)</f>
        <v>0</v>
      </c>
      <c r="F687" t="s">
        <v>660</v>
      </c>
      <c r="G687" t="s">
        <v>661</v>
      </c>
      <c r="H687">
        <v>39</v>
      </c>
      <c r="I687" t="s">
        <v>662</v>
      </c>
      <c r="J687" t="s">
        <v>663</v>
      </c>
      <c r="K687" t="s">
        <v>647</v>
      </c>
      <c r="L687" t="s">
        <v>664</v>
      </c>
      <c r="M687" t="s">
        <v>664</v>
      </c>
    </row>
    <row r="688" spans="1:13" hidden="1" x14ac:dyDescent="0.2">
      <c r="A688" s="10" t="s">
        <v>558</v>
      </c>
      <c r="B688" t="s">
        <v>183</v>
      </c>
      <c r="C688" t="s">
        <v>658</v>
      </c>
      <c r="D688" t="s">
        <v>659</v>
      </c>
      <c r="E688" s="10" t="b">
        <f>IF(ISERROR(VLOOKUP( LEFT(B688, LEN(B688) - IF(ISNUMBER(RIGHT(B688, 1) * 1), 1, 0)),metadata_testudines!B$1:B$60,1,FALSE)),FALSE,TRUE)</f>
        <v>0</v>
      </c>
      <c r="F688" t="s">
        <v>660</v>
      </c>
      <c r="G688" t="s">
        <v>661</v>
      </c>
      <c r="H688">
        <v>40.333333330000002</v>
      </c>
      <c r="I688" t="s">
        <v>662</v>
      </c>
      <c r="J688" t="s">
        <v>663</v>
      </c>
      <c r="K688" t="s">
        <v>647</v>
      </c>
      <c r="L688" t="s">
        <v>664</v>
      </c>
      <c r="M688" t="s">
        <v>664</v>
      </c>
    </row>
    <row r="689" spans="1:13" hidden="1" x14ac:dyDescent="0.2">
      <c r="A689" s="10" t="s">
        <v>558</v>
      </c>
      <c r="B689" t="s">
        <v>183</v>
      </c>
      <c r="C689" t="s">
        <v>658</v>
      </c>
      <c r="D689" t="s">
        <v>659</v>
      </c>
      <c r="E689" s="10" t="b">
        <f>IF(ISERROR(VLOOKUP( LEFT(B689, LEN(B689) - IF(ISNUMBER(RIGHT(B689, 1) * 1), 1, 0)),metadata_testudines!B$1:B$60,1,FALSE)),FALSE,TRUE)</f>
        <v>0</v>
      </c>
      <c r="F689" t="s">
        <v>660</v>
      </c>
      <c r="G689" t="s">
        <v>661</v>
      </c>
      <c r="H689">
        <v>8</v>
      </c>
      <c r="I689" t="s">
        <v>662</v>
      </c>
      <c r="J689" t="s">
        <v>663</v>
      </c>
      <c r="K689" t="s">
        <v>647</v>
      </c>
      <c r="L689" t="s">
        <v>664</v>
      </c>
      <c r="M689" t="s">
        <v>664</v>
      </c>
    </row>
    <row r="690" spans="1:13" hidden="1" x14ac:dyDescent="0.2">
      <c r="A690" s="10" t="s">
        <v>558</v>
      </c>
      <c r="B690" t="s">
        <v>183</v>
      </c>
      <c r="C690" t="s">
        <v>658</v>
      </c>
      <c r="D690" t="s">
        <v>659</v>
      </c>
      <c r="E690" s="10" t="b">
        <f>IF(ISERROR(VLOOKUP( LEFT(B690, LEN(B690) - IF(ISNUMBER(RIGHT(B690, 1) * 1), 1, 0)),metadata_testudines!B$1:B$60,1,FALSE)),FALSE,TRUE)</f>
        <v>0</v>
      </c>
      <c r="F690" t="s">
        <v>660</v>
      </c>
      <c r="G690" t="s">
        <v>666</v>
      </c>
      <c r="H690">
        <v>150</v>
      </c>
      <c r="I690" t="s">
        <v>667</v>
      </c>
      <c r="J690" t="s">
        <v>668</v>
      </c>
      <c r="K690" t="s">
        <v>647</v>
      </c>
      <c r="L690" t="s">
        <v>664</v>
      </c>
      <c r="M690" t="s">
        <v>664</v>
      </c>
    </row>
    <row r="691" spans="1:13" hidden="1" x14ac:dyDescent="0.2">
      <c r="A691" s="10" t="s">
        <v>558</v>
      </c>
      <c r="B691" t="s">
        <v>183</v>
      </c>
      <c r="C691" t="s">
        <v>658</v>
      </c>
      <c r="D691" t="s">
        <v>659</v>
      </c>
      <c r="E691" s="10" t="b">
        <f>IF(ISERROR(VLOOKUP( LEFT(B691, LEN(B691) - IF(ISNUMBER(RIGHT(B691, 1) * 1), 1, 0)),metadata_testudines!B$1:B$60,1,FALSE)),FALSE,TRUE)</f>
        <v>0</v>
      </c>
      <c r="F691" t="s">
        <v>660</v>
      </c>
      <c r="G691" t="s">
        <v>661</v>
      </c>
      <c r="H691">
        <v>42</v>
      </c>
      <c r="I691" t="s">
        <v>662</v>
      </c>
      <c r="J691" t="s">
        <v>663</v>
      </c>
      <c r="K691" t="s">
        <v>647</v>
      </c>
      <c r="L691" t="s">
        <v>664</v>
      </c>
      <c r="M691" t="s">
        <v>664</v>
      </c>
    </row>
    <row r="692" spans="1:13" hidden="1" x14ac:dyDescent="0.2">
      <c r="A692" s="10" t="s">
        <v>558</v>
      </c>
      <c r="B692" t="s">
        <v>183</v>
      </c>
      <c r="C692" t="s">
        <v>658</v>
      </c>
      <c r="D692" t="s">
        <v>659</v>
      </c>
      <c r="E692" s="10" t="b">
        <f>IF(ISERROR(VLOOKUP( LEFT(B692, LEN(B692) - IF(ISNUMBER(RIGHT(B692, 1) * 1), 1, 0)),metadata_testudines!B$1:B$60,1,FALSE)),FALSE,TRUE)</f>
        <v>0</v>
      </c>
      <c r="F692" t="s">
        <v>660</v>
      </c>
      <c r="G692" t="s">
        <v>661</v>
      </c>
      <c r="H692">
        <v>5</v>
      </c>
      <c r="I692" t="s">
        <v>662</v>
      </c>
      <c r="J692" t="s">
        <v>663</v>
      </c>
      <c r="K692" t="s">
        <v>647</v>
      </c>
      <c r="L692" t="s">
        <v>664</v>
      </c>
      <c r="M692" t="s">
        <v>664</v>
      </c>
    </row>
    <row r="693" spans="1:13" hidden="1" x14ac:dyDescent="0.2">
      <c r="A693" s="10" t="s">
        <v>558</v>
      </c>
      <c r="B693" t="s">
        <v>183</v>
      </c>
      <c r="C693" t="s">
        <v>658</v>
      </c>
      <c r="D693" t="s">
        <v>659</v>
      </c>
      <c r="E693" s="10" t="b">
        <f>IF(ISERROR(VLOOKUP( LEFT(B693, LEN(B693) - IF(ISNUMBER(RIGHT(B693, 1) * 1), 1, 0)),metadata_testudines!B$1:B$60,1,FALSE)),FALSE,TRUE)</f>
        <v>0</v>
      </c>
      <c r="F693" t="s">
        <v>660</v>
      </c>
      <c r="G693" t="s">
        <v>661</v>
      </c>
      <c r="H693">
        <v>51</v>
      </c>
      <c r="I693" t="s">
        <v>662</v>
      </c>
      <c r="J693" t="s">
        <v>663</v>
      </c>
      <c r="K693" t="s">
        <v>647</v>
      </c>
      <c r="L693" t="s">
        <v>664</v>
      </c>
      <c r="M693" t="s">
        <v>664</v>
      </c>
    </row>
    <row r="694" spans="1:13" hidden="1" x14ac:dyDescent="0.2">
      <c r="A694" s="10" t="s">
        <v>558</v>
      </c>
      <c r="B694" t="s">
        <v>183</v>
      </c>
      <c r="C694" t="s">
        <v>658</v>
      </c>
      <c r="D694" t="s">
        <v>659</v>
      </c>
      <c r="E694" s="10" t="b">
        <f>IF(ISERROR(VLOOKUP( LEFT(B694, LEN(B694) - IF(ISNUMBER(RIGHT(B694, 1) * 1), 1, 0)),metadata_testudines!B$1:B$60,1,FALSE)),FALSE,TRUE)</f>
        <v>0</v>
      </c>
      <c r="F694" t="s">
        <v>660</v>
      </c>
      <c r="G694" t="s">
        <v>661</v>
      </c>
      <c r="H694">
        <v>23</v>
      </c>
      <c r="I694" t="s">
        <v>662</v>
      </c>
      <c r="J694" t="s">
        <v>663</v>
      </c>
      <c r="K694" t="s">
        <v>647</v>
      </c>
      <c r="L694" t="s">
        <v>664</v>
      </c>
      <c r="M694" t="s">
        <v>664</v>
      </c>
    </row>
    <row r="695" spans="1:13" hidden="1" x14ac:dyDescent="0.2">
      <c r="A695" s="10" t="s">
        <v>558</v>
      </c>
      <c r="B695" t="s">
        <v>183</v>
      </c>
      <c r="C695" t="s">
        <v>658</v>
      </c>
      <c r="D695" t="s">
        <v>659</v>
      </c>
      <c r="E695" s="10" t="b">
        <f>IF(ISERROR(VLOOKUP( LEFT(B695, LEN(B695) - IF(ISNUMBER(RIGHT(B695, 1) * 1), 1, 0)),metadata_testudines!B$1:B$60,1,FALSE)),FALSE,TRUE)</f>
        <v>0</v>
      </c>
      <c r="F695" t="s">
        <v>660</v>
      </c>
      <c r="G695" t="s">
        <v>666</v>
      </c>
      <c r="H695">
        <v>150</v>
      </c>
      <c r="I695" t="s">
        <v>667</v>
      </c>
      <c r="J695" t="s">
        <v>668</v>
      </c>
      <c r="K695" t="s">
        <v>647</v>
      </c>
      <c r="L695" t="s">
        <v>664</v>
      </c>
      <c r="M695" t="s">
        <v>664</v>
      </c>
    </row>
    <row r="696" spans="1:13" hidden="1" x14ac:dyDescent="0.2">
      <c r="A696" s="10" t="s">
        <v>558</v>
      </c>
      <c r="B696" t="s">
        <v>183</v>
      </c>
      <c r="C696" t="s">
        <v>658</v>
      </c>
      <c r="D696" t="s">
        <v>659</v>
      </c>
      <c r="E696" s="10" t="b">
        <f>IF(ISERROR(VLOOKUP( LEFT(B696, LEN(B696) - IF(ISNUMBER(RIGHT(B696, 1) * 1), 1, 0)),metadata_testudines!B$1:B$60,1,FALSE)),FALSE,TRUE)</f>
        <v>0</v>
      </c>
      <c r="F696" t="s">
        <v>660</v>
      </c>
      <c r="G696" t="s">
        <v>661</v>
      </c>
      <c r="H696">
        <v>39</v>
      </c>
      <c r="I696" t="s">
        <v>662</v>
      </c>
      <c r="J696" t="s">
        <v>663</v>
      </c>
      <c r="K696" t="s">
        <v>647</v>
      </c>
      <c r="L696" t="s">
        <v>664</v>
      </c>
      <c r="M696" t="s">
        <v>664</v>
      </c>
    </row>
    <row r="697" spans="1:13" hidden="1" x14ac:dyDescent="0.2">
      <c r="A697" s="10" t="s">
        <v>558</v>
      </c>
      <c r="B697" t="s">
        <v>183</v>
      </c>
      <c r="C697" t="s">
        <v>658</v>
      </c>
      <c r="D697" t="s">
        <v>659</v>
      </c>
      <c r="E697" s="10" t="b">
        <f>IF(ISERROR(VLOOKUP( LEFT(B697, LEN(B697) - IF(ISNUMBER(RIGHT(B697, 1) * 1), 1, 0)),metadata_testudines!B$1:B$60,1,FALSE)),FALSE,TRUE)</f>
        <v>0</v>
      </c>
      <c r="F697" t="s">
        <v>671</v>
      </c>
      <c r="G697" t="s">
        <v>672</v>
      </c>
      <c r="H697">
        <v>19.899999999999999</v>
      </c>
      <c r="I697" t="s">
        <v>667</v>
      </c>
      <c r="J697" t="s">
        <v>668</v>
      </c>
      <c r="K697" t="s">
        <v>673</v>
      </c>
      <c r="L697" t="s">
        <v>664</v>
      </c>
      <c r="M697" t="s">
        <v>678</v>
      </c>
    </row>
    <row r="698" spans="1:13" hidden="1" x14ac:dyDescent="0.2">
      <c r="A698" s="10" t="s">
        <v>558</v>
      </c>
      <c r="B698" t="s">
        <v>183</v>
      </c>
      <c r="C698" t="s">
        <v>658</v>
      </c>
      <c r="D698" t="s">
        <v>659</v>
      </c>
      <c r="E698" s="10" t="b">
        <f>IF(ISERROR(VLOOKUP( LEFT(B698, LEN(B698) - IF(ISNUMBER(RIGHT(B698, 1) * 1), 1, 0)),metadata_testudines!B$1:B$60,1,FALSE)),FALSE,TRUE)</f>
        <v>0</v>
      </c>
      <c r="F698" t="s">
        <v>660</v>
      </c>
      <c r="G698" t="s">
        <v>661</v>
      </c>
      <c r="H698">
        <v>51</v>
      </c>
      <c r="I698" t="s">
        <v>662</v>
      </c>
      <c r="J698" t="s">
        <v>663</v>
      </c>
      <c r="K698" t="s">
        <v>647</v>
      </c>
      <c r="L698" t="s">
        <v>664</v>
      </c>
      <c r="M698" t="s">
        <v>664</v>
      </c>
    </row>
    <row r="699" spans="1:13" hidden="1" x14ac:dyDescent="0.2">
      <c r="A699" s="10" t="s">
        <v>558</v>
      </c>
      <c r="B699" t="s">
        <v>183</v>
      </c>
      <c r="C699" t="s">
        <v>658</v>
      </c>
      <c r="D699" t="s">
        <v>659</v>
      </c>
      <c r="E699" s="10" t="b">
        <f>IF(ISERROR(VLOOKUP( LEFT(B699, LEN(B699) - IF(ISNUMBER(RIGHT(B699, 1) * 1), 1, 0)),metadata_testudines!B$1:B$60,1,FALSE)),FALSE,TRUE)</f>
        <v>0</v>
      </c>
      <c r="F699" t="s">
        <v>660</v>
      </c>
      <c r="G699" t="s">
        <v>661</v>
      </c>
      <c r="H699">
        <v>39</v>
      </c>
      <c r="I699" t="s">
        <v>662</v>
      </c>
      <c r="J699" t="s">
        <v>663</v>
      </c>
      <c r="K699" t="s">
        <v>647</v>
      </c>
      <c r="L699" t="s">
        <v>664</v>
      </c>
      <c r="M699" t="s">
        <v>664</v>
      </c>
    </row>
    <row r="700" spans="1:13" hidden="1" x14ac:dyDescent="0.2">
      <c r="A700" s="10" t="s">
        <v>558</v>
      </c>
      <c r="B700" t="s">
        <v>208</v>
      </c>
      <c r="C700" t="s">
        <v>658</v>
      </c>
      <c r="D700" t="s">
        <v>659</v>
      </c>
      <c r="E700" s="10" t="b">
        <f>IF(ISERROR(VLOOKUP( LEFT(B700, LEN(B700) - IF(ISNUMBER(RIGHT(B700, 1) * 1), 1, 0)),metadata_testudines!B$1:B$60,1,FALSE)),FALSE,TRUE)</f>
        <v>0</v>
      </c>
      <c r="F700" t="s">
        <v>660</v>
      </c>
      <c r="G700" t="s">
        <v>661</v>
      </c>
      <c r="H700">
        <v>17</v>
      </c>
      <c r="I700" t="s">
        <v>662</v>
      </c>
      <c r="J700" t="s">
        <v>663</v>
      </c>
      <c r="K700" t="s">
        <v>647</v>
      </c>
      <c r="L700" t="s">
        <v>664</v>
      </c>
      <c r="M700" t="s">
        <v>664</v>
      </c>
    </row>
    <row r="701" spans="1:13" hidden="1" x14ac:dyDescent="0.2">
      <c r="A701" s="10" t="s">
        <v>558</v>
      </c>
      <c r="B701" t="s">
        <v>208</v>
      </c>
      <c r="C701" t="s">
        <v>658</v>
      </c>
      <c r="D701" t="s">
        <v>659</v>
      </c>
      <c r="E701" s="10" t="b">
        <f>IF(ISERROR(VLOOKUP( LEFT(B701, LEN(B701) - IF(ISNUMBER(RIGHT(B701, 1) * 1), 1, 0)),metadata_testudines!B$1:B$60,1,FALSE)),FALSE,TRUE)</f>
        <v>0</v>
      </c>
      <c r="F701" t="s">
        <v>660</v>
      </c>
      <c r="G701" t="s">
        <v>661</v>
      </c>
      <c r="H701">
        <v>8</v>
      </c>
      <c r="I701" t="s">
        <v>662</v>
      </c>
      <c r="J701" t="s">
        <v>663</v>
      </c>
      <c r="K701" t="s">
        <v>647</v>
      </c>
      <c r="L701" t="s">
        <v>664</v>
      </c>
      <c r="M701" t="s">
        <v>664</v>
      </c>
    </row>
    <row r="702" spans="1:13" hidden="1" x14ac:dyDescent="0.2">
      <c r="A702" s="10" t="s">
        <v>558</v>
      </c>
      <c r="B702" t="s">
        <v>208</v>
      </c>
      <c r="C702" t="s">
        <v>658</v>
      </c>
      <c r="D702" t="s">
        <v>659</v>
      </c>
      <c r="E702" s="10" t="b">
        <f>IF(ISERROR(VLOOKUP( LEFT(B702, LEN(B702) - IF(ISNUMBER(RIGHT(B702, 1) * 1), 1, 0)),metadata_testudines!B$1:B$60,1,FALSE)),FALSE,TRUE)</f>
        <v>0</v>
      </c>
      <c r="F702" t="s">
        <v>660</v>
      </c>
      <c r="G702" t="s">
        <v>661</v>
      </c>
      <c r="H702">
        <v>17</v>
      </c>
      <c r="I702" t="s">
        <v>662</v>
      </c>
      <c r="J702" t="s">
        <v>663</v>
      </c>
      <c r="K702" t="s">
        <v>647</v>
      </c>
      <c r="L702" t="s">
        <v>664</v>
      </c>
      <c r="M702" t="s">
        <v>664</v>
      </c>
    </row>
    <row r="703" spans="1:13" hidden="1" x14ac:dyDescent="0.2">
      <c r="A703" s="10" t="s">
        <v>558</v>
      </c>
      <c r="B703" t="s">
        <v>208</v>
      </c>
      <c r="C703" t="s">
        <v>658</v>
      </c>
      <c r="D703" t="s">
        <v>659</v>
      </c>
      <c r="E703" s="10" t="b">
        <f>IF(ISERROR(VLOOKUP( LEFT(B703, LEN(B703) - IF(ISNUMBER(RIGHT(B703, 1) * 1), 1, 0)),metadata_testudines!B$1:B$60,1,FALSE)),FALSE,TRUE)</f>
        <v>0</v>
      </c>
      <c r="F703" t="s">
        <v>660</v>
      </c>
      <c r="G703" t="s">
        <v>661</v>
      </c>
      <c r="H703">
        <v>10</v>
      </c>
      <c r="I703" t="s">
        <v>662</v>
      </c>
      <c r="J703" t="s">
        <v>663</v>
      </c>
      <c r="K703" t="s">
        <v>647</v>
      </c>
      <c r="L703" t="s">
        <v>664</v>
      </c>
      <c r="M703" t="s">
        <v>664</v>
      </c>
    </row>
    <row r="704" spans="1:13" hidden="1" x14ac:dyDescent="0.2">
      <c r="A704" s="10" t="s">
        <v>558</v>
      </c>
      <c r="B704" t="s">
        <v>209</v>
      </c>
      <c r="C704" t="s">
        <v>658</v>
      </c>
      <c r="D704" t="s">
        <v>659</v>
      </c>
      <c r="E704" s="10" t="b">
        <f>IF(ISERROR(VLOOKUP( LEFT(B704, LEN(B704) - IF(ISNUMBER(RIGHT(B704, 1) * 1), 1, 0)),metadata_testudines!B$1:B$60,1,FALSE)),FALSE,TRUE)</f>
        <v>0</v>
      </c>
      <c r="F704" t="s">
        <v>660</v>
      </c>
      <c r="G704" t="s">
        <v>661</v>
      </c>
      <c r="H704">
        <v>5</v>
      </c>
      <c r="I704" t="s">
        <v>662</v>
      </c>
      <c r="J704" t="s">
        <v>663</v>
      </c>
      <c r="K704" t="s">
        <v>647</v>
      </c>
      <c r="L704" t="s">
        <v>664</v>
      </c>
      <c r="M704" t="s">
        <v>664</v>
      </c>
    </row>
    <row r="705" spans="1:13" hidden="1" x14ac:dyDescent="0.2">
      <c r="A705" s="10" t="s">
        <v>558</v>
      </c>
      <c r="B705" t="s">
        <v>209</v>
      </c>
      <c r="C705" t="s">
        <v>658</v>
      </c>
      <c r="D705" t="s">
        <v>659</v>
      </c>
      <c r="E705" s="10" t="b">
        <f>IF(ISERROR(VLOOKUP( LEFT(B705, LEN(B705) - IF(ISNUMBER(RIGHT(B705, 1) * 1), 1, 0)),metadata_testudines!B$1:B$60,1,FALSE)),FALSE,TRUE)</f>
        <v>0</v>
      </c>
      <c r="F705" t="s">
        <v>660</v>
      </c>
      <c r="G705" t="s">
        <v>665</v>
      </c>
      <c r="H705">
        <v>3</v>
      </c>
      <c r="I705" t="s">
        <v>662</v>
      </c>
      <c r="J705" t="s">
        <v>663</v>
      </c>
      <c r="K705" t="s">
        <v>647</v>
      </c>
      <c r="L705" t="s">
        <v>664</v>
      </c>
      <c r="M705" t="s">
        <v>664</v>
      </c>
    </row>
    <row r="706" spans="1:13" hidden="1" x14ac:dyDescent="0.2">
      <c r="A706" s="10" t="s">
        <v>558</v>
      </c>
      <c r="B706" t="s">
        <v>209</v>
      </c>
      <c r="C706" t="s">
        <v>658</v>
      </c>
      <c r="D706" t="s">
        <v>659</v>
      </c>
      <c r="E706" s="10" t="b">
        <f>IF(ISERROR(VLOOKUP( LEFT(B706, LEN(B706) - IF(ISNUMBER(RIGHT(B706, 1) * 1), 1, 0)),metadata_testudines!B$1:B$60,1,FALSE)),FALSE,TRUE)</f>
        <v>0</v>
      </c>
      <c r="F706" t="s">
        <v>660</v>
      </c>
      <c r="G706" t="s">
        <v>666</v>
      </c>
      <c r="H706">
        <v>30</v>
      </c>
      <c r="I706" t="s">
        <v>667</v>
      </c>
      <c r="J706" t="s">
        <v>668</v>
      </c>
      <c r="K706" t="s">
        <v>647</v>
      </c>
      <c r="L706" t="s">
        <v>664</v>
      </c>
      <c r="M706" t="s">
        <v>664</v>
      </c>
    </row>
    <row r="707" spans="1:13" hidden="1" x14ac:dyDescent="0.2">
      <c r="A707" s="10" t="s">
        <v>558</v>
      </c>
      <c r="B707" t="s">
        <v>209</v>
      </c>
      <c r="C707" t="s">
        <v>658</v>
      </c>
      <c r="D707" t="s">
        <v>659</v>
      </c>
      <c r="E707" s="10" t="b">
        <f>IF(ISERROR(VLOOKUP( LEFT(B707, LEN(B707) - IF(ISNUMBER(RIGHT(B707, 1) * 1), 1, 0)),metadata_testudines!B$1:B$60,1,FALSE)),FALSE,TRUE)</f>
        <v>0</v>
      </c>
      <c r="F707" t="s">
        <v>686</v>
      </c>
      <c r="G707" t="s">
        <v>689</v>
      </c>
      <c r="H707">
        <v>0.49</v>
      </c>
      <c r="I707" t="s">
        <v>667</v>
      </c>
      <c r="J707" t="s">
        <v>683</v>
      </c>
      <c r="K707" t="s">
        <v>647</v>
      </c>
      <c r="L707" t="s">
        <v>646</v>
      </c>
      <c r="M707" t="s">
        <v>664</v>
      </c>
    </row>
    <row r="708" spans="1:13" hidden="1" x14ac:dyDescent="0.2">
      <c r="A708" s="10" t="s">
        <v>558</v>
      </c>
      <c r="B708" t="s">
        <v>209</v>
      </c>
      <c r="C708" t="s">
        <v>658</v>
      </c>
      <c r="D708" t="s">
        <v>659</v>
      </c>
      <c r="E708" s="10" t="b">
        <f>IF(ISERROR(VLOOKUP( LEFT(B708, LEN(B708) - IF(ISNUMBER(RIGHT(B708, 1) * 1), 1, 0)),metadata_testudines!B$1:B$60,1,FALSE)),FALSE,TRUE)</f>
        <v>0</v>
      </c>
      <c r="F708" t="s">
        <v>660</v>
      </c>
      <c r="G708" t="s">
        <v>661</v>
      </c>
      <c r="H708">
        <v>4</v>
      </c>
      <c r="I708" t="s">
        <v>662</v>
      </c>
      <c r="J708" t="s">
        <v>663</v>
      </c>
      <c r="K708" t="s">
        <v>647</v>
      </c>
      <c r="L708" t="s">
        <v>664</v>
      </c>
      <c r="M708" t="s">
        <v>664</v>
      </c>
    </row>
    <row r="709" spans="1:13" hidden="1" x14ac:dyDescent="0.2">
      <c r="A709" s="10" t="s">
        <v>558</v>
      </c>
      <c r="B709" t="s">
        <v>209</v>
      </c>
      <c r="C709" t="s">
        <v>658</v>
      </c>
      <c r="D709" t="s">
        <v>659</v>
      </c>
      <c r="E709" s="10" t="b">
        <f>IF(ISERROR(VLOOKUP( LEFT(B709, LEN(B709) - IF(ISNUMBER(RIGHT(B709, 1) * 1), 1, 0)),metadata_testudines!B$1:B$60,1,FALSE)),FALSE,TRUE)</f>
        <v>0</v>
      </c>
      <c r="F709" t="s">
        <v>660</v>
      </c>
      <c r="G709" t="s">
        <v>666</v>
      </c>
      <c r="H709">
        <v>30</v>
      </c>
      <c r="I709" t="s">
        <v>667</v>
      </c>
      <c r="J709" t="s">
        <v>668</v>
      </c>
      <c r="K709" t="s">
        <v>647</v>
      </c>
      <c r="L709" t="s">
        <v>664</v>
      </c>
      <c r="M709" t="s">
        <v>664</v>
      </c>
    </row>
    <row r="710" spans="1:13" hidden="1" x14ac:dyDescent="0.2">
      <c r="A710" s="10" t="s">
        <v>558</v>
      </c>
      <c r="B710" t="s">
        <v>209</v>
      </c>
      <c r="C710" t="s">
        <v>658</v>
      </c>
      <c r="D710" t="s">
        <v>659</v>
      </c>
      <c r="E710" s="10" t="b">
        <f>IF(ISERROR(VLOOKUP( LEFT(B710, LEN(B710) - IF(ISNUMBER(RIGHT(B710, 1) * 1), 1, 0)),metadata_testudines!B$1:B$60,1,FALSE)),FALSE,TRUE)</f>
        <v>0</v>
      </c>
      <c r="F710" t="s">
        <v>681</v>
      </c>
      <c r="G710" t="s">
        <v>685</v>
      </c>
      <c r="H710">
        <v>0.61</v>
      </c>
      <c r="I710" t="s">
        <v>667</v>
      </c>
      <c r="J710" t="s">
        <v>683</v>
      </c>
      <c r="K710" t="s">
        <v>645</v>
      </c>
      <c r="L710" t="s">
        <v>646</v>
      </c>
      <c r="M710" t="s">
        <v>664</v>
      </c>
    </row>
    <row r="711" spans="1:13" hidden="1" x14ac:dyDescent="0.2">
      <c r="A711" s="10" t="s">
        <v>558</v>
      </c>
      <c r="B711" t="s">
        <v>209</v>
      </c>
      <c r="C711" t="s">
        <v>658</v>
      </c>
      <c r="D711" t="s">
        <v>659</v>
      </c>
      <c r="E711" s="10" t="b">
        <f>IF(ISERROR(VLOOKUP( LEFT(B711, LEN(B711) - IF(ISNUMBER(RIGHT(B711, 1) * 1), 1, 0)),metadata_testudines!B$1:B$60,1,FALSE)),FALSE,TRUE)</f>
        <v>0</v>
      </c>
      <c r="F711" t="s">
        <v>681</v>
      </c>
      <c r="G711" t="s">
        <v>685</v>
      </c>
      <c r="H711">
        <v>0.66</v>
      </c>
      <c r="I711" t="s">
        <v>667</v>
      </c>
      <c r="J711" t="s">
        <v>683</v>
      </c>
      <c r="K711" t="s">
        <v>645</v>
      </c>
      <c r="L711" t="s">
        <v>646</v>
      </c>
      <c r="M711" t="s">
        <v>664</v>
      </c>
    </row>
    <row r="712" spans="1:13" hidden="1" x14ac:dyDescent="0.2">
      <c r="A712" s="10" t="s">
        <v>558</v>
      </c>
      <c r="B712" t="s">
        <v>209</v>
      </c>
      <c r="C712" t="s">
        <v>658</v>
      </c>
      <c r="D712" t="s">
        <v>659</v>
      </c>
      <c r="E712" s="10" t="b">
        <f>IF(ISERROR(VLOOKUP( LEFT(B712, LEN(B712) - IF(ISNUMBER(RIGHT(B712, 1) * 1), 1, 0)),metadata_testudines!B$1:B$60,1,FALSE)),FALSE,TRUE)</f>
        <v>0</v>
      </c>
      <c r="F712" t="s">
        <v>660</v>
      </c>
      <c r="G712" t="s">
        <v>665</v>
      </c>
      <c r="H712">
        <v>1</v>
      </c>
      <c r="I712" t="s">
        <v>662</v>
      </c>
      <c r="J712" t="s">
        <v>663</v>
      </c>
      <c r="K712" t="s">
        <v>647</v>
      </c>
      <c r="L712" t="s">
        <v>664</v>
      </c>
      <c r="M712" t="s">
        <v>664</v>
      </c>
    </row>
    <row r="713" spans="1:13" hidden="1" x14ac:dyDescent="0.2">
      <c r="A713" s="10" t="s">
        <v>558</v>
      </c>
      <c r="B713" t="s">
        <v>209</v>
      </c>
      <c r="C713" t="s">
        <v>658</v>
      </c>
      <c r="D713" t="s">
        <v>659</v>
      </c>
      <c r="E713" s="10" t="b">
        <f>IF(ISERROR(VLOOKUP( LEFT(B713, LEN(B713) - IF(ISNUMBER(RIGHT(B713, 1) * 1), 1, 0)),metadata_testudines!B$1:B$60,1,FALSE)),FALSE,TRUE)</f>
        <v>0</v>
      </c>
      <c r="F713" t="s">
        <v>660</v>
      </c>
      <c r="G713" t="s">
        <v>665</v>
      </c>
      <c r="H713">
        <v>1</v>
      </c>
      <c r="I713" t="s">
        <v>662</v>
      </c>
      <c r="J713" t="s">
        <v>663</v>
      </c>
      <c r="K713" t="s">
        <v>647</v>
      </c>
      <c r="L713" t="s">
        <v>664</v>
      </c>
      <c r="M713" t="s">
        <v>664</v>
      </c>
    </row>
    <row r="714" spans="1:13" hidden="1" x14ac:dyDescent="0.2">
      <c r="A714" s="10" t="s">
        <v>558</v>
      </c>
      <c r="B714" t="s">
        <v>209</v>
      </c>
      <c r="C714" t="s">
        <v>658</v>
      </c>
      <c r="D714" t="s">
        <v>659</v>
      </c>
      <c r="E714" s="10" t="b">
        <f>IF(ISERROR(VLOOKUP( LEFT(B714, LEN(B714) - IF(ISNUMBER(RIGHT(B714, 1) * 1), 1, 0)),metadata_testudines!B$1:B$60,1,FALSE)),FALSE,TRUE)</f>
        <v>0</v>
      </c>
      <c r="F714" t="s">
        <v>681</v>
      </c>
      <c r="G714" t="s">
        <v>682</v>
      </c>
      <c r="H714">
        <v>0.66</v>
      </c>
      <c r="I714" t="s">
        <v>667</v>
      </c>
      <c r="J714" t="s">
        <v>683</v>
      </c>
      <c r="K714" t="s">
        <v>645</v>
      </c>
      <c r="L714" t="s">
        <v>646</v>
      </c>
      <c r="M714" t="s">
        <v>664</v>
      </c>
    </row>
    <row r="715" spans="1:13" hidden="1" x14ac:dyDescent="0.2">
      <c r="A715" s="10" t="s">
        <v>558</v>
      </c>
      <c r="B715" t="s">
        <v>209</v>
      </c>
      <c r="C715" t="s">
        <v>658</v>
      </c>
      <c r="D715" t="s">
        <v>659</v>
      </c>
      <c r="E715" s="10" t="b">
        <f>IF(ISERROR(VLOOKUP( LEFT(B715, LEN(B715) - IF(ISNUMBER(RIGHT(B715, 1) * 1), 1, 0)),metadata_testudines!B$1:B$60,1,FALSE)),FALSE,TRUE)</f>
        <v>0</v>
      </c>
      <c r="F715" t="s">
        <v>681</v>
      </c>
      <c r="G715" t="s">
        <v>682</v>
      </c>
      <c r="H715">
        <v>0.61</v>
      </c>
      <c r="I715" t="s">
        <v>667</v>
      </c>
      <c r="J715" t="s">
        <v>683</v>
      </c>
      <c r="K715" t="s">
        <v>645</v>
      </c>
      <c r="L715" t="s">
        <v>646</v>
      </c>
      <c r="M715" t="s">
        <v>664</v>
      </c>
    </row>
    <row r="716" spans="1:13" hidden="1" x14ac:dyDescent="0.2">
      <c r="A716" s="10" t="s">
        <v>558</v>
      </c>
      <c r="B716" t="s">
        <v>209</v>
      </c>
      <c r="C716" t="s">
        <v>658</v>
      </c>
      <c r="D716" t="s">
        <v>659</v>
      </c>
      <c r="E716" s="10" t="b">
        <f>IF(ISERROR(VLOOKUP( LEFT(B716, LEN(B716) - IF(ISNUMBER(RIGHT(B716, 1) * 1), 1, 0)),metadata_testudines!B$1:B$60,1,FALSE)),FALSE,TRUE)</f>
        <v>0</v>
      </c>
      <c r="F716" t="s">
        <v>681</v>
      </c>
      <c r="G716" t="s">
        <v>682</v>
      </c>
      <c r="H716">
        <v>0.61</v>
      </c>
      <c r="I716" t="s">
        <v>667</v>
      </c>
      <c r="J716" t="s">
        <v>683</v>
      </c>
      <c r="K716" t="s">
        <v>645</v>
      </c>
      <c r="L716" t="s">
        <v>646</v>
      </c>
      <c r="M716" t="s">
        <v>664</v>
      </c>
    </row>
    <row r="717" spans="1:13" hidden="1" x14ac:dyDescent="0.2">
      <c r="A717" s="10" t="s">
        <v>558</v>
      </c>
      <c r="B717" t="s">
        <v>209</v>
      </c>
      <c r="C717" t="s">
        <v>658</v>
      </c>
      <c r="D717" t="s">
        <v>659</v>
      </c>
      <c r="E717" s="10" t="b">
        <f>IF(ISERROR(VLOOKUP( LEFT(B717, LEN(B717) - IF(ISNUMBER(RIGHT(B717, 1) * 1), 1, 0)),metadata_testudines!B$1:B$60,1,FALSE)),FALSE,TRUE)</f>
        <v>0</v>
      </c>
      <c r="F717" t="s">
        <v>681</v>
      </c>
      <c r="G717" t="s">
        <v>685</v>
      </c>
      <c r="H717">
        <v>0.66</v>
      </c>
      <c r="I717" t="s">
        <v>667</v>
      </c>
      <c r="J717" t="s">
        <v>683</v>
      </c>
      <c r="K717" t="s">
        <v>645</v>
      </c>
      <c r="L717" t="s">
        <v>646</v>
      </c>
      <c r="M717" t="s">
        <v>664</v>
      </c>
    </row>
    <row r="718" spans="1:13" hidden="1" x14ac:dyDescent="0.2">
      <c r="A718" s="10" t="s">
        <v>558</v>
      </c>
      <c r="B718" t="s">
        <v>209</v>
      </c>
      <c r="C718" t="s">
        <v>658</v>
      </c>
      <c r="D718" t="s">
        <v>659</v>
      </c>
      <c r="E718" s="10" t="b">
        <f>IF(ISERROR(VLOOKUP( LEFT(B718, LEN(B718) - IF(ISNUMBER(RIGHT(B718, 1) * 1), 1, 0)),metadata_testudines!B$1:B$60,1,FALSE)),FALSE,TRUE)</f>
        <v>0</v>
      </c>
      <c r="F718" t="s">
        <v>660</v>
      </c>
      <c r="G718" t="s">
        <v>661</v>
      </c>
      <c r="H718">
        <v>3</v>
      </c>
      <c r="I718" t="s">
        <v>662</v>
      </c>
      <c r="J718" t="s">
        <v>663</v>
      </c>
      <c r="K718" t="s">
        <v>647</v>
      </c>
      <c r="L718" t="s">
        <v>664</v>
      </c>
      <c r="M718" t="s">
        <v>664</v>
      </c>
    </row>
    <row r="719" spans="1:13" hidden="1" x14ac:dyDescent="0.2">
      <c r="A719" s="10" t="s">
        <v>558</v>
      </c>
      <c r="B719" t="s">
        <v>209</v>
      </c>
      <c r="C719" t="s">
        <v>658</v>
      </c>
      <c r="D719" t="s">
        <v>659</v>
      </c>
      <c r="E719" s="10" t="b">
        <f>IF(ISERROR(VLOOKUP( LEFT(B719, LEN(B719) - IF(ISNUMBER(RIGHT(B719, 1) * 1), 1, 0)),metadata_testudines!B$1:B$60,1,FALSE)),FALSE,TRUE)</f>
        <v>0</v>
      </c>
      <c r="F719" t="s">
        <v>660</v>
      </c>
      <c r="G719" t="s">
        <v>669</v>
      </c>
      <c r="H719">
        <v>2556.75</v>
      </c>
      <c r="I719" t="s">
        <v>662</v>
      </c>
      <c r="J719" t="s">
        <v>670</v>
      </c>
      <c r="K719" t="s">
        <v>647</v>
      </c>
      <c r="L719" t="s">
        <v>647</v>
      </c>
      <c r="M719" t="s">
        <v>664</v>
      </c>
    </row>
    <row r="720" spans="1:13" hidden="1" x14ac:dyDescent="0.2">
      <c r="A720" s="10" t="s">
        <v>558</v>
      </c>
      <c r="B720" t="s">
        <v>209</v>
      </c>
      <c r="C720" t="s">
        <v>658</v>
      </c>
      <c r="D720" t="s">
        <v>659</v>
      </c>
      <c r="E720" s="10" t="b">
        <f>IF(ISERROR(VLOOKUP( LEFT(B720, LEN(B720) - IF(ISNUMBER(RIGHT(B720, 1) * 1), 1, 0)),metadata_testudines!B$1:B$60,1,FALSE)),FALSE,TRUE)</f>
        <v>0</v>
      </c>
      <c r="F720" t="s">
        <v>681</v>
      </c>
      <c r="G720" t="s">
        <v>682</v>
      </c>
      <c r="H720">
        <v>0.66</v>
      </c>
      <c r="I720" t="s">
        <v>667</v>
      </c>
      <c r="J720" t="s">
        <v>683</v>
      </c>
      <c r="K720" t="s">
        <v>645</v>
      </c>
      <c r="L720" t="s">
        <v>646</v>
      </c>
      <c r="M720" t="s">
        <v>664</v>
      </c>
    </row>
    <row r="721" spans="1:13" hidden="1" x14ac:dyDescent="0.2">
      <c r="A721" s="10" t="s">
        <v>558</v>
      </c>
      <c r="B721" t="s">
        <v>209</v>
      </c>
      <c r="C721" t="s">
        <v>658</v>
      </c>
      <c r="D721" t="s">
        <v>659</v>
      </c>
      <c r="E721" s="10" t="b">
        <f>IF(ISERROR(VLOOKUP( LEFT(B721, LEN(B721) - IF(ISNUMBER(RIGHT(B721, 1) * 1), 1, 0)),metadata_testudines!B$1:B$60,1,FALSE)),FALSE,TRUE)</f>
        <v>0</v>
      </c>
      <c r="F721" t="s">
        <v>660</v>
      </c>
      <c r="G721" t="s">
        <v>661</v>
      </c>
      <c r="H721">
        <v>5</v>
      </c>
      <c r="I721" t="s">
        <v>662</v>
      </c>
      <c r="J721" t="s">
        <v>663</v>
      </c>
      <c r="K721" t="s">
        <v>647</v>
      </c>
      <c r="L721" t="s">
        <v>664</v>
      </c>
      <c r="M721" t="s">
        <v>664</v>
      </c>
    </row>
    <row r="722" spans="1:13" hidden="1" x14ac:dyDescent="0.2">
      <c r="A722" s="10" t="s">
        <v>558</v>
      </c>
      <c r="B722" t="s">
        <v>209</v>
      </c>
      <c r="C722" t="s">
        <v>658</v>
      </c>
      <c r="D722" t="s">
        <v>659</v>
      </c>
      <c r="E722" s="10" t="b">
        <f>IF(ISERROR(VLOOKUP( LEFT(B722, LEN(B722) - IF(ISNUMBER(RIGHT(B722, 1) * 1), 1, 0)),metadata_testudines!B$1:B$60,1,FALSE)),FALSE,TRUE)</f>
        <v>0</v>
      </c>
      <c r="F722" t="s">
        <v>660</v>
      </c>
      <c r="G722" t="s">
        <v>669</v>
      </c>
      <c r="H722">
        <v>2922</v>
      </c>
      <c r="I722" t="s">
        <v>662</v>
      </c>
      <c r="J722" t="s">
        <v>670</v>
      </c>
      <c r="K722" t="s">
        <v>647</v>
      </c>
      <c r="L722" t="s">
        <v>647</v>
      </c>
      <c r="M722" t="s">
        <v>664</v>
      </c>
    </row>
    <row r="723" spans="1:13" hidden="1" x14ac:dyDescent="0.2">
      <c r="A723" s="10" t="s">
        <v>558</v>
      </c>
      <c r="B723" t="s">
        <v>209</v>
      </c>
      <c r="C723" t="s">
        <v>658</v>
      </c>
      <c r="D723" t="s">
        <v>659</v>
      </c>
      <c r="E723" s="10" t="b">
        <f>IF(ISERROR(VLOOKUP( LEFT(B723, LEN(B723) - IF(ISNUMBER(RIGHT(B723, 1) * 1), 1, 0)),metadata_testudines!B$1:B$60,1,FALSE)),FALSE,TRUE)</f>
        <v>0</v>
      </c>
      <c r="F723" t="s">
        <v>660</v>
      </c>
      <c r="G723" t="s">
        <v>661</v>
      </c>
      <c r="H723">
        <v>1</v>
      </c>
      <c r="I723" t="s">
        <v>662</v>
      </c>
      <c r="J723" t="s">
        <v>663</v>
      </c>
      <c r="K723" t="s">
        <v>647</v>
      </c>
      <c r="L723" t="s">
        <v>664</v>
      </c>
      <c r="M723" t="s">
        <v>664</v>
      </c>
    </row>
    <row r="724" spans="1:13" hidden="1" x14ac:dyDescent="0.2">
      <c r="A724" s="10" t="s">
        <v>558</v>
      </c>
      <c r="B724" t="s">
        <v>209</v>
      </c>
      <c r="C724" t="s">
        <v>658</v>
      </c>
      <c r="D724" t="s">
        <v>659</v>
      </c>
      <c r="E724" s="10" t="b">
        <f>IF(ISERROR(VLOOKUP( LEFT(B724, LEN(B724) - IF(ISNUMBER(RIGHT(B724, 1) * 1), 1, 0)),metadata_testudines!B$1:B$60,1,FALSE)),FALSE,TRUE)</f>
        <v>0</v>
      </c>
      <c r="F724" t="s">
        <v>660</v>
      </c>
      <c r="G724" t="s">
        <v>665</v>
      </c>
      <c r="H724">
        <v>2</v>
      </c>
      <c r="I724" t="s">
        <v>662</v>
      </c>
      <c r="J724" t="s">
        <v>663</v>
      </c>
      <c r="K724" t="s">
        <v>647</v>
      </c>
      <c r="L724" t="s">
        <v>664</v>
      </c>
      <c r="M724" t="s">
        <v>664</v>
      </c>
    </row>
    <row r="725" spans="1:13" hidden="1" x14ac:dyDescent="0.2">
      <c r="A725" s="10" t="s">
        <v>558</v>
      </c>
      <c r="B725" t="s">
        <v>209</v>
      </c>
      <c r="C725" t="s">
        <v>658</v>
      </c>
      <c r="D725" t="s">
        <v>659</v>
      </c>
      <c r="E725" s="10" t="b">
        <f>IF(ISERROR(VLOOKUP( LEFT(B725, LEN(B725) - IF(ISNUMBER(RIGHT(B725, 1) * 1), 1, 0)),metadata_testudines!B$1:B$60,1,FALSE)),FALSE,TRUE)</f>
        <v>0</v>
      </c>
      <c r="F725" t="s">
        <v>660</v>
      </c>
      <c r="G725" t="s">
        <v>661</v>
      </c>
      <c r="H725">
        <v>5</v>
      </c>
      <c r="I725" t="s">
        <v>662</v>
      </c>
      <c r="J725" t="s">
        <v>663</v>
      </c>
      <c r="K725" t="s">
        <v>647</v>
      </c>
      <c r="L725" t="s">
        <v>664</v>
      </c>
      <c r="M725" t="s">
        <v>664</v>
      </c>
    </row>
    <row r="726" spans="1:13" hidden="1" x14ac:dyDescent="0.2">
      <c r="A726" s="10" t="s">
        <v>558</v>
      </c>
      <c r="B726" t="s">
        <v>209</v>
      </c>
      <c r="C726" t="s">
        <v>658</v>
      </c>
      <c r="D726" t="s">
        <v>659</v>
      </c>
      <c r="E726" s="10" t="b">
        <f>IF(ISERROR(VLOOKUP( LEFT(B726, LEN(B726) - IF(ISNUMBER(RIGHT(B726, 1) * 1), 1, 0)),metadata_testudines!B$1:B$60,1,FALSE)),FALSE,TRUE)</f>
        <v>0</v>
      </c>
      <c r="F726" t="s">
        <v>660</v>
      </c>
      <c r="G726" t="s">
        <v>665</v>
      </c>
      <c r="H726">
        <v>1</v>
      </c>
      <c r="I726" t="s">
        <v>662</v>
      </c>
      <c r="J726" t="s">
        <v>663</v>
      </c>
      <c r="K726" t="s">
        <v>647</v>
      </c>
      <c r="L726" t="s">
        <v>664</v>
      </c>
      <c r="M726" t="s">
        <v>664</v>
      </c>
    </row>
    <row r="727" spans="1:13" hidden="1" x14ac:dyDescent="0.2">
      <c r="A727" s="10" t="s">
        <v>558</v>
      </c>
      <c r="B727" t="s">
        <v>209</v>
      </c>
      <c r="C727" t="s">
        <v>658</v>
      </c>
      <c r="D727" t="s">
        <v>659</v>
      </c>
      <c r="E727" s="10" t="b">
        <f>IF(ISERROR(VLOOKUP( LEFT(B727, LEN(B727) - IF(ISNUMBER(RIGHT(B727, 1) * 1), 1, 0)),metadata_testudines!B$1:B$60,1,FALSE)),FALSE,TRUE)</f>
        <v>0</v>
      </c>
      <c r="F727" t="s">
        <v>681</v>
      </c>
      <c r="G727" t="s">
        <v>682</v>
      </c>
      <c r="H727">
        <v>0.66</v>
      </c>
      <c r="I727" t="s">
        <v>667</v>
      </c>
      <c r="J727" t="s">
        <v>683</v>
      </c>
      <c r="K727" t="s">
        <v>645</v>
      </c>
      <c r="L727" t="s">
        <v>646</v>
      </c>
      <c r="M727" t="s">
        <v>664</v>
      </c>
    </row>
    <row r="728" spans="1:13" hidden="1" x14ac:dyDescent="0.2">
      <c r="A728" s="10" t="s">
        <v>558</v>
      </c>
      <c r="B728" t="s">
        <v>209</v>
      </c>
      <c r="C728" t="s">
        <v>658</v>
      </c>
      <c r="D728" t="s">
        <v>659</v>
      </c>
      <c r="E728" s="10" t="b">
        <f>IF(ISERROR(VLOOKUP( LEFT(B728, LEN(B728) - IF(ISNUMBER(RIGHT(B728, 1) * 1), 1, 0)),metadata_testudines!B$1:B$60,1,FALSE)),FALSE,TRUE)</f>
        <v>0</v>
      </c>
      <c r="F728" t="s">
        <v>681</v>
      </c>
      <c r="G728" t="s">
        <v>685</v>
      </c>
      <c r="H728">
        <v>0.66</v>
      </c>
      <c r="I728" t="s">
        <v>667</v>
      </c>
      <c r="J728" t="s">
        <v>683</v>
      </c>
      <c r="K728" t="s">
        <v>645</v>
      </c>
      <c r="L728" t="s">
        <v>646</v>
      </c>
      <c r="M728" t="s">
        <v>664</v>
      </c>
    </row>
    <row r="729" spans="1:13" hidden="1" x14ac:dyDescent="0.2">
      <c r="A729" s="10" t="s">
        <v>558</v>
      </c>
      <c r="B729" t="s">
        <v>209</v>
      </c>
      <c r="C729" t="s">
        <v>658</v>
      </c>
      <c r="D729" t="s">
        <v>659</v>
      </c>
      <c r="E729" s="10" t="b">
        <f>IF(ISERROR(VLOOKUP( LEFT(B729, LEN(B729) - IF(ISNUMBER(RIGHT(B729, 1) * 1), 1, 0)),metadata_testudines!B$1:B$60,1,FALSE)),FALSE,TRUE)</f>
        <v>0</v>
      </c>
      <c r="F729" t="s">
        <v>681</v>
      </c>
      <c r="G729" t="s">
        <v>685</v>
      </c>
      <c r="H729">
        <v>0.61</v>
      </c>
      <c r="I729" t="s">
        <v>667</v>
      </c>
      <c r="J729" t="s">
        <v>683</v>
      </c>
      <c r="K729" t="s">
        <v>645</v>
      </c>
      <c r="L729" t="s">
        <v>646</v>
      </c>
      <c r="M729" t="s">
        <v>664</v>
      </c>
    </row>
    <row r="730" spans="1:13" hidden="1" x14ac:dyDescent="0.2">
      <c r="A730" s="10" t="s">
        <v>558</v>
      </c>
      <c r="B730" t="s">
        <v>209</v>
      </c>
      <c r="C730" t="s">
        <v>658</v>
      </c>
      <c r="D730" t="s">
        <v>659</v>
      </c>
      <c r="E730" s="10" t="b">
        <f>IF(ISERROR(VLOOKUP( LEFT(B730, LEN(B730) - IF(ISNUMBER(RIGHT(B730, 1) * 1), 1, 0)),metadata_testudines!B$1:B$60,1,FALSE)),FALSE,TRUE)</f>
        <v>0</v>
      </c>
      <c r="F730" t="s">
        <v>686</v>
      </c>
      <c r="G730" t="s">
        <v>690</v>
      </c>
      <c r="H730">
        <v>0.61</v>
      </c>
      <c r="I730" t="s">
        <v>667</v>
      </c>
      <c r="J730" t="s">
        <v>683</v>
      </c>
      <c r="K730" t="s">
        <v>647</v>
      </c>
      <c r="L730" t="s">
        <v>646</v>
      </c>
      <c r="M730" t="s">
        <v>664</v>
      </c>
    </row>
    <row r="731" spans="1:13" hidden="1" x14ac:dyDescent="0.2">
      <c r="A731" s="10" t="s">
        <v>558</v>
      </c>
      <c r="B731" t="s">
        <v>209</v>
      </c>
      <c r="C731" t="s">
        <v>658</v>
      </c>
      <c r="D731" t="s">
        <v>659</v>
      </c>
      <c r="E731" s="10" t="b">
        <f>IF(ISERROR(VLOOKUP( LEFT(B731, LEN(B731) - IF(ISNUMBER(RIGHT(B731, 1) * 1), 1, 0)),metadata_testudines!B$1:B$60,1,FALSE)),FALSE,TRUE)</f>
        <v>0</v>
      </c>
      <c r="F731" t="s">
        <v>660</v>
      </c>
      <c r="G731" t="s">
        <v>679</v>
      </c>
      <c r="H731">
        <v>1</v>
      </c>
      <c r="I731" t="s">
        <v>662</v>
      </c>
      <c r="J731" t="s">
        <v>680</v>
      </c>
      <c r="K731" t="s">
        <v>647</v>
      </c>
      <c r="L731" t="s">
        <v>664</v>
      </c>
      <c r="M731" t="s">
        <v>664</v>
      </c>
    </row>
    <row r="732" spans="1:13" hidden="1" x14ac:dyDescent="0.2">
      <c r="A732" s="10" t="s">
        <v>558</v>
      </c>
      <c r="B732" t="s">
        <v>209</v>
      </c>
      <c r="C732" t="s">
        <v>658</v>
      </c>
      <c r="D732" t="s">
        <v>659</v>
      </c>
      <c r="E732" s="10" t="b">
        <f>IF(ISERROR(VLOOKUP( LEFT(B732, LEN(B732) - IF(ISNUMBER(RIGHT(B732, 1) * 1), 1, 0)),metadata_testudines!B$1:B$60,1,FALSE)),FALSE,TRUE)</f>
        <v>0</v>
      </c>
      <c r="F732" t="s">
        <v>660</v>
      </c>
      <c r="G732" t="s">
        <v>661</v>
      </c>
      <c r="H732">
        <v>2</v>
      </c>
      <c r="I732" t="s">
        <v>662</v>
      </c>
      <c r="J732" t="s">
        <v>663</v>
      </c>
      <c r="K732" t="s">
        <v>647</v>
      </c>
      <c r="L732" t="s">
        <v>664</v>
      </c>
      <c r="M732" t="s">
        <v>664</v>
      </c>
    </row>
    <row r="733" spans="1:13" hidden="1" x14ac:dyDescent="0.2">
      <c r="A733" s="10" t="s">
        <v>558</v>
      </c>
      <c r="B733" t="s">
        <v>209</v>
      </c>
      <c r="C733" t="s">
        <v>658</v>
      </c>
      <c r="D733" t="s">
        <v>659</v>
      </c>
      <c r="E733" s="10" t="b">
        <f>IF(ISERROR(VLOOKUP( LEFT(B733, LEN(B733) - IF(ISNUMBER(RIGHT(B733, 1) * 1), 1, 0)),metadata_testudines!B$1:B$60,1,FALSE)),FALSE,TRUE)</f>
        <v>0</v>
      </c>
      <c r="F733" t="s">
        <v>660</v>
      </c>
      <c r="G733" t="s">
        <v>661</v>
      </c>
      <c r="H733">
        <v>2</v>
      </c>
      <c r="I733" t="s">
        <v>662</v>
      </c>
      <c r="J733" t="s">
        <v>663</v>
      </c>
      <c r="K733" t="s">
        <v>647</v>
      </c>
      <c r="L733" t="s">
        <v>664</v>
      </c>
      <c r="M733" t="s">
        <v>664</v>
      </c>
    </row>
    <row r="734" spans="1:13" hidden="1" x14ac:dyDescent="0.2">
      <c r="A734" s="10" t="s">
        <v>558</v>
      </c>
      <c r="B734" t="s">
        <v>209</v>
      </c>
      <c r="C734" t="s">
        <v>658</v>
      </c>
      <c r="D734" t="s">
        <v>659</v>
      </c>
      <c r="E734" s="10" t="b">
        <f>IF(ISERROR(VLOOKUP( LEFT(B734, LEN(B734) - IF(ISNUMBER(RIGHT(B734, 1) * 1), 1, 0)),metadata_testudines!B$1:B$60,1,FALSE)),FALSE,TRUE)</f>
        <v>0</v>
      </c>
      <c r="F734" t="s">
        <v>660</v>
      </c>
      <c r="G734" t="s">
        <v>666</v>
      </c>
      <c r="H734">
        <v>30</v>
      </c>
      <c r="I734" t="s">
        <v>667</v>
      </c>
      <c r="J734" t="s">
        <v>668</v>
      </c>
      <c r="K734" t="s">
        <v>647</v>
      </c>
      <c r="L734" t="s">
        <v>664</v>
      </c>
      <c r="M734" t="s">
        <v>664</v>
      </c>
    </row>
    <row r="735" spans="1:13" hidden="1" x14ac:dyDescent="0.2">
      <c r="A735" s="10" t="s">
        <v>558</v>
      </c>
      <c r="B735" t="s">
        <v>209</v>
      </c>
      <c r="C735" t="s">
        <v>658</v>
      </c>
      <c r="D735" t="s">
        <v>659</v>
      </c>
      <c r="E735" s="10" t="b">
        <f>IF(ISERROR(VLOOKUP( LEFT(B735, LEN(B735) - IF(ISNUMBER(RIGHT(B735, 1) * 1), 1, 0)),metadata_testudines!B$1:B$60,1,FALSE)),FALSE,TRUE)</f>
        <v>0</v>
      </c>
      <c r="F735" t="s">
        <v>681</v>
      </c>
      <c r="G735" t="s">
        <v>685</v>
      </c>
      <c r="H735">
        <v>0.66</v>
      </c>
      <c r="I735" t="s">
        <v>667</v>
      </c>
      <c r="J735" t="s">
        <v>683</v>
      </c>
      <c r="K735" t="s">
        <v>645</v>
      </c>
      <c r="L735" t="s">
        <v>646</v>
      </c>
      <c r="M735" t="s">
        <v>664</v>
      </c>
    </row>
    <row r="736" spans="1:13" hidden="1" x14ac:dyDescent="0.2">
      <c r="A736" s="10" t="s">
        <v>558</v>
      </c>
      <c r="B736" t="s">
        <v>209</v>
      </c>
      <c r="C736" t="s">
        <v>658</v>
      </c>
      <c r="D736" t="s">
        <v>659</v>
      </c>
      <c r="E736" s="10" t="b">
        <f>IF(ISERROR(VLOOKUP( LEFT(B736, LEN(B736) - IF(ISNUMBER(RIGHT(B736, 1) * 1), 1, 0)),metadata_testudines!B$1:B$60,1,FALSE)),FALSE,TRUE)</f>
        <v>0</v>
      </c>
      <c r="F736" t="s">
        <v>660</v>
      </c>
      <c r="G736" t="s">
        <v>679</v>
      </c>
      <c r="H736">
        <v>1</v>
      </c>
      <c r="I736" t="s">
        <v>662</v>
      </c>
      <c r="J736" t="s">
        <v>680</v>
      </c>
      <c r="K736" t="s">
        <v>647</v>
      </c>
      <c r="L736" t="s">
        <v>664</v>
      </c>
      <c r="M736" t="s">
        <v>664</v>
      </c>
    </row>
    <row r="737" spans="1:13" hidden="1" x14ac:dyDescent="0.2">
      <c r="A737" s="10" t="s">
        <v>558</v>
      </c>
      <c r="B737" t="s">
        <v>209</v>
      </c>
      <c r="C737" t="s">
        <v>658</v>
      </c>
      <c r="D737" t="s">
        <v>659</v>
      </c>
      <c r="E737" s="10" t="b">
        <f>IF(ISERROR(VLOOKUP( LEFT(B737, LEN(B737) - IF(ISNUMBER(RIGHT(B737, 1) * 1), 1, 0)),metadata_testudines!B$1:B$60,1,FALSE)),FALSE,TRUE)</f>
        <v>0</v>
      </c>
      <c r="F737" t="s">
        <v>681</v>
      </c>
      <c r="G737" t="s">
        <v>688</v>
      </c>
      <c r="H737">
        <v>1</v>
      </c>
      <c r="I737" t="s">
        <v>662</v>
      </c>
      <c r="J737" t="s">
        <v>670</v>
      </c>
      <c r="K737" t="s">
        <v>645</v>
      </c>
      <c r="L737" t="s">
        <v>646</v>
      </c>
      <c r="M737" t="s">
        <v>664</v>
      </c>
    </row>
    <row r="738" spans="1:13" hidden="1" x14ac:dyDescent="0.2">
      <c r="A738" s="10" t="s">
        <v>558</v>
      </c>
      <c r="B738" t="s">
        <v>209</v>
      </c>
      <c r="C738" t="s">
        <v>658</v>
      </c>
      <c r="D738" t="s">
        <v>659</v>
      </c>
      <c r="E738" s="10" t="b">
        <f>IF(ISERROR(VLOOKUP( LEFT(B738, LEN(B738) - IF(ISNUMBER(RIGHT(B738, 1) * 1), 1, 0)),metadata_testudines!B$1:B$60,1,FALSE)),FALSE,TRUE)</f>
        <v>0</v>
      </c>
      <c r="F738" t="s">
        <v>681</v>
      </c>
      <c r="G738" t="s">
        <v>685</v>
      </c>
      <c r="H738">
        <v>0.61</v>
      </c>
      <c r="I738" t="s">
        <v>667</v>
      </c>
      <c r="J738" t="s">
        <v>683</v>
      </c>
      <c r="K738" t="s">
        <v>645</v>
      </c>
      <c r="L738" t="s">
        <v>646</v>
      </c>
      <c r="M738" t="s">
        <v>664</v>
      </c>
    </row>
    <row r="739" spans="1:13" hidden="1" x14ac:dyDescent="0.2">
      <c r="A739" s="10" t="s">
        <v>558</v>
      </c>
      <c r="B739" t="s">
        <v>209</v>
      </c>
      <c r="C739" t="s">
        <v>658</v>
      </c>
      <c r="D739" t="s">
        <v>659</v>
      </c>
      <c r="E739" s="10" t="b">
        <f>IF(ISERROR(VLOOKUP( LEFT(B739, LEN(B739) - IF(ISNUMBER(RIGHT(B739, 1) * 1), 1, 0)),metadata_testudines!B$1:B$60,1,FALSE)),FALSE,TRUE)</f>
        <v>0</v>
      </c>
      <c r="F739" t="s">
        <v>681</v>
      </c>
      <c r="G739" t="s">
        <v>682</v>
      </c>
      <c r="H739">
        <v>0.61</v>
      </c>
      <c r="I739" t="s">
        <v>667</v>
      </c>
      <c r="J739" t="s">
        <v>683</v>
      </c>
      <c r="K739" t="s">
        <v>645</v>
      </c>
      <c r="L739" t="s">
        <v>646</v>
      </c>
      <c r="M739" t="s">
        <v>664</v>
      </c>
    </row>
    <row r="740" spans="1:13" hidden="1" x14ac:dyDescent="0.2">
      <c r="A740" s="10" t="s">
        <v>558</v>
      </c>
      <c r="B740" t="s">
        <v>209</v>
      </c>
      <c r="C740" t="s">
        <v>658</v>
      </c>
      <c r="D740" t="s">
        <v>659</v>
      </c>
      <c r="E740" s="10" t="b">
        <f>IF(ISERROR(VLOOKUP( LEFT(B740, LEN(B740) - IF(ISNUMBER(RIGHT(B740, 1) * 1), 1, 0)),metadata_testudines!B$1:B$60,1,FALSE)),FALSE,TRUE)</f>
        <v>0</v>
      </c>
      <c r="F740" t="s">
        <v>686</v>
      </c>
      <c r="G740" t="s">
        <v>687</v>
      </c>
      <c r="H740">
        <v>6</v>
      </c>
      <c r="I740" t="s">
        <v>662</v>
      </c>
      <c r="J740" t="s">
        <v>670</v>
      </c>
      <c r="K740" t="s">
        <v>647</v>
      </c>
      <c r="L740" t="s">
        <v>646</v>
      </c>
      <c r="M740" t="s">
        <v>664</v>
      </c>
    </row>
    <row r="741" spans="1:13" hidden="1" x14ac:dyDescent="0.2">
      <c r="A741" s="10" t="s">
        <v>558</v>
      </c>
      <c r="B741" t="s">
        <v>209</v>
      </c>
      <c r="C741" t="s">
        <v>658</v>
      </c>
      <c r="D741" t="s">
        <v>659</v>
      </c>
      <c r="E741" s="10" t="b">
        <f>IF(ISERROR(VLOOKUP( LEFT(B741, LEN(B741) - IF(ISNUMBER(RIGHT(B741, 1) * 1), 1, 0)),metadata_testudines!B$1:B$60,1,FALSE)),FALSE,TRUE)</f>
        <v>0</v>
      </c>
      <c r="F741" t="s">
        <v>681</v>
      </c>
      <c r="G741" t="s">
        <v>682</v>
      </c>
      <c r="H741">
        <v>0.61</v>
      </c>
      <c r="I741" t="s">
        <v>667</v>
      </c>
      <c r="J741" t="s">
        <v>683</v>
      </c>
      <c r="K741" t="s">
        <v>645</v>
      </c>
      <c r="L741" t="s">
        <v>646</v>
      </c>
      <c r="M741" t="s">
        <v>664</v>
      </c>
    </row>
    <row r="742" spans="1:13" hidden="1" x14ac:dyDescent="0.2">
      <c r="A742" s="10" t="s">
        <v>558</v>
      </c>
      <c r="B742" t="s">
        <v>209</v>
      </c>
      <c r="C742" t="s">
        <v>658</v>
      </c>
      <c r="D742" t="s">
        <v>659</v>
      </c>
      <c r="E742" s="10" t="b">
        <f>IF(ISERROR(VLOOKUP( LEFT(B742, LEN(B742) - IF(ISNUMBER(RIGHT(B742, 1) * 1), 1, 0)),metadata_testudines!B$1:B$60,1,FALSE)),FALSE,TRUE)</f>
        <v>0</v>
      </c>
      <c r="F742" t="s">
        <v>681</v>
      </c>
      <c r="G742" t="s">
        <v>685</v>
      </c>
      <c r="H742">
        <v>0.61</v>
      </c>
      <c r="I742" t="s">
        <v>667</v>
      </c>
      <c r="J742" t="s">
        <v>683</v>
      </c>
      <c r="K742" t="s">
        <v>645</v>
      </c>
      <c r="L742" t="s">
        <v>646</v>
      </c>
      <c r="M742" t="s">
        <v>664</v>
      </c>
    </row>
    <row r="743" spans="1:13" hidden="1" x14ac:dyDescent="0.2">
      <c r="A743" s="10" t="s">
        <v>558</v>
      </c>
      <c r="B743" t="s">
        <v>209</v>
      </c>
      <c r="C743" t="s">
        <v>658</v>
      </c>
      <c r="D743" t="s">
        <v>659</v>
      </c>
      <c r="E743" s="10" t="b">
        <f>IF(ISERROR(VLOOKUP( LEFT(B743, LEN(B743) - IF(ISNUMBER(RIGHT(B743, 1) * 1), 1, 0)),metadata_testudines!B$1:B$60,1,FALSE)),FALSE,TRUE)</f>
        <v>0</v>
      </c>
      <c r="F743" t="s">
        <v>681</v>
      </c>
      <c r="G743" t="s">
        <v>682</v>
      </c>
      <c r="H743">
        <v>0.66</v>
      </c>
      <c r="I743" t="s">
        <v>667</v>
      </c>
      <c r="J743" t="s">
        <v>683</v>
      </c>
      <c r="K743" t="s">
        <v>645</v>
      </c>
      <c r="L743" t="s">
        <v>646</v>
      </c>
      <c r="M743" t="s">
        <v>664</v>
      </c>
    </row>
    <row r="744" spans="1:13" hidden="1" x14ac:dyDescent="0.2">
      <c r="A744" s="10" t="s">
        <v>558</v>
      </c>
      <c r="B744" t="s">
        <v>209</v>
      </c>
      <c r="C744" t="s">
        <v>658</v>
      </c>
      <c r="D744" t="s">
        <v>659</v>
      </c>
      <c r="E744" s="10" t="b">
        <f>IF(ISERROR(VLOOKUP( LEFT(B744, LEN(B744) - IF(ISNUMBER(RIGHT(B744, 1) * 1), 1, 0)),metadata_testudines!B$1:B$60,1,FALSE)),FALSE,TRUE)</f>
        <v>0</v>
      </c>
      <c r="F744" t="s">
        <v>660</v>
      </c>
      <c r="G744" t="s">
        <v>669</v>
      </c>
      <c r="H744">
        <v>2739.375</v>
      </c>
      <c r="I744" t="s">
        <v>662</v>
      </c>
      <c r="J744" t="s">
        <v>670</v>
      </c>
      <c r="K744" t="s">
        <v>647</v>
      </c>
      <c r="L744" t="s">
        <v>647</v>
      </c>
      <c r="M744" t="s">
        <v>664</v>
      </c>
    </row>
    <row r="745" spans="1:13" hidden="1" x14ac:dyDescent="0.2">
      <c r="A745" s="10" t="s">
        <v>558</v>
      </c>
      <c r="B745" t="s">
        <v>209</v>
      </c>
      <c r="C745" t="s">
        <v>658</v>
      </c>
      <c r="D745" t="s">
        <v>659</v>
      </c>
      <c r="E745" s="10" t="b">
        <f>IF(ISERROR(VLOOKUP( LEFT(B745, LEN(B745) - IF(ISNUMBER(RIGHT(B745, 1) * 1), 1, 0)),metadata_testudines!B$1:B$60,1,FALSE)),FALSE,TRUE)</f>
        <v>0</v>
      </c>
      <c r="F745" t="s">
        <v>660</v>
      </c>
      <c r="G745" t="s">
        <v>669</v>
      </c>
      <c r="H745">
        <v>2191.5</v>
      </c>
      <c r="I745" t="s">
        <v>662</v>
      </c>
      <c r="J745" t="s">
        <v>670</v>
      </c>
      <c r="K745" t="s">
        <v>647</v>
      </c>
      <c r="L745" t="s">
        <v>647</v>
      </c>
      <c r="M745" t="s">
        <v>664</v>
      </c>
    </row>
    <row r="746" spans="1:13" hidden="1" x14ac:dyDescent="0.2">
      <c r="A746" s="10" t="s">
        <v>558</v>
      </c>
      <c r="B746" t="s">
        <v>210</v>
      </c>
      <c r="C746" t="s">
        <v>658</v>
      </c>
      <c r="D746" t="s">
        <v>659</v>
      </c>
      <c r="E746" s="10" t="b">
        <f>IF(ISERROR(VLOOKUP( LEFT(B746, LEN(B746) - IF(ISNUMBER(RIGHT(B746, 1) * 1), 1, 0)),metadata_testudines!B$1:B$60,1,FALSE)),FALSE,TRUE)</f>
        <v>0</v>
      </c>
      <c r="F746" t="s">
        <v>660</v>
      </c>
      <c r="G746" t="s">
        <v>665</v>
      </c>
      <c r="H746">
        <v>1</v>
      </c>
      <c r="I746" t="s">
        <v>662</v>
      </c>
      <c r="J746" t="s">
        <v>663</v>
      </c>
      <c r="K746" t="s">
        <v>647</v>
      </c>
      <c r="L746" t="s">
        <v>664</v>
      </c>
      <c r="M746" t="s">
        <v>664</v>
      </c>
    </row>
    <row r="747" spans="1:13" hidden="1" x14ac:dyDescent="0.2">
      <c r="A747" s="10" t="s">
        <v>558</v>
      </c>
      <c r="B747" t="s">
        <v>210</v>
      </c>
      <c r="C747" t="s">
        <v>658</v>
      </c>
      <c r="D747" t="s">
        <v>659</v>
      </c>
      <c r="E747" s="10" t="b">
        <f>IF(ISERROR(VLOOKUP( LEFT(B747, LEN(B747) - IF(ISNUMBER(RIGHT(B747, 1) * 1), 1, 0)),metadata_testudines!B$1:B$60,1,FALSE)),FALSE,TRUE)</f>
        <v>0</v>
      </c>
      <c r="F747" t="s">
        <v>660</v>
      </c>
      <c r="G747" t="s">
        <v>679</v>
      </c>
      <c r="H747">
        <v>1</v>
      </c>
      <c r="I747" t="s">
        <v>662</v>
      </c>
      <c r="J747" t="s">
        <v>680</v>
      </c>
      <c r="K747" t="s">
        <v>647</v>
      </c>
      <c r="L747" t="s">
        <v>664</v>
      </c>
      <c r="M747" t="s">
        <v>664</v>
      </c>
    </row>
    <row r="748" spans="1:13" hidden="1" x14ac:dyDescent="0.2">
      <c r="A748" s="10" t="s">
        <v>558</v>
      </c>
      <c r="B748" t="s">
        <v>210</v>
      </c>
      <c r="C748" t="s">
        <v>658</v>
      </c>
      <c r="D748" t="s">
        <v>659</v>
      </c>
      <c r="E748" s="10" t="b">
        <f>IF(ISERROR(VLOOKUP( LEFT(B748, LEN(B748) - IF(ISNUMBER(RIGHT(B748, 1) * 1), 1, 0)),metadata_testudines!B$1:B$60,1,FALSE)),FALSE,TRUE)</f>
        <v>0</v>
      </c>
      <c r="F748" t="s">
        <v>660</v>
      </c>
      <c r="G748" t="s">
        <v>665</v>
      </c>
      <c r="H748">
        <v>1</v>
      </c>
      <c r="I748" t="s">
        <v>662</v>
      </c>
      <c r="J748" t="s">
        <v>663</v>
      </c>
      <c r="K748" t="s">
        <v>647</v>
      </c>
      <c r="L748" t="s">
        <v>664</v>
      </c>
      <c r="M748" t="s">
        <v>664</v>
      </c>
    </row>
    <row r="749" spans="1:13" hidden="1" x14ac:dyDescent="0.2">
      <c r="A749" s="10" t="s">
        <v>558</v>
      </c>
      <c r="B749" t="s">
        <v>210</v>
      </c>
      <c r="C749" t="s">
        <v>658</v>
      </c>
      <c r="D749" t="s">
        <v>659</v>
      </c>
      <c r="E749" s="10" t="b">
        <f>IF(ISERROR(VLOOKUP( LEFT(B749, LEN(B749) - IF(ISNUMBER(RIGHT(B749, 1) * 1), 1, 0)),metadata_testudines!B$1:B$60,1,FALSE)),FALSE,TRUE)</f>
        <v>0</v>
      </c>
      <c r="F749" t="s">
        <v>660</v>
      </c>
      <c r="G749" t="s">
        <v>661</v>
      </c>
      <c r="H749">
        <v>1</v>
      </c>
      <c r="I749" t="s">
        <v>662</v>
      </c>
      <c r="J749" t="s">
        <v>663</v>
      </c>
      <c r="K749" t="s">
        <v>647</v>
      </c>
      <c r="L749" t="s">
        <v>664</v>
      </c>
      <c r="M749" t="s">
        <v>664</v>
      </c>
    </row>
    <row r="750" spans="1:13" hidden="1" x14ac:dyDescent="0.2">
      <c r="A750" s="10" t="s">
        <v>558</v>
      </c>
      <c r="B750" t="s">
        <v>210</v>
      </c>
      <c r="C750" t="s">
        <v>658</v>
      </c>
      <c r="D750" t="s">
        <v>659</v>
      </c>
      <c r="E750" s="10" t="b">
        <f>IF(ISERROR(VLOOKUP( LEFT(B750, LEN(B750) - IF(ISNUMBER(RIGHT(B750, 1) * 1), 1, 0)),metadata_testudines!B$1:B$60,1,FALSE)),FALSE,TRUE)</f>
        <v>0</v>
      </c>
      <c r="F750" t="s">
        <v>660</v>
      </c>
      <c r="G750" t="s">
        <v>661</v>
      </c>
      <c r="H750">
        <v>1</v>
      </c>
      <c r="I750" t="s">
        <v>662</v>
      </c>
      <c r="J750" t="s">
        <v>663</v>
      </c>
      <c r="K750" t="s">
        <v>647</v>
      </c>
      <c r="L750" t="s">
        <v>664</v>
      </c>
      <c r="M750" t="s">
        <v>664</v>
      </c>
    </row>
    <row r="751" spans="1:13" hidden="1" x14ac:dyDescent="0.2">
      <c r="A751" s="10" t="s">
        <v>558</v>
      </c>
      <c r="B751" t="s">
        <v>210</v>
      </c>
      <c r="C751" t="s">
        <v>658</v>
      </c>
      <c r="D751" t="s">
        <v>659</v>
      </c>
      <c r="E751" s="10" t="b">
        <f>IF(ISERROR(VLOOKUP( LEFT(B751, LEN(B751) - IF(ISNUMBER(RIGHT(B751, 1) * 1), 1, 0)),metadata_testudines!B$1:B$60,1,FALSE)),FALSE,TRUE)</f>
        <v>0</v>
      </c>
      <c r="F751" t="s">
        <v>660</v>
      </c>
      <c r="G751" t="s">
        <v>679</v>
      </c>
      <c r="H751">
        <v>1</v>
      </c>
      <c r="I751" t="s">
        <v>662</v>
      </c>
      <c r="J751" t="s">
        <v>680</v>
      </c>
      <c r="K751" t="s">
        <v>647</v>
      </c>
      <c r="L751" t="s">
        <v>664</v>
      </c>
      <c r="M751" t="s">
        <v>664</v>
      </c>
    </row>
    <row r="752" spans="1:13" hidden="1" x14ac:dyDescent="0.2">
      <c r="A752" s="10" t="s">
        <v>558</v>
      </c>
      <c r="B752" t="s">
        <v>211</v>
      </c>
      <c r="C752" t="s">
        <v>658</v>
      </c>
      <c r="D752" t="s">
        <v>659</v>
      </c>
      <c r="E752" s="10" t="b">
        <f>IF(ISERROR(VLOOKUP( LEFT(B752, LEN(B752) - IF(ISNUMBER(RIGHT(B752, 1) * 1), 1, 0)),metadata_testudines!B$1:B$60,1,FALSE)),FALSE,TRUE)</f>
        <v>0</v>
      </c>
      <c r="F752" t="s">
        <v>681</v>
      </c>
      <c r="G752" t="s">
        <v>682</v>
      </c>
      <c r="H752">
        <v>0.61</v>
      </c>
      <c r="I752" t="s">
        <v>667</v>
      </c>
      <c r="J752" t="s">
        <v>683</v>
      </c>
      <c r="K752" t="s">
        <v>645</v>
      </c>
      <c r="L752" t="s">
        <v>646</v>
      </c>
      <c r="M752" t="s">
        <v>664</v>
      </c>
    </row>
    <row r="753" spans="1:13" hidden="1" x14ac:dyDescent="0.2">
      <c r="A753" s="10" t="s">
        <v>558</v>
      </c>
      <c r="B753" t="s">
        <v>211</v>
      </c>
      <c r="C753" t="s">
        <v>658</v>
      </c>
      <c r="D753" t="s">
        <v>659</v>
      </c>
      <c r="E753" s="10" t="b">
        <f>IF(ISERROR(VLOOKUP( LEFT(B753, LEN(B753) - IF(ISNUMBER(RIGHT(B753, 1) * 1), 1, 0)),metadata_testudines!B$1:B$60,1,FALSE)),FALSE,TRUE)</f>
        <v>0</v>
      </c>
      <c r="F753" t="s">
        <v>681</v>
      </c>
      <c r="G753" t="s">
        <v>682</v>
      </c>
      <c r="H753">
        <v>0.66</v>
      </c>
      <c r="I753" t="s">
        <v>667</v>
      </c>
      <c r="J753" t="s">
        <v>683</v>
      </c>
      <c r="K753" t="s">
        <v>645</v>
      </c>
      <c r="L753" t="s">
        <v>646</v>
      </c>
      <c r="M753" t="s">
        <v>664</v>
      </c>
    </row>
    <row r="754" spans="1:13" hidden="1" x14ac:dyDescent="0.2">
      <c r="A754" s="10" t="s">
        <v>558</v>
      </c>
      <c r="B754" t="s">
        <v>211</v>
      </c>
      <c r="C754" t="s">
        <v>658</v>
      </c>
      <c r="D754" t="s">
        <v>659</v>
      </c>
      <c r="E754" s="10" t="b">
        <f>IF(ISERROR(VLOOKUP( LEFT(B754, LEN(B754) - IF(ISNUMBER(RIGHT(B754, 1) * 1), 1, 0)),metadata_testudines!B$1:B$60,1,FALSE)),FALSE,TRUE)</f>
        <v>0</v>
      </c>
      <c r="F754" t="s">
        <v>660</v>
      </c>
      <c r="G754" t="s">
        <v>661</v>
      </c>
      <c r="H754">
        <v>2</v>
      </c>
      <c r="I754" t="s">
        <v>662</v>
      </c>
      <c r="J754" t="s">
        <v>663</v>
      </c>
      <c r="K754" t="s">
        <v>647</v>
      </c>
      <c r="L754" t="s">
        <v>664</v>
      </c>
      <c r="M754" t="s">
        <v>664</v>
      </c>
    </row>
    <row r="755" spans="1:13" hidden="1" x14ac:dyDescent="0.2">
      <c r="A755" s="10" t="s">
        <v>558</v>
      </c>
      <c r="B755" t="s">
        <v>211</v>
      </c>
      <c r="C755" t="s">
        <v>658</v>
      </c>
      <c r="D755" t="s">
        <v>659</v>
      </c>
      <c r="E755" s="10" t="b">
        <f>IF(ISERROR(VLOOKUP( LEFT(B755, LEN(B755) - IF(ISNUMBER(RIGHT(B755, 1) * 1), 1, 0)),metadata_testudines!B$1:B$60,1,FALSE)),FALSE,TRUE)</f>
        <v>0</v>
      </c>
      <c r="F755" t="s">
        <v>660</v>
      </c>
      <c r="G755" t="s">
        <v>679</v>
      </c>
      <c r="H755">
        <v>1</v>
      </c>
      <c r="I755" t="s">
        <v>662</v>
      </c>
      <c r="J755" t="s">
        <v>680</v>
      </c>
      <c r="K755" t="s">
        <v>647</v>
      </c>
      <c r="L755" t="s">
        <v>664</v>
      </c>
      <c r="M755" t="s">
        <v>664</v>
      </c>
    </row>
    <row r="756" spans="1:13" hidden="1" x14ac:dyDescent="0.2">
      <c r="A756" s="10" t="s">
        <v>558</v>
      </c>
      <c r="B756" t="s">
        <v>211</v>
      </c>
      <c r="C756" t="s">
        <v>658</v>
      </c>
      <c r="D756" t="s">
        <v>659</v>
      </c>
      <c r="E756" s="10" t="b">
        <f>IF(ISERROR(VLOOKUP( LEFT(B756, LEN(B756) - IF(ISNUMBER(RIGHT(B756, 1) * 1), 1, 0)),metadata_testudines!B$1:B$60,1,FALSE)),FALSE,TRUE)</f>
        <v>0</v>
      </c>
      <c r="F756" t="s">
        <v>660</v>
      </c>
      <c r="G756" t="s">
        <v>661</v>
      </c>
      <c r="H756">
        <v>2.5</v>
      </c>
      <c r="I756" t="s">
        <v>662</v>
      </c>
      <c r="J756" t="s">
        <v>663</v>
      </c>
      <c r="K756" t="s">
        <v>647</v>
      </c>
      <c r="L756" t="s">
        <v>664</v>
      </c>
      <c r="M756" t="s">
        <v>664</v>
      </c>
    </row>
    <row r="757" spans="1:13" hidden="1" x14ac:dyDescent="0.2">
      <c r="A757" s="10" t="s">
        <v>558</v>
      </c>
      <c r="B757" t="s">
        <v>211</v>
      </c>
      <c r="C757" t="s">
        <v>658</v>
      </c>
      <c r="D757" t="s">
        <v>659</v>
      </c>
      <c r="E757" s="10" t="b">
        <f>IF(ISERROR(VLOOKUP( LEFT(B757, LEN(B757) - IF(ISNUMBER(RIGHT(B757, 1) * 1), 1, 0)),metadata_testudines!B$1:B$60,1,FALSE)),FALSE,TRUE)</f>
        <v>0</v>
      </c>
      <c r="F757" t="s">
        <v>681</v>
      </c>
      <c r="G757" t="s">
        <v>685</v>
      </c>
      <c r="H757">
        <v>0.61</v>
      </c>
      <c r="I757" t="s">
        <v>667</v>
      </c>
      <c r="J757" t="s">
        <v>683</v>
      </c>
      <c r="K757" t="s">
        <v>645</v>
      </c>
      <c r="L757" t="s">
        <v>646</v>
      </c>
      <c r="M757" t="s">
        <v>664</v>
      </c>
    </row>
    <row r="758" spans="1:13" hidden="1" x14ac:dyDescent="0.2">
      <c r="A758" s="10" t="s">
        <v>558</v>
      </c>
      <c r="B758" t="s">
        <v>211</v>
      </c>
      <c r="C758" t="s">
        <v>658</v>
      </c>
      <c r="D758" t="s">
        <v>659</v>
      </c>
      <c r="E758" s="10" t="b">
        <f>IF(ISERROR(VLOOKUP( LEFT(B758, LEN(B758) - IF(ISNUMBER(RIGHT(B758, 1) * 1), 1, 0)),metadata_testudines!B$1:B$60,1,FALSE)),FALSE,TRUE)</f>
        <v>0</v>
      </c>
      <c r="F758" t="s">
        <v>660</v>
      </c>
      <c r="G758" t="s">
        <v>665</v>
      </c>
      <c r="H758">
        <v>1</v>
      </c>
      <c r="I758" t="s">
        <v>662</v>
      </c>
      <c r="J758" t="s">
        <v>663</v>
      </c>
      <c r="K758" t="s">
        <v>647</v>
      </c>
      <c r="L758" t="s">
        <v>664</v>
      </c>
      <c r="M758" t="s">
        <v>664</v>
      </c>
    </row>
    <row r="759" spans="1:13" hidden="1" x14ac:dyDescent="0.2">
      <c r="A759" s="10" t="s">
        <v>558</v>
      </c>
      <c r="B759" t="s">
        <v>211</v>
      </c>
      <c r="C759" t="s">
        <v>658</v>
      </c>
      <c r="D759" t="s">
        <v>659</v>
      </c>
      <c r="E759" s="10" t="b">
        <f>IF(ISERROR(VLOOKUP( LEFT(B759, LEN(B759) - IF(ISNUMBER(RIGHT(B759, 1) * 1), 1, 0)),metadata_testudines!B$1:B$60,1,FALSE)),FALSE,TRUE)</f>
        <v>0</v>
      </c>
      <c r="F759" t="s">
        <v>660</v>
      </c>
      <c r="G759" t="s">
        <v>661</v>
      </c>
      <c r="H759">
        <v>1</v>
      </c>
      <c r="I759" t="s">
        <v>662</v>
      </c>
      <c r="J759" t="s">
        <v>663</v>
      </c>
      <c r="K759" t="s">
        <v>647</v>
      </c>
      <c r="L759" t="s">
        <v>664</v>
      </c>
      <c r="M759" t="s">
        <v>664</v>
      </c>
    </row>
    <row r="760" spans="1:13" hidden="1" x14ac:dyDescent="0.2">
      <c r="A760" s="10" t="s">
        <v>558</v>
      </c>
      <c r="B760" t="s">
        <v>211</v>
      </c>
      <c r="C760" t="s">
        <v>658</v>
      </c>
      <c r="D760" t="s">
        <v>659</v>
      </c>
      <c r="E760" s="10" t="b">
        <f>IF(ISERROR(VLOOKUP( LEFT(B760, LEN(B760) - IF(ISNUMBER(RIGHT(B760, 1) * 1), 1, 0)),metadata_testudines!B$1:B$60,1,FALSE)),FALSE,TRUE)</f>
        <v>0</v>
      </c>
      <c r="F760" t="s">
        <v>660</v>
      </c>
      <c r="G760" t="s">
        <v>679</v>
      </c>
      <c r="H760">
        <v>1</v>
      </c>
      <c r="I760" t="s">
        <v>662</v>
      </c>
      <c r="J760" t="s">
        <v>680</v>
      </c>
      <c r="K760" t="s">
        <v>647</v>
      </c>
      <c r="L760" t="s">
        <v>664</v>
      </c>
      <c r="M760" t="s">
        <v>664</v>
      </c>
    </row>
    <row r="761" spans="1:13" hidden="1" x14ac:dyDescent="0.2">
      <c r="A761" s="10" t="s">
        <v>558</v>
      </c>
      <c r="B761" t="s">
        <v>211</v>
      </c>
      <c r="C761" t="s">
        <v>658</v>
      </c>
      <c r="D761" t="s">
        <v>659</v>
      </c>
      <c r="E761" s="10" t="b">
        <f>IF(ISERROR(VLOOKUP( LEFT(B761, LEN(B761) - IF(ISNUMBER(RIGHT(B761, 1) * 1), 1, 0)),metadata_testudines!B$1:B$60,1,FALSE)),FALSE,TRUE)</f>
        <v>0</v>
      </c>
      <c r="F761" t="s">
        <v>660</v>
      </c>
      <c r="G761" t="s">
        <v>665</v>
      </c>
      <c r="H761">
        <v>1</v>
      </c>
      <c r="I761" t="s">
        <v>662</v>
      </c>
      <c r="J761" t="s">
        <v>663</v>
      </c>
      <c r="K761" t="s">
        <v>647</v>
      </c>
      <c r="L761" t="s">
        <v>664</v>
      </c>
      <c r="M761" t="s">
        <v>664</v>
      </c>
    </row>
    <row r="762" spans="1:13" hidden="1" x14ac:dyDescent="0.2">
      <c r="A762" s="10" t="s">
        <v>558</v>
      </c>
      <c r="B762" t="s">
        <v>211</v>
      </c>
      <c r="C762" t="s">
        <v>658</v>
      </c>
      <c r="D762" t="s">
        <v>659</v>
      </c>
      <c r="E762" s="10" t="b">
        <f>IF(ISERROR(VLOOKUP( LEFT(B762, LEN(B762) - IF(ISNUMBER(RIGHT(B762, 1) * 1), 1, 0)),metadata_testudines!B$1:B$60,1,FALSE)),FALSE,TRUE)</f>
        <v>0</v>
      </c>
      <c r="F762" t="s">
        <v>660</v>
      </c>
      <c r="G762" t="s">
        <v>661</v>
      </c>
      <c r="H762">
        <v>3</v>
      </c>
      <c r="I762" t="s">
        <v>662</v>
      </c>
      <c r="J762" t="s">
        <v>663</v>
      </c>
      <c r="K762" t="s">
        <v>647</v>
      </c>
      <c r="L762" t="s">
        <v>664</v>
      </c>
      <c r="M762" t="s">
        <v>664</v>
      </c>
    </row>
    <row r="763" spans="1:13" hidden="1" x14ac:dyDescent="0.2">
      <c r="A763" s="10" t="s">
        <v>558</v>
      </c>
      <c r="B763" t="s">
        <v>211</v>
      </c>
      <c r="C763" t="s">
        <v>658</v>
      </c>
      <c r="D763" t="s">
        <v>659</v>
      </c>
      <c r="E763" s="10" t="b">
        <f>IF(ISERROR(VLOOKUP( LEFT(B763, LEN(B763) - IF(ISNUMBER(RIGHT(B763, 1) * 1), 1, 0)),metadata_testudines!B$1:B$60,1,FALSE)),FALSE,TRUE)</f>
        <v>0</v>
      </c>
      <c r="F763" t="s">
        <v>660</v>
      </c>
      <c r="G763" t="s">
        <v>665</v>
      </c>
      <c r="H763">
        <v>1</v>
      </c>
      <c r="I763" t="s">
        <v>662</v>
      </c>
      <c r="J763" t="s">
        <v>663</v>
      </c>
      <c r="K763" t="s">
        <v>647</v>
      </c>
      <c r="L763" t="s">
        <v>664</v>
      </c>
      <c r="M763" t="s">
        <v>664</v>
      </c>
    </row>
    <row r="764" spans="1:13" hidden="1" x14ac:dyDescent="0.2">
      <c r="A764" s="10" t="s">
        <v>558</v>
      </c>
      <c r="B764" t="s">
        <v>211</v>
      </c>
      <c r="C764" t="s">
        <v>658</v>
      </c>
      <c r="D764" t="s">
        <v>659</v>
      </c>
      <c r="E764" s="10" t="b">
        <f>IF(ISERROR(VLOOKUP( LEFT(B764, LEN(B764) - IF(ISNUMBER(RIGHT(B764, 1) * 1), 1, 0)),metadata_testudines!B$1:B$60,1,FALSE)),FALSE,TRUE)</f>
        <v>0</v>
      </c>
      <c r="F764" t="s">
        <v>660</v>
      </c>
      <c r="G764" t="s">
        <v>665</v>
      </c>
      <c r="H764">
        <v>3.49122807</v>
      </c>
      <c r="I764" t="s">
        <v>662</v>
      </c>
      <c r="J764" t="s">
        <v>663</v>
      </c>
      <c r="K764" t="s">
        <v>647</v>
      </c>
      <c r="L764" t="s">
        <v>664</v>
      </c>
      <c r="M764" t="s">
        <v>664</v>
      </c>
    </row>
    <row r="765" spans="1:13" hidden="1" x14ac:dyDescent="0.2">
      <c r="A765" s="10" t="s">
        <v>558</v>
      </c>
      <c r="B765" t="s">
        <v>211</v>
      </c>
      <c r="C765" t="s">
        <v>658</v>
      </c>
      <c r="D765" t="s">
        <v>659</v>
      </c>
      <c r="E765" s="10" t="b">
        <f>IF(ISERROR(VLOOKUP( LEFT(B765, LEN(B765) - IF(ISNUMBER(RIGHT(B765, 1) * 1), 1, 0)),metadata_testudines!B$1:B$60,1,FALSE)),FALSE,TRUE)</f>
        <v>0</v>
      </c>
      <c r="F765" t="s">
        <v>660</v>
      </c>
      <c r="G765" t="s">
        <v>661</v>
      </c>
      <c r="H765">
        <v>3</v>
      </c>
      <c r="I765" t="s">
        <v>662</v>
      </c>
      <c r="J765" t="s">
        <v>663</v>
      </c>
      <c r="K765" t="s">
        <v>647</v>
      </c>
      <c r="L765" t="s">
        <v>664</v>
      </c>
      <c r="M765" t="s">
        <v>664</v>
      </c>
    </row>
    <row r="766" spans="1:13" hidden="1" x14ac:dyDescent="0.2">
      <c r="A766" s="10" t="s">
        <v>558</v>
      </c>
      <c r="B766" t="s">
        <v>211</v>
      </c>
      <c r="C766" t="s">
        <v>658</v>
      </c>
      <c r="D766" t="s">
        <v>659</v>
      </c>
      <c r="E766" s="10" t="b">
        <f>IF(ISERROR(VLOOKUP( LEFT(B766, LEN(B766) - IF(ISNUMBER(RIGHT(B766, 1) * 1), 1, 0)),metadata_testudines!B$1:B$60,1,FALSE)),FALSE,TRUE)</f>
        <v>0</v>
      </c>
      <c r="F766" t="s">
        <v>660</v>
      </c>
      <c r="G766" t="s">
        <v>665</v>
      </c>
      <c r="H766">
        <v>1</v>
      </c>
      <c r="I766" t="s">
        <v>662</v>
      </c>
      <c r="J766" t="s">
        <v>663</v>
      </c>
      <c r="K766" t="s">
        <v>647</v>
      </c>
      <c r="L766" t="s">
        <v>664</v>
      </c>
      <c r="M766" t="s">
        <v>664</v>
      </c>
    </row>
    <row r="767" spans="1:13" hidden="1" x14ac:dyDescent="0.2">
      <c r="A767" s="10" t="s">
        <v>558</v>
      </c>
      <c r="B767" t="s">
        <v>211</v>
      </c>
      <c r="C767" t="s">
        <v>658</v>
      </c>
      <c r="D767" t="s">
        <v>659</v>
      </c>
      <c r="E767" s="10" t="b">
        <f>IF(ISERROR(VLOOKUP( LEFT(B767, LEN(B767) - IF(ISNUMBER(RIGHT(B767, 1) * 1), 1, 0)),metadata_testudines!B$1:B$60,1,FALSE)),FALSE,TRUE)</f>
        <v>0</v>
      </c>
      <c r="F767" t="s">
        <v>660</v>
      </c>
      <c r="G767" t="s">
        <v>661</v>
      </c>
      <c r="H767">
        <v>1</v>
      </c>
      <c r="I767" t="s">
        <v>662</v>
      </c>
      <c r="J767" t="s">
        <v>663</v>
      </c>
      <c r="K767" t="s">
        <v>647</v>
      </c>
      <c r="L767" t="s">
        <v>664</v>
      </c>
      <c r="M767" t="s">
        <v>664</v>
      </c>
    </row>
    <row r="768" spans="1:13" hidden="1" x14ac:dyDescent="0.2">
      <c r="A768" s="10" t="s">
        <v>558</v>
      </c>
      <c r="B768" t="s">
        <v>211</v>
      </c>
      <c r="C768" t="s">
        <v>658</v>
      </c>
      <c r="D768" t="s">
        <v>659</v>
      </c>
      <c r="E768" s="10" t="b">
        <f>IF(ISERROR(VLOOKUP( LEFT(B768, LEN(B768) - IF(ISNUMBER(RIGHT(B768, 1) * 1), 1, 0)),metadata_testudines!B$1:B$60,1,FALSE)),FALSE,TRUE)</f>
        <v>0</v>
      </c>
      <c r="F768" t="s">
        <v>660</v>
      </c>
      <c r="G768" t="s">
        <v>661</v>
      </c>
      <c r="H768">
        <v>1</v>
      </c>
      <c r="I768" t="s">
        <v>662</v>
      </c>
      <c r="J768" t="s">
        <v>663</v>
      </c>
      <c r="K768" t="s">
        <v>647</v>
      </c>
      <c r="L768" t="s">
        <v>664</v>
      </c>
      <c r="M768" t="s">
        <v>664</v>
      </c>
    </row>
    <row r="769" spans="1:13" hidden="1" x14ac:dyDescent="0.2">
      <c r="A769" s="10" t="s">
        <v>558</v>
      </c>
      <c r="B769" t="s">
        <v>211</v>
      </c>
      <c r="C769" t="s">
        <v>658</v>
      </c>
      <c r="D769" t="s">
        <v>659</v>
      </c>
      <c r="E769" s="10" t="b">
        <f>IF(ISERROR(VLOOKUP( LEFT(B769, LEN(B769) - IF(ISNUMBER(RIGHT(B769, 1) * 1), 1, 0)),metadata_testudines!B$1:B$60,1,FALSE)),FALSE,TRUE)</f>
        <v>0</v>
      </c>
      <c r="F769" t="s">
        <v>660</v>
      </c>
      <c r="G769" t="s">
        <v>661</v>
      </c>
      <c r="H769">
        <v>1</v>
      </c>
      <c r="I769" t="s">
        <v>662</v>
      </c>
      <c r="J769" t="s">
        <v>663</v>
      </c>
      <c r="K769" t="s">
        <v>647</v>
      </c>
      <c r="L769" t="s">
        <v>664</v>
      </c>
      <c r="M769" t="s">
        <v>664</v>
      </c>
    </row>
    <row r="770" spans="1:13" hidden="1" x14ac:dyDescent="0.2">
      <c r="A770" s="10" t="s">
        <v>558</v>
      </c>
      <c r="B770" t="s">
        <v>211</v>
      </c>
      <c r="C770" t="s">
        <v>658</v>
      </c>
      <c r="D770" t="s">
        <v>659</v>
      </c>
      <c r="E770" s="10" t="b">
        <f>IF(ISERROR(VLOOKUP( LEFT(B770, LEN(B770) - IF(ISNUMBER(RIGHT(B770, 1) * 1), 1, 0)),metadata_testudines!B$1:B$60,1,FALSE)),FALSE,TRUE)</f>
        <v>0</v>
      </c>
      <c r="F770" t="s">
        <v>660</v>
      </c>
      <c r="G770" t="s">
        <v>665</v>
      </c>
      <c r="H770">
        <v>1</v>
      </c>
      <c r="I770" t="s">
        <v>662</v>
      </c>
      <c r="J770" t="s">
        <v>663</v>
      </c>
      <c r="K770" t="s">
        <v>647</v>
      </c>
      <c r="L770" t="s">
        <v>664</v>
      </c>
      <c r="M770" t="s">
        <v>664</v>
      </c>
    </row>
    <row r="771" spans="1:13" hidden="1" x14ac:dyDescent="0.2">
      <c r="A771" s="10" t="s">
        <v>558</v>
      </c>
      <c r="B771" t="s">
        <v>211</v>
      </c>
      <c r="C771" t="s">
        <v>658</v>
      </c>
      <c r="D771" t="s">
        <v>659</v>
      </c>
      <c r="E771" s="10" t="b">
        <f>IF(ISERROR(VLOOKUP( LEFT(B771, LEN(B771) - IF(ISNUMBER(RIGHT(B771, 1) * 1), 1, 0)),metadata_testudines!B$1:B$60,1,FALSE)),FALSE,TRUE)</f>
        <v>0</v>
      </c>
      <c r="F771" t="s">
        <v>660</v>
      </c>
      <c r="G771" t="s">
        <v>661</v>
      </c>
      <c r="H771">
        <v>1.7538461540000001</v>
      </c>
      <c r="I771" t="s">
        <v>662</v>
      </c>
      <c r="J771" t="s">
        <v>663</v>
      </c>
      <c r="K771" t="s">
        <v>647</v>
      </c>
      <c r="L771" t="s">
        <v>664</v>
      </c>
      <c r="M771" t="s">
        <v>664</v>
      </c>
    </row>
    <row r="772" spans="1:13" hidden="1" x14ac:dyDescent="0.2">
      <c r="A772" s="10" t="s">
        <v>558</v>
      </c>
      <c r="B772" t="s">
        <v>211</v>
      </c>
      <c r="C772" t="s">
        <v>658</v>
      </c>
      <c r="D772" t="s">
        <v>659</v>
      </c>
      <c r="E772" s="10" t="b">
        <f>IF(ISERROR(VLOOKUP( LEFT(B772, LEN(B772) - IF(ISNUMBER(RIGHT(B772, 1) * 1), 1, 0)),metadata_testudines!B$1:B$60,1,FALSE)),FALSE,TRUE)</f>
        <v>0</v>
      </c>
      <c r="F772" t="s">
        <v>660</v>
      </c>
      <c r="G772" t="s">
        <v>679</v>
      </c>
      <c r="H772">
        <v>1</v>
      </c>
      <c r="I772" t="s">
        <v>662</v>
      </c>
      <c r="J772" t="s">
        <v>680</v>
      </c>
      <c r="K772" t="s">
        <v>647</v>
      </c>
      <c r="L772" t="s">
        <v>664</v>
      </c>
      <c r="M772" t="s">
        <v>664</v>
      </c>
    </row>
    <row r="773" spans="1:13" hidden="1" x14ac:dyDescent="0.2">
      <c r="A773" s="10" t="s">
        <v>558</v>
      </c>
      <c r="B773" t="s">
        <v>211</v>
      </c>
      <c r="C773" t="s">
        <v>658</v>
      </c>
      <c r="D773" t="s">
        <v>659</v>
      </c>
      <c r="E773" s="10" t="b">
        <f>IF(ISERROR(VLOOKUP( LEFT(B773, LEN(B773) - IF(ISNUMBER(RIGHT(B773, 1) * 1), 1, 0)),metadata_testudines!B$1:B$60,1,FALSE)),FALSE,TRUE)</f>
        <v>0</v>
      </c>
      <c r="F773" t="s">
        <v>660</v>
      </c>
      <c r="G773" t="s">
        <v>665</v>
      </c>
      <c r="H773">
        <v>1</v>
      </c>
      <c r="I773" t="s">
        <v>662</v>
      </c>
      <c r="J773" t="s">
        <v>663</v>
      </c>
      <c r="K773" t="s">
        <v>647</v>
      </c>
      <c r="L773" t="s">
        <v>664</v>
      </c>
      <c r="M773" t="s">
        <v>664</v>
      </c>
    </row>
    <row r="774" spans="1:13" hidden="1" x14ac:dyDescent="0.2">
      <c r="A774" s="10" t="s">
        <v>558</v>
      </c>
      <c r="B774" t="s">
        <v>211</v>
      </c>
      <c r="C774" t="s">
        <v>658</v>
      </c>
      <c r="D774" t="s">
        <v>659</v>
      </c>
      <c r="E774" s="10" t="b">
        <f>IF(ISERROR(VLOOKUP( LEFT(B774, LEN(B774) - IF(ISNUMBER(RIGHT(B774, 1) * 1), 1, 0)),metadata_testudines!B$1:B$60,1,FALSE)),FALSE,TRUE)</f>
        <v>0</v>
      </c>
      <c r="F774" t="s">
        <v>660</v>
      </c>
      <c r="G774" t="s">
        <v>679</v>
      </c>
      <c r="H774">
        <v>1</v>
      </c>
      <c r="I774" t="s">
        <v>662</v>
      </c>
      <c r="J774" t="s">
        <v>680</v>
      </c>
      <c r="K774" t="s">
        <v>647</v>
      </c>
      <c r="L774" t="s">
        <v>664</v>
      </c>
      <c r="M774" t="s">
        <v>664</v>
      </c>
    </row>
    <row r="775" spans="1:13" hidden="1" x14ac:dyDescent="0.2">
      <c r="A775" s="10" t="s">
        <v>558</v>
      </c>
      <c r="B775" t="s">
        <v>211</v>
      </c>
      <c r="C775" t="s">
        <v>658</v>
      </c>
      <c r="D775" t="s">
        <v>659</v>
      </c>
      <c r="E775" s="10" t="b">
        <f>IF(ISERROR(VLOOKUP( LEFT(B775, LEN(B775) - IF(ISNUMBER(RIGHT(B775, 1) * 1), 1, 0)),metadata_testudines!B$1:B$60,1,FALSE)),FALSE,TRUE)</f>
        <v>0</v>
      </c>
      <c r="F775" t="s">
        <v>660</v>
      </c>
      <c r="G775" t="s">
        <v>679</v>
      </c>
      <c r="H775">
        <v>1</v>
      </c>
      <c r="I775" t="s">
        <v>662</v>
      </c>
      <c r="J775" t="s">
        <v>680</v>
      </c>
      <c r="K775" t="s">
        <v>647</v>
      </c>
      <c r="L775" t="s">
        <v>664</v>
      </c>
      <c r="M775" t="s">
        <v>664</v>
      </c>
    </row>
    <row r="776" spans="1:13" hidden="1" x14ac:dyDescent="0.2">
      <c r="A776" s="10" t="s">
        <v>558</v>
      </c>
      <c r="B776" t="s">
        <v>211</v>
      </c>
      <c r="C776" t="s">
        <v>658</v>
      </c>
      <c r="D776" t="s">
        <v>659</v>
      </c>
      <c r="E776" s="10" t="b">
        <f>IF(ISERROR(VLOOKUP( LEFT(B776, LEN(B776) - IF(ISNUMBER(RIGHT(B776, 1) * 1), 1, 0)),metadata_testudines!B$1:B$60,1,FALSE)),FALSE,TRUE)</f>
        <v>0</v>
      </c>
      <c r="F776" t="s">
        <v>660</v>
      </c>
      <c r="G776" t="s">
        <v>661</v>
      </c>
      <c r="H776">
        <v>1</v>
      </c>
      <c r="I776" t="s">
        <v>662</v>
      </c>
      <c r="J776" t="s">
        <v>663</v>
      </c>
      <c r="K776" t="s">
        <v>647</v>
      </c>
      <c r="L776" t="s">
        <v>664</v>
      </c>
      <c r="M776" t="s">
        <v>664</v>
      </c>
    </row>
    <row r="777" spans="1:13" hidden="1" x14ac:dyDescent="0.2">
      <c r="A777" s="10" t="s">
        <v>558</v>
      </c>
      <c r="B777" t="s">
        <v>211</v>
      </c>
      <c r="C777" t="s">
        <v>658</v>
      </c>
      <c r="D777" t="s">
        <v>659</v>
      </c>
      <c r="E777" s="10" t="b">
        <f>IF(ISERROR(VLOOKUP( LEFT(B777, LEN(B777) - IF(ISNUMBER(RIGHT(B777, 1) * 1), 1, 0)),metadata_testudines!B$1:B$60,1,FALSE)),FALSE,TRUE)</f>
        <v>0</v>
      </c>
      <c r="F777" t="s">
        <v>681</v>
      </c>
      <c r="G777" t="s">
        <v>685</v>
      </c>
      <c r="H777">
        <v>0.66</v>
      </c>
      <c r="I777" t="s">
        <v>667</v>
      </c>
      <c r="J777" t="s">
        <v>683</v>
      </c>
      <c r="K777" t="s">
        <v>645</v>
      </c>
      <c r="L777" t="s">
        <v>646</v>
      </c>
      <c r="M777" t="s">
        <v>664</v>
      </c>
    </row>
    <row r="778" spans="1:13" hidden="1" x14ac:dyDescent="0.2">
      <c r="A778" s="10" t="s">
        <v>558</v>
      </c>
      <c r="B778" t="s">
        <v>211</v>
      </c>
      <c r="C778" t="s">
        <v>658</v>
      </c>
      <c r="D778" t="s">
        <v>659</v>
      </c>
      <c r="E778" s="10" t="b">
        <f>IF(ISERROR(VLOOKUP( LEFT(B778, LEN(B778) - IF(ISNUMBER(RIGHT(B778, 1) * 1), 1, 0)),metadata_testudines!B$1:B$60,1,FALSE)),FALSE,TRUE)</f>
        <v>0</v>
      </c>
      <c r="F778" t="s">
        <v>660</v>
      </c>
      <c r="G778" t="s">
        <v>679</v>
      </c>
      <c r="H778">
        <v>1</v>
      </c>
      <c r="I778" t="s">
        <v>662</v>
      </c>
      <c r="J778" t="s">
        <v>680</v>
      </c>
      <c r="K778" t="s">
        <v>647</v>
      </c>
      <c r="L778" t="s">
        <v>664</v>
      </c>
      <c r="M778" t="s">
        <v>664</v>
      </c>
    </row>
    <row r="779" spans="1:13" hidden="1" x14ac:dyDescent="0.2">
      <c r="A779" s="10" t="s">
        <v>558</v>
      </c>
      <c r="B779" t="s">
        <v>65</v>
      </c>
      <c r="C779" t="s">
        <v>658</v>
      </c>
      <c r="D779" t="s">
        <v>659</v>
      </c>
      <c r="E779" s="10" t="b">
        <f>IF(ISERROR(VLOOKUP( LEFT(B779, LEN(B779) - IF(ISNUMBER(RIGHT(B779, 1) * 1), 1, 0)),metadata_testudines!B$1:B$60,1,FALSE)),FALSE,TRUE)</f>
        <v>1</v>
      </c>
      <c r="F779" t="s">
        <v>660</v>
      </c>
      <c r="G779" t="s">
        <v>669</v>
      </c>
      <c r="H779">
        <v>4382.88</v>
      </c>
      <c r="I779" t="s">
        <v>662</v>
      </c>
      <c r="J779" t="s">
        <v>670</v>
      </c>
      <c r="K779" t="s">
        <v>647</v>
      </c>
      <c r="L779" t="s">
        <v>647</v>
      </c>
      <c r="M779" t="s">
        <v>664</v>
      </c>
    </row>
    <row r="780" spans="1:13" hidden="1" x14ac:dyDescent="0.2">
      <c r="A780" s="10" t="s">
        <v>558</v>
      </c>
      <c r="B780" t="s">
        <v>65</v>
      </c>
      <c r="C780" t="s">
        <v>658</v>
      </c>
      <c r="D780" t="s">
        <v>659</v>
      </c>
      <c r="E780" s="10" t="b">
        <f>IF(ISERROR(VLOOKUP( LEFT(B780, LEN(B780) - IF(ISNUMBER(RIGHT(B780, 1) * 1), 1, 0)),metadata_testudines!B$1:B$60,1,FALSE)),FALSE,TRUE)</f>
        <v>1</v>
      </c>
      <c r="F780" t="s">
        <v>660</v>
      </c>
      <c r="G780" t="s">
        <v>661</v>
      </c>
      <c r="H780">
        <v>1</v>
      </c>
      <c r="I780" t="s">
        <v>662</v>
      </c>
      <c r="J780" t="s">
        <v>663</v>
      </c>
      <c r="K780" t="s">
        <v>647</v>
      </c>
      <c r="L780" t="s">
        <v>664</v>
      </c>
      <c r="M780" t="s">
        <v>664</v>
      </c>
    </row>
    <row r="781" spans="1:13" hidden="1" x14ac:dyDescent="0.2">
      <c r="A781" s="10" t="s">
        <v>558</v>
      </c>
      <c r="B781" t="s">
        <v>65</v>
      </c>
      <c r="C781" t="s">
        <v>658</v>
      </c>
      <c r="D781" t="s">
        <v>659</v>
      </c>
      <c r="E781" s="10" t="b">
        <f>IF(ISERROR(VLOOKUP( LEFT(B781, LEN(B781) - IF(ISNUMBER(RIGHT(B781, 1) * 1), 1, 0)),metadata_testudines!B$1:B$60,1,FALSE)),FALSE,TRUE)</f>
        <v>1</v>
      </c>
      <c r="F781" t="s">
        <v>660</v>
      </c>
      <c r="G781" t="s">
        <v>679</v>
      </c>
      <c r="H781">
        <v>1</v>
      </c>
      <c r="I781" t="s">
        <v>662</v>
      </c>
      <c r="J781" t="s">
        <v>680</v>
      </c>
      <c r="K781" t="s">
        <v>647</v>
      </c>
      <c r="L781" t="s">
        <v>664</v>
      </c>
      <c r="M781" t="s">
        <v>664</v>
      </c>
    </row>
    <row r="782" spans="1:13" hidden="1" x14ac:dyDescent="0.2">
      <c r="A782" s="10" t="s">
        <v>558</v>
      </c>
      <c r="B782" t="s">
        <v>65</v>
      </c>
      <c r="C782" t="s">
        <v>658</v>
      </c>
      <c r="D782" t="s">
        <v>659</v>
      </c>
      <c r="E782" s="10" t="b">
        <f>IF(ISERROR(VLOOKUP( LEFT(B782, LEN(B782) - IF(ISNUMBER(RIGHT(B782, 1) * 1), 1, 0)),metadata_testudines!B$1:B$60,1,FALSE)),FALSE,TRUE)</f>
        <v>1</v>
      </c>
      <c r="F782" t="s">
        <v>660</v>
      </c>
      <c r="G782" t="s">
        <v>665</v>
      </c>
      <c r="H782">
        <v>1</v>
      </c>
      <c r="I782" t="s">
        <v>662</v>
      </c>
      <c r="J782" t="s">
        <v>663</v>
      </c>
      <c r="K782" t="s">
        <v>647</v>
      </c>
      <c r="L782" t="s">
        <v>664</v>
      </c>
      <c r="M782" t="s">
        <v>664</v>
      </c>
    </row>
    <row r="783" spans="1:13" hidden="1" x14ac:dyDescent="0.2">
      <c r="A783" s="10" t="s">
        <v>558</v>
      </c>
      <c r="B783" t="s">
        <v>65</v>
      </c>
      <c r="C783" t="s">
        <v>658</v>
      </c>
      <c r="D783" t="s">
        <v>659</v>
      </c>
      <c r="E783" s="10" t="b">
        <f>IF(ISERROR(VLOOKUP( LEFT(B783, LEN(B783) - IF(ISNUMBER(RIGHT(B783, 1) * 1), 1, 0)),metadata_testudines!B$1:B$60,1,FALSE)),FALSE,TRUE)</f>
        <v>1</v>
      </c>
      <c r="F783" t="s">
        <v>660</v>
      </c>
      <c r="G783" t="s">
        <v>679</v>
      </c>
      <c r="H783">
        <v>1</v>
      </c>
      <c r="I783" t="s">
        <v>662</v>
      </c>
      <c r="J783" t="s">
        <v>680</v>
      </c>
      <c r="K783" t="s">
        <v>647</v>
      </c>
      <c r="L783" t="s">
        <v>664</v>
      </c>
      <c r="M783" t="s">
        <v>664</v>
      </c>
    </row>
    <row r="784" spans="1:13" hidden="1" x14ac:dyDescent="0.2">
      <c r="A784" s="10" t="s">
        <v>558</v>
      </c>
      <c r="B784" t="s">
        <v>65</v>
      </c>
      <c r="C784" t="s">
        <v>658</v>
      </c>
      <c r="D784" t="s">
        <v>659</v>
      </c>
      <c r="E784" s="10" t="b">
        <f>IF(ISERROR(VLOOKUP( LEFT(B784, LEN(B784) - IF(ISNUMBER(RIGHT(B784, 1) * 1), 1, 0)),metadata_testudines!B$1:B$60,1,FALSE)),FALSE,TRUE)</f>
        <v>1</v>
      </c>
      <c r="F784" t="s">
        <v>660</v>
      </c>
      <c r="G784" t="s">
        <v>661</v>
      </c>
      <c r="H784">
        <v>1</v>
      </c>
      <c r="I784" t="s">
        <v>662</v>
      </c>
      <c r="J784" t="s">
        <v>663</v>
      </c>
      <c r="K784" t="s">
        <v>647</v>
      </c>
      <c r="L784" t="s">
        <v>664</v>
      </c>
      <c r="M784" t="s">
        <v>664</v>
      </c>
    </row>
    <row r="785" spans="1:13" hidden="1" x14ac:dyDescent="0.2">
      <c r="A785" s="10" t="s">
        <v>558</v>
      </c>
      <c r="B785" t="s">
        <v>65</v>
      </c>
      <c r="C785" t="s">
        <v>658</v>
      </c>
      <c r="D785" t="s">
        <v>659</v>
      </c>
      <c r="E785" s="10" t="b">
        <f>IF(ISERROR(VLOOKUP( LEFT(B785, LEN(B785) - IF(ISNUMBER(RIGHT(B785, 1) * 1), 1, 0)),metadata_testudines!B$1:B$60,1,FALSE)),FALSE,TRUE)</f>
        <v>1</v>
      </c>
      <c r="F785" t="s">
        <v>660</v>
      </c>
      <c r="G785" t="s">
        <v>665</v>
      </c>
      <c r="H785">
        <v>1</v>
      </c>
      <c r="I785" t="s">
        <v>662</v>
      </c>
      <c r="J785" t="s">
        <v>663</v>
      </c>
      <c r="K785" t="s">
        <v>647</v>
      </c>
      <c r="L785" t="s">
        <v>664</v>
      </c>
      <c r="M785" t="s">
        <v>664</v>
      </c>
    </row>
    <row r="786" spans="1:13" hidden="1" x14ac:dyDescent="0.2">
      <c r="A786" s="10" t="s">
        <v>558</v>
      </c>
      <c r="B786" t="s">
        <v>65</v>
      </c>
      <c r="C786" t="s">
        <v>658</v>
      </c>
      <c r="D786" t="s">
        <v>659</v>
      </c>
      <c r="E786" s="10" t="b">
        <f>IF(ISERROR(VLOOKUP( LEFT(B786, LEN(B786) - IF(ISNUMBER(RIGHT(B786, 1) * 1), 1, 0)),metadata_testudines!B$1:B$60,1,FALSE)),FALSE,TRUE)</f>
        <v>1</v>
      </c>
      <c r="F786" t="s">
        <v>660</v>
      </c>
      <c r="G786" t="s">
        <v>661</v>
      </c>
      <c r="H786">
        <v>1</v>
      </c>
      <c r="I786" t="s">
        <v>662</v>
      </c>
      <c r="J786" t="s">
        <v>663</v>
      </c>
      <c r="K786" t="s">
        <v>647</v>
      </c>
      <c r="L786" t="s">
        <v>664</v>
      </c>
      <c r="M786" t="s">
        <v>664</v>
      </c>
    </row>
    <row r="787" spans="1:13" hidden="1" x14ac:dyDescent="0.2">
      <c r="A787" s="10" t="s">
        <v>558</v>
      </c>
      <c r="B787" t="s">
        <v>66</v>
      </c>
      <c r="C787" t="s">
        <v>658</v>
      </c>
      <c r="D787" t="s">
        <v>659</v>
      </c>
      <c r="E787" s="10" t="b">
        <f>IF(ISERROR(VLOOKUP( LEFT(B787, LEN(B787) - IF(ISNUMBER(RIGHT(B787, 1) * 1), 1, 0)),metadata_testudines!B$1:B$60,1,FALSE)),FALSE,TRUE)</f>
        <v>1</v>
      </c>
      <c r="F787" t="s">
        <v>660</v>
      </c>
      <c r="G787" t="s">
        <v>675</v>
      </c>
      <c r="H787">
        <v>3652.4</v>
      </c>
      <c r="I787" t="s">
        <v>662</v>
      </c>
      <c r="J787" t="s">
        <v>670</v>
      </c>
      <c r="K787" t="s">
        <v>647</v>
      </c>
      <c r="L787" t="s">
        <v>646</v>
      </c>
      <c r="M787" t="s">
        <v>664</v>
      </c>
    </row>
    <row r="788" spans="1:13" hidden="1" x14ac:dyDescent="0.2">
      <c r="A788" s="10" t="s">
        <v>558</v>
      </c>
      <c r="B788" t="s">
        <v>66</v>
      </c>
      <c r="C788" t="s">
        <v>658</v>
      </c>
      <c r="D788" t="s">
        <v>659</v>
      </c>
      <c r="E788" s="10" t="b">
        <f>IF(ISERROR(VLOOKUP( LEFT(B788, LEN(B788) - IF(ISNUMBER(RIGHT(B788, 1) * 1), 1, 0)),metadata_testudines!B$1:B$60,1,FALSE)),FALSE,TRUE)</f>
        <v>1</v>
      </c>
      <c r="F788" t="s">
        <v>660</v>
      </c>
      <c r="G788" t="s">
        <v>661</v>
      </c>
      <c r="H788">
        <v>1.331428571</v>
      </c>
      <c r="I788" t="s">
        <v>662</v>
      </c>
      <c r="J788" t="s">
        <v>663</v>
      </c>
      <c r="K788" t="s">
        <v>647</v>
      </c>
      <c r="L788" t="s">
        <v>664</v>
      </c>
      <c r="M788" t="s">
        <v>664</v>
      </c>
    </row>
    <row r="789" spans="1:13" hidden="1" x14ac:dyDescent="0.2">
      <c r="A789" s="10" t="s">
        <v>558</v>
      </c>
      <c r="B789" t="s">
        <v>66</v>
      </c>
      <c r="C789" t="s">
        <v>658</v>
      </c>
      <c r="D789" t="s">
        <v>659</v>
      </c>
      <c r="E789" s="10" t="b">
        <f>IF(ISERROR(VLOOKUP( LEFT(B789, LEN(B789) - IF(ISNUMBER(RIGHT(B789, 1) * 1), 1, 0)),metadata_testudines!B$1:B$60,1,FALSE)),FALSE,TRUE)</f>
        <v>1</v>
      </c>
      <c r="F789" t="s">
        <v>660</v>
      </c>
      <c r="G789" t="s">
        <v>665</v>
      </c>
      <c r="H789">
        <v>3</v>
      </c>
      <c r="I789" t="s">
        <v>662</v>
      </c>
      <c r="J789" t="s">
        <v>663</v>
      </c>
      <c r="K789" t="s">
        <v>647</v>
      </c>
      <c r="L789" t="s">
        <v>664</v>
      </c>
      <c r="M789" t="s">
        <v>664</v>
      </c>
    </row>
    <row r="790" spans="1:13" hidden="1" x14ac:dyDescent="0.2">
      <c r="A790" s="10" t="s">
        <v>558</v>
      </c>
      <c r="B790" t="s">
        <v>66</v>
      </c>
      <c r="C790" t="s">
        <v>658</v>
      </c>
      <c r="D790" t="s">
        <v>659</v>
      </c>
      <c r="E790" s="10" t="b">
        <f>IF(ISERROR(VLOOKUP( LEFT(B790, LEN(B790) - IF(ISNUMBER(RIGHT(B790, 1) * 1), 1, 0)),metadata_testudines!B$1:B$60,1,FALSE)),FALSE,TRUE)</f>
        <v>1</v>
      </c>
      <c r="F790" t="s">
        <v>660</v>
      </c>
      <c r="G790" t="s">
        <v>665</v>
      </c>
      <c r="H790">
        <v>1</v>
      </c>
      <c r="I790" t="s">
        <v>662</v>
      </c>
      <c r="J790" t="s">
        <v>663</v>
      </c>
      <c r="K790" t="s">
        <v>647</v>
      </c>
      <c r="L790" t="s">
        <v>664</v>
      </c>
      <c r="M790" t="s">
        <v>664</v>
      </c>
    </row>
    <row r="791" spans="1:13" hidden="1" x14ac:dyDescent="0.2">
      <c r="A791" s="10" t="s">
        <v>558</v>
      </c>
      <c r="B791" t="s">
        <v>66</v>
      </c>
      <c r="C791" t="s">
        <v>658</v>
      </c>
      <c r="D791" t="s">
        <v>659</v>
      </c>
      <c r="E791" s="10" t="b">
        <f>IF(ISERROR(VLOOKUP( LEFT(B791, LEN(B791) - IF(ISNUMBER(RIGHT(B791, 1) * 1), 1, 0)),metadata_testudines!B$1:B$60,1,FALSE)),FALSE,TRUE)</f>
        <v>1</v>
      </c>
      <c r="F791" t="s">
        <v>660</v>
      </c>
      <c r="G791" t="s">
        <v>665</v>
      </c>
      <c r="H791">
        <v>3.004291845</v>
      </c>
      <c r="I791" t="s">
        <v>662</v>
      </c>
      <c r="J791" t="s">
        <v>663</v>
      </c>
      <c r="K791" t="s">
        <v>647</v>
      </c>
      <c r="L791" t="s">
        <v>664</v>
      </c>
      <c r="M791" t="s">
        <v>664</v>
      </c>
    </row>
    <row r="792" spans="1:13" hidden="1" x14ac:dyDescent="0.2">
      <c r="A792" s="10" t="s">
        <v>558</v>
      </c>
      <c r="B792" t="s">
        <v>66</v>
      </c>
      <c r="C792" t="s">
        <v>658</v>
      </c>
      <c r="D792" t="s">
        <v>659</v>
      </c>
      <c r="E792" s="10" t="b">
        <f>IF(ISERROR(VLOOKUP( LEFT(B792, LEN(B792) - IF(ISNUMBER(RIGHT(B792, 1) * 1), 1, 0)),metadata_testudines!B$1:B$60,1,FALSE)),FALSE,TRUE)</f>
        <v>1</v>
      </c>
      <c r="F792" t="s">
        <v>660</v>
      </c>
      <c r="G792" t="s">
        <v>661</v>
      </c>
      <c r="H792">
        <v>1</v>
      </c>
      <c r="I792" t="s">
        <v>662</v>
      </c>
      <c r="J792" t="s">
        <v>663</v>
      </c>
      <c r="K792" t="s">
        <v>647</v>
      </c>
      <c r="L792" t="s">
        <v>664</v>
      </c>
      <c r="M792" t="s">
        <v>664</v>
      </c>
    </row>
    <row r="793" spans="1:13" hidden="1" x14ac:dyDescent="0.2">
      <c r="A793" s="10" t="s">
        <v>558</v>
      </c>
      <c r="B793" t="s">
        <v>63</v>
      </c>
      <c r="C793" t="s">
        <v>658</v>
      </c>
      <c r="D793" t="s">
        <v>659</v>
      </c>
      <c r="E793" s="10" t="b">
        <f>IF(ISERROR(VLOOKUP( LEFT(B793, LEN(B793) - IF(ISNUMBER(RIGHT(B793, 1) * 1), 1, 0)),metadata_testudines!B$1:B$60,1,FALSE)),FALSE,TRUE)</f>
        <v>1</v>
      </c>
      <c r="F793" t="s">
        <v>660</v>
      </c>
      <c r="G793" t="s">
        <v>679</v>
      </c>
      <c r="H793">
        <v>1</v>
      </c>
      <c r="I793" t="s">
        <v>662</v>
      </c>
      <c r="J793" t="s">
        <v>680</v>
      </c>
      <c r="K793" t="s">
        <v>647</v>
      </c>
      <c r="L793" t="s">
        <v>664</v>
      </c>
      <c r="M793" t="s">
        <v>664</v>
      </c>
    </row>
    <row r="794" spans="1:13" hidden="1" x14ac:dyDescent="0.2">
      <c r="A794" s="10" t="s">
        <v>558</v>
      </c>
      <c r="B794" t="s">
        <v>63</v>
      </c>
      <c r="C794" t="s">
        <v>658</v>
      </c>
      <c r="D794" t="s">
        <v>659</v>
      </c>
      <c r="E794" s="10" t="b">
        <f>IF(ISERROR(VLOOKUP( LEFT(B794, LEN(B794) - IF(ISNUMBER(RIGHT(B794, 1) * 1), 1, 0)),metadata_testudines!B$1:B$60,1,FALSE)),FALSE,TRUE)</f>
        <v>1</v>
      </c>
      <c r="F794" t="s">
        <v>660</v>
      </c>
      <c r="G794" t="s">
        <v>666</v>
      </c>
      <c r="H794">
        <v>30</v>
      </c>
      <c r="I794" t="s">
        <v>667</v>
      </c>
      <c r="J794" t="s">
        <v>668</v>
      </c>
      <c r="K794" t="s">
        <v>647</v>
      </c>
      <c r="L794" t="s">
        <v>664</v>
      </c>
      <c r="M794" t="s">
        <v>664</v>
      </c>
    </row>
    <row r="795" spans="1:13" hidden="1" x14ac:dyDescent="0.2">
      <c r="A795" s="10" t="s">
        <v>558</v>
      </c>
      <c r="B795" t="s">
        <v>63</v>
      </c>
      <c r="C795" t="s">
        <v>658</v>
      </c>
      <c r="D795" t="s">
        <v>659</v>
      </c>
      <c r="E795" s="10" t="b">
        <f>IF(ISERROR(VLOOKUP( LEFT(B795, LEN(B795) - IF(ISNUMBER(RIGHT(B795, 1) * 1), 1, 0)),metadata_testudines!B$1:B$60,1,FALSE)),FALSE,TRUE)</f>
        <v>1</v>
      </c>
      <c r="F795" t="s">
        <v>660</v>
      </c>
      <c r="G795" t="s">
        <v>661</v>
      </c>
      <c r="H795">
        <v>19</v>
      </c>
      <c r="I795" t="s">
        <v>662</v>
      </c>
      <c r="J795" t="s">
        <v>663</v>
      </c>
      <c r="K795" t="s">
        <v>647</v>
      </c>
      <c r="L795" t="s">
        <v>664</v>
      </c>
      <c r="M795" t="s">
        <v>664</v>
      </c>
    </row>
    <row r="796" spans="1:13" hidden="1" x14ac:dyDescent="0.2">
      <c r="A796" s="10" t="s">
        <v>558</v>
      </c>
      <c r="B796" t="s">
        <v>63</v>
      </c>
      <c r="C796" t="s">
        <v>658</v>
      </c>
      <c r="D796" t="s">
        <v>659</v>
      </c>
      <c r="E796" s="10" t="b">
        <f>IF(ISERROR(VLOOKUP( LEFT(B796, LEN(B796) - IF(ISNUMBER(RIGHT(B796, 1) * 1), 1, 0)),metadata_testudines!B$1:B$60,1,FALSE)),FALSE,TRUE)</f>
        <v>1</v>
      </c>
      <c r="F796" t="s">
        <v>660</v>
      </c>
      <c r="G796" t="s">
        <v>676</v>
      </c>
      <c r="H796">
        <v>1826.25</v>
      </c>
      <c r="I796" t="s">
        <v>662</v>
      </c>
      <c r="J796" t="s">
        <v>670</v>
      </c>
      <c r="K796" t="s">
        <v>647</v>
      </c>
      <c r="L796" t="s">
        <v>677</v>
      </c>
      <c r="M796" t="s">
        <v>664</v>
      </c>
    </row>
    <row r="797" spans="1:13" hidden="1" x14ac:dyDescent="0.2">
      <c r="A797" s="10" t="s">
        <v>558</v>
      </c>
      <c r="B797" t="s">
        <v>63</v>
      </c>
      <c r="C797" t="s">
        <v>658</v>
      </c>
      <c r="D797" t="s">
        <v>659</v>
      </c>
      <c r="E797" s="10" t="b">
        <f>IF(ISERROR(VLOOKUP( LEFT(B797, LEN(B797) - IF(ISNUMBER(RIGHT(B797, 1) * 1), 1, 0)),metadata_testudines!B$1:B$60,1,FALSE)),FALSE,TRUE)</f>
        <v>1</v>
      </c>
      <c r="F797" t="s">
        <v>660</v>
      </c>
      <c r="G797" t="s">
        <v>676</v>
      </c>
      <c r="H797">
        <v>2191.5</v>
      </c>
      <c r="I797" t="s">
        <v>662</v>
      </c>
      <c r="J797" t="s">
        <v>670</v>
      </c>
      <c r="K797" t="s">
        <v>647</v>
      </c>
      <c r="L797" t="s">
        <v>677</v>
      </c>
      <c r="M797" t="s">
        <v>664</v>
      </c>
    </row>
    <row r="798" spans="1:13" hidden="1" x14ac:dyDescent="0.2">
      <c r="A798" s="10" t="s">
        <v>558</v>
      </c>
      <c r="B798" t="s">
        <v>63</v>
      </c>
      <c r="C798" t="s">
        <v>658</v>
      </c>
      <c r="D798" t="s">
        <v>659</v>
      </c>
      <c r="E798" s="10" t="b">
        <f>IF(ISERROR(VLOOKUP( LEFT(B798, LEN(B798) - IF(ISNUMBER(RIGHT(B798, 1) * 1), 1, 0)),metadata_testudines!B$1:B$60,1,FALSE)),FALSE,TRUE)</f>
        <v>1</v>
      </c>
      <c r="F798" t="s">
        <v>660</v>
      </c>
      <c r="G798" t="s">
        <v>661</v>
      </c>
      <c r="H798">
        <v>30</v>
      </c>
      <c r="I798" t="s">
        <v>662</v>
      </c>
      <c r="J798" t="s">
        <v>663</v>
      </c>
      <c r="K798" t="s">
        <v>647</v>
      </c>
      <c r="L798" t="s">
        <v>664</v>
      </c>
      <c r="M798" t="s">
        <v>664</v>
      </c>
    </row>
    <row r="799" spans="1:13" hidden="1" x14ac:dyDescent="0.2">
      <c r="A799" s="10" t="s">
        <v>558</v>
      </c>
      <c r="B799" t="s">
        <v>63</v>
      </c>
      <c r="C799" t="s">
        <v>658</v>
      </c>
      <c r="D799" t="s">
        <v>659</v>
      </c>
      <c r="E799" s="10" t="b">
        <f>IF(ISERROR(VLOOKUP( LEFT(B799, LEN(B799) - IF(ISNUMBER(RIGHT(B799, 1) * 1), 1, 0)),metadata_testudines!B$1:B$60,1,FALSE)),FALSE,TRUE)</f>
        <v>1</v>
      </c>
      <c r="F799" t="s">
        <v>671</v>
      </c>
      <c r="G799" t="s">
        <v>672</v>
      </c>
      <c r="H799">
        <v>30</v>
      </c>
      <c r="I799" t="s">
        <v>667</v>
      </c>
      <c r="J799" t="s">
        <v>668</v>
      </c>
      <c r="K799" t="s">
        <v>673</v>
      </c>
      <c r="L799" t="s">
        <v>664</v>
      </c>
      <c r="M799" t="s">
        <v>678</v>
      </c>
    </row>
    <row r="800" spans="1:13" hidden="1" x14ac:dyDescent="0.2">
      <c r="A800" s="10" t="s">
        <v>558</v>
      </c>
      <c r="B800" t="s">
        <v>63</v>
      </c>
      <c r="C800" t="s">
        <v>658</v>
      </c>
      <c r="D800" t="s">
        <v>659</v>
      </c>
      <c r="E800" s="10" t="b">
        <f>IF(ISERROR(VLOOKUP( LEFT(B800, LEN(B800) - IF(ISNUMBER(RIGHT(B800, 1) * 1), 1, 0)),metadata_testudines!B$1:B$60,1,FALSE)),FALSE,TRUE)</f>
        <v>1</v>
      </c>
      <c r="F800" t="s">
        <v>660</v>
      </c>
      <c r="G800" t="s">
        <v>666</v>
      </c>
      <c r="H800">
        <v>100</v>
      </c>
      <c r="I800" t="s">
        <v>667</v>
      </c>
      <c r="J800" t="s">
        <v>668</v>
      </c>
      <c r="K800" t="s">
        <v>647</v>
      </c>
      <c r="L800" t="s">
        <v>664</v>
      </c>
      <c r="M800" t="s">
        <v>664</v>
      </c>
    </row>
    <row r="801" spans="1:13" hidden="1" x14ac:dyDescent="0.2">
      <c r="A801" s="10" t="s">
        <v>558</v>
      </c>
      <c r="B801" t="s">
        <v>63</v>
      </c>
      <c r="C801" t="s">
        <v>658</v>
      </c>
      <c r="D801" t="s">
        <v>659</v>
      </c>
      <c r="E801" s="10" t="b">
        <f>IF(ISERROR(VLOOKUP( LEFT(B801, LEN(B801) - IF(ISNUMBER(RIGHT(B801, 1) * 1), 1, 0)),metadata_testudines!B$1:B$60,1,FALSE)),FALSE,TRUE)</f>
        <v>1</v>
      </c>
      <c r="F801" t="s">
        <v>660</v>
      </c>
      <c r="G801" t="s">
        <v>676</v>
      </c>
      <c r="H801">
        <v>1826.25</v>
      </c>
      <c r="I801" t="s">
        <v>662</v>
      </c>
      <c r="J801" t="s">
        <v>670</v>
      </c>
      <c r="K801" t="s">
        <v>647</v>
      </c>
      <c r="L801" t="s">
        <v>677</v>
      </c>
      <c r="M801" t="s">
        <v>664</v>
      </c>
    </row>
    <row r="802" spans="1:13" hidden="1" x14ac:dyDescent="0.2">
      <c r="A802" s="10" t="s">
        <v>558</v>
      </c>
      <c r="B802" t="s">
        <v>63</v>
      </c>
      <c r="C802" t="s">
        <v>658</v>
      </c>
      <c r="D802" t="s">
        <v>659</v>
      </c>
      <c r="E802" s="10" t="b">
        <f>IF(ISERROR(VLOOKUP( LEFT(B802, LEN(B802) - IF(ISNUMBER(RIGHT(B802, 1) * 1), 1, 0)),metadata_testudines!B$1:B$60,1,FALSE)),FALSE,TRUE)</f>
        <v>1</v>
      </c>
      <c r="F802" t="s">
        <v>660</v>
      </c>
      <c r="G802" t="s">
        <v>666</v>
      </c>
      <c r="H802">
        <v>30</v>
      </c>
      <c r="I802" t="s">
        <v>667</v>
      </c>
      <c r="J802" t="s">
        <v>668</v>
      </c>
      <c r="K802" t="s">
        <v>647</v>
      </c>
      <c r="L802" t="s">
        <v>664</v>
      </c>
      <c r="M802" t="s">
        <v>664</v>
      </c>
    </row>
    <row r="803" spans="1:13" hidden="1" x14ac:dyDescent="0.2">
      <c r="A803" s="10" t="s">
        <v>558</v>
      </c>
      <c r="B803" t="s">
        <v>63</v>
      </c>
      <c r="C803" t="s">
        <v>658</v>
      </c>
      <c r="D803" t="s">
        <v>659</v>
      </c>
      <c r="E803" s="10" t="b">
        <f>IF(ISERROR(VLOOKUP( LEFT(B803, LEN(B803) - IF(ISNUMBER(RIGHT(B803, 1) * 1), 1, 0)),metadata_testudines!B$1:B$60,1,FALSE)),FALSE,TRUE)</f>
        <v>1</v>
      </c>
      <c r="F803" t="s">
        <v>660</v>
      </c>
      <c r="G803" t="s">
        <v>661</v>
      </c>
      <c r="H803">
        <v>5</v>
      </c>
      <c r="I803" t="s">
        <v>662</v>
      </c>
      <c r="J803" t="s">
        <v>663</v>
      </c>
      <c r="K803" t="s">
        <v>647</v>
      </c>
      <c r="L803" t="s">
        <v>664</v>
      </c>
      <c r="M803" t="s">
        <v>664</v>
      </c>
    </row>
    <row r="804" spans="1:13" hidden="1" x14ac:dyDescent="0.2">
      <c r="A804" s="10" t="s">
        <v>558</v>
      </c>
      <c r="B804" t="s">
        <v>63</v>
      </c>
      <c r="C804" t="s">
        <v>658</v>
      </c>
      <c r="D804" t="s">
        <v>659</v>
      </c>
      <c r="E804" s="10" t="b">
        <f>IF(ISERROR(VLOOKUP( LEFT(B804, LEN(B804) - IF(ISNUMBER(RIGHT(B804, 1) * 1), 1, 0)),metadata_testudines!B$1:B$60,1,FALSE)),FALSE,TRUE)</f>
        <v>1</v>
      </c>
      <c r="F804" t="s">
        <v>660</v>
      </c>
      <c r="G804" t="s">
        <v>661</v>
      </c>
      <c r="H804">
        <v>3</v>
      </c>
      <c r="I804" t="s">
        <v>662</v>
      </c>
      <c r="J804" t="s">
        <v>663</v>
      </c>
      <c r="K804" t="s">
        <v>647</v>
      </c>
      <c r="L804" t="s">
        <v>664</v>
      </c>
      <c r="M804" t="s">
        <v>664</v>
      </c>
    </row>
    <row r="805" spans="1:13" hidden="1" x14ac:dyDescent="0.2">
      <c r="A805" s="10" t="s">
        <v>558</v>
      </c>
      <c r="B805" t="s">
        <v>63</v>
      </c>
      <c r="C805" t="s">
        <v>658</v>
      </c>
      <c r="D805" t="s">
        <v>659</v>
      </c>
      <c r="E805" s="10" t="b">
        <f>IF(ISERROR(VLOOKUP( LEFT(B805, LEN(B805) - IF(ISNUMBER(RIGHT(B805, 1) * 1), 1, 0)),metadata_testudines!B$1:B$60,1,FALSE)),FALSE,TRUE)</f>
        <v>1</v>
      </c>
      <c r="F805" t="s">
        <v>660</v>
      </c>
      <c r="G805" t="s">
        <v>666</v>
      </c>
      <c r="H805">
        <v>50</v>
      </c>
      <c r="I805" t="s">
        <v>667</v>
      </c>
      <c r="J805" t="s">
        <v>668</v>
      </c>
      <c r="K805" t="s">
        <v>647</v>
      </c>
      <c r="L805" t="s">
        <v>664</v>
      </c>
      <c r="M805" t="s">
        <v>664</v>
      </c>
    </row>
    <row r="806" spans="1:13" hidden="1" x14ac:dyDescent="0.2">
      <c r="A806" s="10" t="s">
        <v>558</v>
      </c>
      <c r="B806" t="s">
        <v>63</v>
      </c>
      <c r="C806" t="s">
        <v>658</v>
      </c>
      <c r="D806" t="s">
        <v>659</v>
      </c>
      <c r="E806" s="10" t="b">
        <f>IF(ISERROR(VLOOKUP( LEFT(B806, LEN(B806) - IF(ISNUMBER(RIGHT(B806, 1) * 1), 1, 0)),metadata_testudines!B$1:B$60,1,FALSE)),FALSE,TRUE)</f>
        <v>1</v>
      </c>
      <c r="F806" t="s">
        <v>660</v>
      </c>
      <c r="G806" t="s">
        <v>669</v>
      </c>
      <c r="H806">
        <v>5478.75</v>
      </c>
      <c r="I806" t="s">
        <v>662</v>
      </c>
      <c r="J806" t="s">
        <v>670</v>
      </c>
      <c r="K806" t="s">
        <v>647</v>
      </c>
      <c r="L806" t="s">
        <v>647</v>
      </c>
      <c r="M806" t="s">
        <v>664</v>
      </c>
    </row>
    <row r="807" spans="1:13" hidden="1" x14ac:dyDescent="0.2">
      <c r="A807" s="10" t="s">
        <v>558</v>
      </c>
      <c r="B807" t="s">
        <v>63</v>
      </c>
      <c r="C807" t="s">
        <v>658</v>
      </c>
      <c r="D807" t="s">
        <v>659</v>
      </c>
      <c r="E807" s="10" t="b">
        <f>IF(ISERROR(VLOOKUP( LEFT(B807, LEN(B807) - IF(ISNUMBER(RIGHT(B807, 1) * 1), 1, 0)),metadata_testudines!B$1:B$60,1,FALSE)),FALSE,TRUE)</f>
        <v>1</v>
      </c>
      <c r="F807" t="s">
        <v>660</v>
      </c>
      <c r="G807" t="s">
        <v>669</v>
      </c>
      <c r="H807">
        <v>4383</v>
      </c>
      <c r="I807" t="s">
        <v>662</v>
      </c>
      <c r="J807" t="s">
        <v>670</v>
      </c>
      <c r="K807" t="s">
        <v>647</v>
      </c>
      <c r="L807" t="s">
        <v>647</v>
      </c>
      <c r="M807" t="s">
        <v>664</v>
      </c>
    </row>
    <row r="808" spans="1:13" hidden="1" x14ac:dyDescent="0.2">
      <c r="A808" s="10" t="s">
        <v>558</v>
      </c>
      <c r="B808" t="s">
        <v>63</v>
      </c>
      <c r="C808" t="s">
        <v>658</v>
      </c>
      <c r="D808" t="s">
        <v>659</v>
      </c>
      <c r="E808" s="10" t="b">
        <f>IF(ISERROR(VLOOKUP( LEFT(B808, LEN(B808) - IF(ISNUMBER(RIGHT(B808, 1) * 1), 1, 0)),metadata_testudines!B$1:B$60,1,FALSE)),FALSE,TRUE)</f>
        <v>1</v>
      </c>
      <c r="F808" t="s">
        <v>660</v>
      </c>
      <c r="G808" t="s">
        <v>661</v>
      </c>
      <c r="H808">
        <v>8.67</v>
      </c>
      <c r="I808" t="s">
        <v>662</v>
      </c>
      <c r="J808" t="s">
        <v>663</v>
      </c>
      <c r="K808" t="s">
        <v>647</v>
      </c>
      <c r="L808" t="s">
        <v>664</v>
      </c>
      <c r="M808" t="s">
        <v>664</v>
      </c>
    </row>
    <row r="809" spans="1:13" hidden="1" x14ac:dyDescent="0.2">
      <c r="A809" s="10" t="s">
        <v>558</v>
      </c>
      <c r="B809" t="s">
        <v>56</v>
      </c>
      <c r="C809" t="s">
        <v>658</v>
      </c>
      <c r="D809" t="s">
        <v>659</v>
      </c>
      <c r="E809" s="10" t="b">
        <f>IF(ISERROR(VLOOKUP( LEFT(B809, LEN(B809) - IF(ISNUMBER(RIGHT(B809, 1) * 1), 1, 0)),metadata_testudines!B$1:B$60,1,FALSE)),FALSE,TRUE)</f>
        <v>1</v>
      </c>
      <c r="F809" t="s">
        <v>681</v>
      </c>
      <c r="G809" t="s">
        <v>685</v>
      </c>
      <c r="H809">
        <v>0.88</v>
      </c>
      <c r="I809" t="s">
        <v>667</v>
      </c>
      <c r="J809" t="s">
        <v>683</v>
      </c>
      <c r="K809" t="s">
        <v>645</v>
      </c>
      <c r="L809" t="s">
        <v>677</v>
      </c>
      <c r="M809" t="s">
        <v>664</v>
      </c>
    </row>
    <row r="810" spans="1:13" hidden="1" x14ac:dyDescent="0.2">
      <c r="A810" s="10" t="s">
        <v>558</v>
      </c>
      <c r="B810" t="s">
        <v>56</v>
      </c>
      <c r="C810" t="s">
        <v>658</v>
      </c>
      <c r="D810" t="s">
        <v>659</v>
      </c>
      <c r="E810" s="10" t="b">
        <f>IF(ISERROR(VLOOKUP( LEFT(B810, LEN(B810) - IF(ISNUMBER(RIGHT(B810, 1) * 1), 1, 0)),metadata_testudines!B$1:B$60,1,FALSE)),FALSE,TRUE)</f>
        <v>1</v>
      </c>
      <c r="F810" t="s">
        <v>681</v>
      </c>
      <c r="G810" t="s">
        <v>685</v>
      </c>
      <c r="H810">
        <v>0.85</v>
      </c>
      <c r="I810" t="s">
        <v>667</v>
      </c>
      <c r="J810" t="s">
        <v>683</v>
      </c>
      <c r="K810" t="s">
        <v>645</v>
      </c>
      <c r="L810" t="s">
        <v>684</v>
      </c>
      <c r="M810" t="s">
        <v>664</v>
      </c>
    </row>
    <row r="811" spans="1:13" hidden="1" x14ac:dyDescent="0.2">
      <c r="A811" s="10" t="s">
        <v>558</v>
      </c>
      <c r="B811" t="s">
        <v>56</v>
      </c>
      <c r="C811" t="s">
        <v>658</v>
      </c>
      <c r="D811" t="s">
        <v>659</v>
      </c>
      <c r="E811" s="10" t="b">
        <f>IF(ISERROR(VLOOKUP( LEFT(B811, LEN(B811) - IF(ISNUMBER(RIGHT(B811, 1) * 1), 1, 0)),metadata_testudines!B$1:B$60,1,FALSE)),FALSE,TRUE)</f>
        <v>1</v>
      </c>
      <c r="F811" t="s">
        <v>681</v>
      </c>
      <c r="G811" t="s">
        <v>682</v>
      </c>
      <c r="H811">
        <v>0.56999999999999995</v>
      </c>
      <c r="I811" t="s">
        <v>667</v>
      </c>
      <c r="J811" t="s">
        <v>683</v>
      </c>
      <c r="K811" t="s">
        <v>645</v>
      </c>
      <c r="L811" t="s">
        <v>646</v>
      </c>
      <c r="M811" t="s">
        <v>664</v>
      </c>
    </row>
    <row r="812" spans="1:13" hidden="1" x14ac:dyDescent="0.2">
      <c r="A812" s="10" t="s">
        <v>558</v>
      </c>
      <c r="B812" t="s">
        <v>56</v>
      </c>
      <c r="C812" t="s">
        <v>658</v>
      </c>
      <c r="D812" t="s">
        <v>659</v>
      </c>
      <c r="E812" s="10" t="b">
        <f>IF(ISERROR(VLOOKUP( LEFT(B812, LEN(B812) - IF(ISNUMBER(RIGHT(B812, 1) * 1), 1, 0)),metadata_testudines!B$1:B$60,1,FALSE)),FALSE,TRUE)</f>
        <v>1</v>
      </c>
      <c r="F812" t="s">
        <v>681</v>
      </c>
      <c r="G812" t="s">
        <v>682</v>
      </c>
      <c r="H812">
        <v>0.56999999999999995</v>
      </c>
      <c r="I812" t="s">
        <v>667</v>
      </c>
      <c r="J812" t="s">
        <v>683</v>
      </c>
      <c r="K812" t="s">
        <v>645</v>
      </c>
      <c r="L812" t="s">
        <v>646</v>
      </c>
      <c r="M812" t="s">
        <v>664</v>
      </c>
    </row>
    <row r="813" spans="1:13" hidden="1" x14ac:dyDescent="0.2">
      <c r="A813" s="10" t="s">
        <v>558</v>
      </c>
      <c r="B813" t="s">
        <v>56</v>
      </c>
      <c r="C813" t="s">
        <v>658</v>
      </c>
      <c r="D813" t="s">
        <v>659</v>
      </c>
      <c r="E813" s="10" t="b">
        <f>IF(ISERROR(VLOOKUP( LEFT(B813, LEN(B813) - IF(ISNUMBER(RIGHT(B813, 1) * 1), 1, 0)),metadata_testudines!B$1:B$60,1,FALSE)),FALSE,TRUE)</f>
        <v>1</v>
      </c>
      <c r="F813" t="s">
        <v>681</v>
      </c>
      <c r="G813" t="s">
        <v>682</v>
      </c>
      <c r="H813">
        <v>0.85</v>
      </c>
      <c r="I813" t="s">
        <v>667</v>
      </c>
      <c r="J813" t="s">
        <v>683</v>
      </c>
      <c r="K813" t="s">
        <v>645</v>
      </c>
      <c r="L813" t="s">
        <v>684</v>
      </c>
      <c r="M813" t="s">
        <v>664</v>
      </c>
    </row>
    <row r="814" spans="1:13" hidden="1" x14ac:dyDescent="0.2">
      <c r="A814" s="10" t="s">
        <v>558</v>
      </c>
      <c r="B814" t="s">
        <v>56</v>
      </c>
      <c r="C814" t="s">
        <v>658</v>
      </c>
      <c r="D814" t="s">
        <v>659</v>
      </c>
      <c r="E814" s="10" t="b">
        <f>IF(ISERROR(VLOOKUP( LEFT(B814, LEN(B814) - IF(ISNUMBER(RIGHT(B814, 1) * 1), 1, 0)),metadata_testudines!B$1:B$60,1,FALSE)),FALSE,TRUE)</f>
        <v>1</v>
      </c>
      <c r="F814" t="s">
        <v>681</v>
      </c>
      <c r="G814" t="s">
        <v>682</v>
      </c>
      <c r="H814">
        <v>0.85</v>
      </c>
      <c r="I814" t="s">
        <v>667</v>
      </c>
      <c r="J814" t="s">
        <v>683</v>
      </c>
      <c r="K814" t="s">
        <v>645</v>
      </c>
      <c r="L814" t="s">
        <v>684</v>
      </c>
      <c r="M814" t="s">
        <v>664</v>
      </c>
    </row>
    <row r="815" spans="1:13" hidden="1" x14ac:dyDescent="0.2">
      <c r="A815" s="10" t="s">
        <v>558</v>
      </c>
      <c r="B815" t="s">
        <v>56</v>
      </c>
      <c r="C815" t="s">
        <v>658</v>
      </c>
      <c r="D815" t="s">
        <v>659</v>
      </c>
      <c r="E815" s="10" t="b">
        <f>IF(ISERROR(VLOOKUP( LEFT(B815, LEN(B815) - IF(ISNUMBER(RIGHT(B815, 1) * 1), 1, 0)),metadata_testudines!B$1:B$60,1,FALSE)),FALSE,TRUE)</f>
        <v>1</v>
      </c>
      <c r="F815" t="s">
        <v>681</v>
      </c>
      <c r="G815" t="s">
        <v>685</v>
      </c>
      <c r="H815">
        <v>0.56999999999999995</v>
      </c>
      <c r="I815" t="s">
        <v>667</v>
      </c>
      <c r="J815" t="s">
        <v>683</v>
      </c>
      <c r="K815" t="s">
        <v>645</v>
      </c>
      <c r="L815" t="s">
        <v>646</v>
      </c>
      <c r="M815" t="s">
        <v>664</v>
      </c>
    </row>
    <row r="816" spans="1:13" hidden="1" x14ac:dyDescent="0.2">
      <c r="A816" s="10" t="s">
        <v>558</v>
      </c>
      <c r="B816" t="s">
        <v>56</v>
      </c>
      <c r="C816" t="s">
        <v>658</v>
      </c>
      <c r="D816" t="s">
        <v>659</v>
      </c>
      <c r="E816" s="10" t="b">
        <f>IF(ISERROR(VLOOKUP( LEFT(B816, LEN(B816) - IF(ISNUMBER(RIGHT(B816, 1) * 1), 1, 0)),metadata_testudines!B$1:B$60,1,FALSE)),FALSE,TRUE)</f>
        <v>1</v>
      </c>
      <c r="F816" t="s">
        <v>681</v>
      </c>
      <c r="G816" t="s">
        <v>682</v>
      </c>
      <c r="H816">
        <v>0.85</v>
      </c>
      <c r="I816" t="s">
        <v>667</v>
      </c>
      <c r="J816" t="s">
        <v>683</v>
      </c>
      <c r="K816" t="s">
        <v>645</v>
      </c>
      <c r="L816" t="s">
        <v>684</v>
      </c>
      <c r="M816" t="s">
        <v>664</v>
      </c>
    </row>
    <row r="817" spans="1:13" hidden="1" x14ac:dyDescent="0.2">
      <c r="A817" s="10" t="s">
        <v>558</v>
      </c>
      <c r="B817" t="s">
        <v>56</v>
      </c>
      <c r="C817" t="s">
        <v>658</v>
      </c>
      <c r="D817" t="s">
        <v>659</v>
      </c>
      <c r="E817" s="10" t="b">
        <f>IF(ISERROR(VLOOKUP( LEFT(B817, LEN(B817) - IF(ISNUMBER(RIGHT(B817, 1) * 1), 1, 0)),metadata_testudines!B$1:B$60,1,FALSE)),FALSE,TRUE)</f>
        <v>1</v>
      </c>
      <c r="F817" t="s">
        <v>681</v>
      </c>
      <c r="G817" t="s">
        <v>685</v>
      </c>
      <c r="H817">
        <v>0.93</v>
      </c>
      <c r="I817" t="s">
        <v>667</v>
      </c>
      <c r="J817" t="s">
        <v>683</v>
      </c>
      <c r="K817" t="s">
        <v>645</v>
      </c>
      <c r="L817" t="s">
        <v>684</v>
      </c>
      <c r="M817" t="s">
        <v>664</v>
      </c>
    </row>
    <row r="818" spans="1:13" hidden="1" x14ac:dyDescent="0.2">
      <c r="A818" s="10" t="s">
        <v>558</v>
      </c>
      <c r="B818" t="s">
        <v>56</v>
      </c>
      <c r="C818" t="s">
        <v>658</v>
      </c>
      <c r="D818" t="s">
        <v>659</v>
      </c>
      <c r="E818" s="10" t="b">
        <f>IF(ISERROR(VLOOKUP( LEFT(B818, LEN(B818) - IF(ISNUMBER(RIGHT(B818, 1) * 1), 1, 0)),metadata_testudines!B$1:B$60,1,FALSE)),FALSE,TRUE)</f>
        <v>1</v>
      </c>
      <c r="F818" t="s">
        <v>681</v>
      </c>
      <c r="G818" t="s">
        <v>685</v>
      </c>
      <c r="H818">
        <v>0.88</v>
      </c>
      <c r="I818" t="s">
        <v>667</v>
      </c>
      <c r="J818" t="s">
        <v>683</v>
      </c>
      <c r="K818" t="s">
        <v>645</v>
      </c>
      <c r="L818" t="s">
        <v>677</v>
      </c>
      <c r="M818" t="s">
        <v>664</v>
      </c>
    </row>
    <row r="819" spans="1:13" hidden="1" x14ac:dyDescent="0.2">
      <c r="A819" s="10" t="s">
        <v>558</v>
      </c>
      <c r="B819" t="s">
        <v>56</v>
      </c>
      <c r="C819" t="s">
        <v>658</v>
      </c>
      <c r="D819" t="s">
        <v>659</v>
      </c>
      <c r="E819" s="10" t="b">
        <f>IF(ISERROR(VLOOKUP( LEFT(B819, LEN(B819) - IF(ISNUMBER(RIGHT(B819, 1) * 1), 1, 0)),metadata_testudines!B$1:B$60,1,FALSE)),FALSE,TRUE)</f>
        <v>1</v>
      </c>
      <c r="F819" t="s">
        <v>681</v>
      </c>
      <c r="G819" t="s">
        <v>682</v>
      </c>
      <c r="H819">
        <v>0.88</v>
      </c>
      <c r="I819" t="s">
        <v>667</v>
      </c>
      <c r="J819" t="s">
        <v>683</v>
      </c>
      <c r="K819" t="s">
        <v>645</v>
      </c>
      <c r="L819" t="s">
        <v>677</v>
      </c>
      <c r="M819" t="s">
        <v>664</v>
      </c>
    </row>
    <row r="820" spans="1:13" hidden="1" x14ac:dyDescent="0.2">
      <c r="A820" s="10" t="s">
        <v>558</v>
      </c>
      <c r="B820" t="s">
        <v>56</v>
      </c>
      <c r="C820" t="s">
        <v>658</v>
      </c>
      <c r="D820" t="s">
        <v>659</v>
      </c>
      <c r="E820" s="10" t="b">
        <f>IF(ISERROR(VLOOKUP( LEFT(B820, LEN(B820) - IF(ISNUMBER(RIGHT(B820, 1) * 1), 1, 0)),metadata_testudines!B$1:B$60,1,FALSE)),FALSE,TRUE)</f>
        <v>1</v>
      </c>
      <c r="F820" t="s">
        <v>681</v>
      </c>
      <c r="G820" t="s">
        <v>682</v>
      </c>
      <c r="H820">
        <v>0.56999999999999995</v>
      </c>
      <c r="I820" t="s">
        <v>667</v>
      </c>
      <c r="J820" t="s">
        <v>683</v>
      </c>
      <c r="K820" t="s">
        <v>645</v>
      </c>
      <c r="L820" t="s">
        <v>646</v>
      </c>
      <c r="M820" t="s">
        <v>664</v>
      </c>
    </row>
    <row r="821" spans="1:13" hidden="1" x14ac:dyDescent="0.2">
      <c r="A821" s="10" t="s">
        <v>558</v>
      </c>
      <c r="B821" t="s">
        <v>56</v>
      </c>
      <c r="C821" t="s">
        <v>658</v>
      </c>
      <c r="D821" t="s">
        <v>659</v>
      </c>
      <c r="E821" s="10" t="b">
        <f>IF(ISERROR(VLOOKUP( LEFT(B821, LEN(B821) - IF(ISNUMBER(RIGHT(B821, 1) * 1), 1, 0)),metadata_testudines!B$1:B$60,1,FALSE)),FALSE,TRUE)</f>
        <v>1</v>
      </c>
      <c r="F821" t="s">
        <v>681</v>
      </c>
      <c r="G821" t="s">
        <v>682</v>
      </c>
      <c r="H821">
        <v>0.88</v>
      </c>
      <c r="I821" t="s">
        <v>667</v>
      </c>
      <c r="J821" t="s">
        <v>683</v>
      </c>
      <c r="K821" t="s">
        <v>645</v>
      </c>
      <c r="L821" t="s">
        <v>677</v>
      </c>
      <c r="M821" t="s">
        <v>664</v>
      </c>
    </row>
    <row r="822" spans="1:13" hidden="1" x14ac:dyDescent="0.2">
      <c r="A822" s="10" t="s">
        <v>558</v>
      </c>
      <c r="B822" t="s">
        <v>56</v>
      </c>
      <c r="C822" t="s">
        <v>658</v>
      </c>
      <c r="D822" t="s">
        <v>659</v>
      </c>
      <c r="E822" s="10" t="b">
        <f>IF(ISERROR(VLOOKUP( LEFT(B822, LEN(B822) - IF(ISNUMBER(RIGHT(B822, 1) * 1), 1, 0)),metadata_testudines!B$1:B$60,1,FALSE)),FALSE,TRUE)</f>
        <v>1</v>
      </c>
      <c r="F822" t="s">
        <v>681</v>
      </c>
      <c r="G822" t="s">
        <v>685</v>
      </c>
      <c r="H822">
        <v>0.56999999999999995</v>
      </c>
      <c r="I822" t="s">
        <v>667</v>
      </c>
      <c r="J822" t="s">
        <v>683</v>
      </c>
      <c r="K822" t="s">
        <v>645</v>
      </c>
      <c r="L822" t="s">
        <v>646</v>
      </c>
      <c r="M822" t="s">
        <v>664</v>
      </c>
    </row>
    <row r="823" spans="1:13" hidden="1" x14ac:dyDescent="0.2">
      <c r="A823" s="10" t="s">
        <v>558</v>
      </c>
      <c r="B823" t="s">
        <v>56</v>
      </c>
      <c r="C823" t="s">
        <v>658</v>
      </c>
      <c r="D823" t="s">
        <v>659</v>
      </c>
      <c r="E823" s="10" t="b">
        <f>IF(ISERROR(VLOOKUP( LEFT(B823, LEN(B823) - IF(ISNUMBER(RIGHT(B823, 1) * 1), 1, 0)),metadata_testudines!B$1:B$60,1,FALSE)),FALSE,TRUE)</f>
        <v>1</v>
      </c>
      <c r="F823" t="s">
        <v>681</v>
      </c>
      <c r="G823" t="s">
        <v>682</v>
      </c>
      <c r="H823">
        <v>0.93</v>
      </c>
      <c r="I823" t="s">
        <v>667</v>
      </c>
      <c r="J823" t="s">
        <v>683</v>
      </c>
      <c r="K823" t="s">
        <v>645</v>
      </c>
      <c r="L823" t="s">
        <v>684</v>
      </c>
      <c r="M823" t="s">
        <v>664</v>
      </c>
    </row>
    <row r="824" spans="1:13" hidden="1" x14ac:dyDescent="0.2">
      <c r="A824" s="10" t="s">
        <v>558</v>
      </c>
      <c r="B824" t="s">
        <v>56</v>
      </c>
      <c r="C824" t="s">
        <v>658</v>
      </c>
      <c r="D824" t="s">
        <v>659</v>
      </c>
      <c r="E824" s="10" t="b">
        <f>IF(ISERROR(VLOOKUP( LEFT(B824, LEN(B824) - IF(ISNUMBER(RIGHT(B824, 1) * 1), 1, 0)),metadata_testudines!B$1:B$60,1,FALSE)),FALSE,TRUE)</f>
        <v>1</v>
      </c>
      <c r="F824" t="s">
        <v>681</v>
      </c>
      <c r="G824" t="s">
        <v>682</v>
      </c>
      <c r="H824">
        <v>0.7</v>
      </c>
      <c r="I824" t="s">
        <v>667</v>
      </c>
      <c r="J824" t="s">
        <v>683</v>
      </c>
      <c r="K824" t="s">
        <v>645</v>
      </c>
      <c r="L824" t="s">
        <v>684</v>
      </c>
      <c r="M824" t="s">
        <v>664</v>
      </c>
    </row>
    <row r="825" spans="1:13" hidden="1" x14ac:dyDescent="0.2">
      <c r="A825" s="10" t="s">
        <v>558</v>
      </c>
      <c r="B825" t="s">
        <v>56</v>
      </c>
      <c r="C825" t="s">
        <v>658</v>
      </c>
      <c r="D825" t="s">
        <v>659</v>
      </c>
      <c r="E825" s="10" t="b">
        <f>IF(ISERROR(VLOOKUP( LEFT(B825, LEN(B825) - IF(ISNUMBER(RIGHT(B825, 1) * 1), 1, 0)),metadata_testudines!B$1:B$60,1,FALSE)),FALSE,TRUE)</f>
        <v>1</v>
      </c>
      <c r="F825" t="s">
        <v>681</v>
      </c>
      <c r="G825" t="s">
        <v>685</v>
      </c>
      <c r="H825">
        <v>0.88</v>
      </c>
      <c r="I825" t="s">
        <v>667</v>
      </c>
      <c r="J825" t="s">
        <v>683</v>
      </c>
      <c r="K825" t="s">
        <v>645</v>
      </c>
      <c r="L825" t="s">
        <v>677</v>
      </c>
      <c r="M825" t="s">
        <v>664</v>
      </c>
    </row>
    <row r="826" spans="1:13" hidden="1" x14ac:dyDescent="0.2">
      <c r="A826" s="10" t="s">
        <v>558</v>
      </c>
      <c r="B826" t="s">
        <v>56</v>
      </c>
      <c r="C826" t="s">
        <v>658</v>
      </c>
      <c r="D826" t="s">
        <v>659</v>
      </c>
      <c r="E826" s="10" t="b">
        <f>IF(ISERROR(VLOOKUP( LEFT(B826, LEN(B826) - IF(ISNUMBER(RIGHT(B826, 1) * 1), 1, 0)),metadata_testudines!B$1:B$60,1,FALSE)),FALSE,TRUE)</f>
        <v>1</v>
      </c>
      <c r="F826" t="s">
        <v>681</v>
      </c>
      <c r="G826" t="s">
        <v>682</v>
      </c>
      <c r="H826">
        <v>0.88</v>
      </c>
      <c r="I826" t="s">
        <v>667</v>
      </c>
      <c r="J826" t="s">
        <v>683</v>
      </c>
      <c r="K826" t="s">
        <v>645</v>
      </c>
      <c r="L826" t="s">
        <v>677</v>
      </c>
      <c r="M826" t="s">
        <v>664</v>
      </c>
    </row>
    <row r="827" spans="1:13" hidden="1" x14ac:dyDescent="0.2">
      <c r="A827" s="10" t="s">
        <v>558</v>
      </c>
      <c r="B827" t="s">
        <v>56</v>
      </c>
      <c r="C827" t="s">
        <v>658</v>
      </c>
      <c r="D827" t="s">
        <v>659</v>
      </c>
      <c r="E827" s="10" t="b">
        <f>IF(ISERROR(VLOOKUP( LEFT(B827, LEN(B827) - IF(ISNUMBER(RIGHT(B827, 1) * 1), 1, 0)),metadata_testudines!B$1:B$60,1,FALSE)),FALSE,TRUE)</f>
        <v>1</v>
      </c>
      <c r="F827" t="s">
        <v>660</v>
      </c>
      <c r="G827" t="s">
        <v>666</v>
      </c>
      <c r="H827">
        <v>127</v>
      </c>
      <c r="I827" t="s">
        <v>667</v>
      </c>
      <c r="J827" t="s">
        <v>668</v>
      </c>
      <c r="K827" t="s">
        <v>647</v>
      </c>
      <c r="L827" t="s">
        <v>664</v>
      </c>
      <c r="M827" t="s">
        <v>664</v>
      </c>
    </row>
    <row r="828" spans="1:13" hidden="1" x14ac:dyDescent="0.2">
      <c r="A828" s="10" t="s">
        <v>558</v>
      </c>
      <c r="B828" t="s">
        <v>56</v>
      </c>
      <c r="C828" t="s">
        <v>658</v>
      </c>
      <c r="D828" t="s">
        <v>659</v>
      </c>
      <c r="E828" s="10" t="b">
        <f>IF(ISERROR(VLOOKUP( LEFT(B828, LEN(B828) - IF(ISNUMBER(RIGHT(B828, 1) * 1), 1, 0)),metadata_testudines!B$1:B$60,1,FALSE)),FALSE,TRUE)</f>
        <v>1</v>
      </c>
      <c r="F828" t="s">
        <v>681</v>
      </c>
      <c r="G828" t="s">
        <v>685</v>
      </c>
      <c r="H828">
        <v>0.88</v>
      </c>
      <c r="I828" t="s">
        <v>667</v>
      </c>
      <c r="J828" t="s">
        <v>683</v>
      </c>
      <c r="K828" t="s">
        <v>645</v>
      </c>
      <c r="L828" t="s">
        <v>677</v>
      </c>
      <c r="M828" t="s">
        <v>664</v>
      </c>
    </row>
    <row r="829" spans="1:13" hidden="1" x14ac:dyDescent="0.2">
      <c r="A829" s="10" t="s">
        <v>558</v>
      </c>
      <c r="B829" t="s">
        <v>56</v>
      </c>
      <c r="C829" t="s">
        <v>658</v>
      </c>
      <c r="D829" t="s">
        <v>659</v>
      </c>
      <c r="E829" s="10" t="b">
        <f>IF(ISERROR(VLOOKUP( LEFT(B829, LEN(B829) - IF(ISNUMBER(RIGHT(B829, 1) * 1), 1, 0)),metadata_testudines!B$1:B$60,1,FALSE)),FALSE,TRUE)</f>
        <v>1</v>
      </c>
      <c r="F829" t="s">
        <v>660</v>
      </c>
      <c r="G829" t="s">
        <v>676</v>
      </c>
      <c r="H829">
        <v>4560</v>
      </c>
      <c r="I829" t="s">
        <v>662</v>
      </c>
      <c r="J829" t="s">
        <v>670</v>
      </c>
      <c r="K829" t="s">
        <v>647</v>
      </c>
      <c r="L829" t="s">
        <v>677</v>
      </c>
      <c r="M829" t="s">
        <v>664</v>
      </c>
    </row>
    <row r="830" spans="1:13" hidden="1" x14ac:dyDescent="0.2">
      <c r="A830" s="10" t="s">
        <v>558</v>
      </c>
      <c r="B830" t="s">
        <v>56</v>
      </c>
      <c r="C830" t="s">
        <v>658</v>
      </c>
      <c r="D830" t="s">
        <v>659</v>
      </c>
      <c r="E830" s="10" t="b">
        <f>IF(ISERROR(VLOOKUP( LEFT(B830, LEN(B830) - IF(ISNUMBER(RIGHT(B830, 1) * 1), 1, 0)),metadata_testudines!B$1:B$60,1,FALSE)),FALSE,TRUE)</f>
        <v>1</v>
      </c>
      <c r="F830" t="s">
        <v>660</v>
      </c>
      <c r="G830" t="s">
        <v>665</v>
      </c>
      <c r="H830">
        <v>4</v>
      </c>
      <c r="I830" t="s">
        <v>662</v>
      </c>
      <c r="J830" t="s">
        <v>663</v>
      </c>
      <c r="K830" t="s">
        <v>647</v>
      </c>
      <c r="L830" t="s">
        <v>664</v>
      </c>
      <c r="M830" t="s">
        <v>664</v>
      </c>
    </row>
    <row r="831" spans="1:13" hidden="1" x14ac:dyDescent="0.2">
      <c r="A831" s="10" t="s">
        <v>558</v>
      </c>
      <c r="B831" t="s">
        <v>56</v>
      </c>
      <c r="C831" t="s">
        <v>658</v>
      </c>
      <c r="D831" t="s">
        <v>659</v>
      </c>
      <c r="E831" s="10" t="b">
        <f>IF(ISERROR(VLOOKUP( LEFT(B831, LEN(B831) - IF(ISNUMBER(RIGHT(B831, 1) * 1), 1, 0)),metadata_testudines!B$1:B$60,1,FALSE)),FALSE,TRUE)</f>
        <v>1</v>
      </c>
      <c r="F831" t="s">
        <v>681</v>
      </c>
      <c r="G831" t="s">
        <v>685</v>
      </c>
      <c r="H831">
        <v>0.88</v>
      </c>
      <c r="I831" t="s">
        <v>667</v>
      </c>
      <c r="J831" t="s">
        <v>683</v>
      </c>
      <c r="K831" t="s">
        <v>645</v>
      </c>
      <c r="L831" t="s">
        <v>677</v>
      </c>
      <c r="M831" t="s">
        <v>664</v>
      </c>
    </row>
    <row r="832" spans="1:13" hidden="1" x14ac:dyDescent="0.2">
      <c r="A832" s="10" t="s">
        <v>558</v>
      </c>
      <c r="B832" t="s">
        <v>56</v>
      </c>
      <c r="C832" t="s">
        <v>658</v>
      </c>
      <c r="D832" t="s">
        <v>659</v>
      </c>
      <c r="E832" s="10" t="b">
        <f>IF(ISERROR(VLOOKUP( LEFT(B832, LEN(B832) - IF(ISNUMBER(RIGHT(B832, 1) * 1), 1, 0)),metadata_testudines!B$1:B$60,1,FALSE)),FALSE,TRUE)</f>
        <v>1</v>
      </c>
      <c r="F832" t="s">
        <v>681</v>
      </c>
      <c r="G832" t="s">
        <v>685</v>
      </c>
      <c r="H832">
        <v>0.7</v>
      </c>
      <c r="I832" t="s">
        <v>667</v>
      </c>
      <c r="J832" t="s">
        <v>683</v>
      </c>
      <c r="K832" t="s">
        <v>645</v>
      </c>
      <c r="L832" t="s">
        <v>684</v>
      </c>
      <c r="M832" t="s">
        <v>664</v>
      </c>
    </row>
    <row r="833" spans="1:13" hidden="1" x14ac:dyDescent="0.2">
      <c r="A833" s="10" t="s">
        <v>558</v>
      </c>
      <c r="B833" t="s">
        <v>56</v>
      </c>
      <c r="C833" t="s">
        <v>658</v>
      </c>
      <c r="D833" t="s">
        <v>659</v>
      </c>
      <c r="E833" s="10" t="b">
        <f>IF(ISERROR(VLOOKUP( LEFT(B833, LEN(B833) - IF(ISNUMBER(RIGHT(B833, 1) * 1), 1, 0)),metadata_testudines!B$1:B$60,1,FALSE)),FALSE,TRUE)</f>
        <v>1</v>
      </c>
      <c r="F833" t="s">
        <v>681</v>
      </c>
      <c r="G833" t="s">
        <v>685</v>
      </c>
      <c r="H833">
        <v>0.56999999999999995</v>
      </c>
      <c r="I833" t="s">
        <v>667</v>
      </c>
      <c r="J833" t="s">
        <v>683</v>
      </c>
      <c r="K833" t="s">
        <v>645</v>
      </c>
      <c r="L833" t="s">
        <v>646</v>
      </c>
      <c r="M833" t="s">
        <v>664</v>
      </c>
    </row>
    <row r="834" spans="1:13" hidden="1" x14ac:dyDescent="0.2">
      <c r="A834" s="10" t="s">
        <v>558</v>
      </c>
      <c r="B834" t="s">
        <v>56</v>
      </c>
      <c r="C834" t="s">
        <v>658</v>
      </c>
      <c r="D834" t="s">
        <v>659</v>
      </c>
      <c r="E834" s="10" t="b">
        <f>IF(ISERROR(VLOOKUP( LEFT(B834, LEN(B834) - IF(ISNUMBER(RIGHT(B834, 1) * 1), 1, 0)),metadata_testudines!B$1:B$60,1,FALSE)),FALSE,TRUE)</f>
        <v>1</v>
      </c>
      <c r="F834" t="s">
        <v>681</v>
      </c>
      <c r="G834" t="s">
        <v>682</v>
      </c>
      <c r="H834">
        <v>0.7</v>
      </c>
      <c r="I834" t="s">
        <v>667</v>
      </c>
      <c r="J834" t="s">
        <v>683</v>
      </c>
      <c r="K834" t="s">
        <v>645</v>
      </c>
      <c r="L834" t="s">
        <v>684</v>
      </c>
      <c r="M834" t="s">
        <v>664</v>
      </c>
    </row>
    <row r="835" spans="1:13" hidden="1" x14ac:dyDescent="0.2">
      <c r="A835" s="10" t="s">
        <v>558</v>
      </c>
      <c r="B835" t="s">
        <v>56</v>
      </c>
      <c r="C835" t="s">
        <v>658</v>
      </c>
      <c r="D835" t="s">
        <v>659</v>
      </c>
      <c r="E835" s="10" t="b">
        <f>IF(ISERROR(VLOOKUP( LEFT(B835, LEN(B835) - IF(ISNUMBER(RIGHT(B835, 1) * 1), 1, 0)),metadata_testudines!B$1:B$60,1,FALSE)),FALSE,TRUE)</f>
        <v>1</v>
      </c>
      <c r="F835" t="s">
        <v>681</v>
      </c>
      <c r="G835" t="s">
        <v>685</v>
      </c>
      <c r="H835">
        <v>0.85</v>
      </c>
      <c r="I835" t="s">
        <v>667</v>
      </c>
      <c r="J835" t="s">
        <v>683</v>
      </c>
      <c r="K835" t="s">
        <v>645</v>
      </c>
      <c r="L835" t="s">
        <v>684</v>
      </c>
      <c r="M835" t="s">
        <v>664</v>
      </c>
    </row>
    <row r="836" spans="1:13" hidden="1" x14ac:dyDescent="0.2">
      <c r="A836" s="10" t="s">
        <v>558</v>
      </c>
      <c r="B836" t="s">
        <v>56</v>
      </c>
      <c r="C836" t="s">
        <v>658</v>
      </c>
      <c r="D836" t="s">
        <v>659</v>
      </c>
      <c r="E836" s="10" t="b">
        <f>IF(ISERROR(VLOOKUP( LEFT(B836, LEN(B836) - IF(ISNUMBER(RIGHT(B836, 1) * 1), 1, 0)),metadata_testudines!B$1:B$60,1,FALSE)),FALSE,TRUE)</f>
        <v>1</v>
      </c>
      <c r="F836" t="s">
        <v>660</v>
      </c>
      <c r="G836" t="s">
        <v>661</v>
      </c>
      <c r="H836">
        <v>10</v>
      </c>
      <c r="I836" t="s">
        <v>662</v>
      </c>
      <c r="J836" t="s">
        <v>663</v>
      </c>
      <c r="K836" t="s">
        <v>647</v>
      </c>
      <c r="L836" t="s">
        <v>664</v>
      </c>
      <c r="M836" t="s">
        <v>664</v>
      </c>
    </row>
    <row r="837" spans="1:13" hidden="1" x14ac:dyDescent="0.2">
      <c r="A837" s="10" t="s">
        <v>558</v>
      </c>
      <c r="B837" t="s">
        <v>56</v>
      </c>
      <c r="C837" t="s">
        <v>658</v>
      </c>
      <c r="D837" t="s">
        <v>659</v>
      </c>
      <c r="E837" s="10" t="b">
        <f>IF(ISERROR(VLOOKUP( LEFT(B837, LEN(B837) - IF(ISNUMBER(RIGHT(B837, 1) * 1), 1, 0)),metadata_testudines!B$1:B$60,1,FALSE)),FALSE,TRUE)</f>
        <v>1</v>
      </c>
      <c r="F837" t="s">
        <v>681</v>
      </c>
      <c r="G837" t="s">
        <v>682</v>
      </c>
      <c r="H837">
        <v>0.56999999999999995</v>
      </c>
      <c r="I837" t="s">
        <v>667</v>
      </c>
      <c r="J837" t="s">
        <v>683</v>
      </c>
      <c r="K837" t="s">
        <v>645</v>
      </c>
      <c r="L837" t="s">
        <v>646</v>
      </c>
      <c r="M837" t="s">
        <v>664</v>
      </c>
    </row>
    <row r="838" spans="1:13" hidden="1" x14ac:dyDescent="0.2">
      <c r="A838" s="10" t="s">
        <v>558</v>
      </c>
      <c r="B838" t="s">
        <v>56</v>
      </c>
      <c r="C838" t="s">
        <v>658</v>
      </c>
      <c r="D838" t="s">
        <v>659</v>
      </c>
      <c r="E838" s="10" t="b">
        <f>IF(ISERROR(VLOOKUP( LEFT(B838, LEN(B838) - IF(ISNUMBER(RIGHT(B838, 1) * 1), 1, 0)),metadata_testudines!B$1:B$60,1,FALSE)),FALSE,TRUE)</f>
        <v>1</v>
      </c>
      <c r="F838" t="s">
        <v>681</v>
      </c>
      <c r="G838" t="s">
        <v>682</v>
      </c>
      <c r="H838">
        <v>0.93</v>
      </c>
      <c r="I838" t="s">
        <v>667</v>
      </c>
      <c r="J838" t="s">
        <v>683</v>
      </c>
      <c r="K838" t="s">
        <v>645</v>
      </c>
      <c r="L838" t="s">
        <v>684</v>
      </c>
      <c r="M838" t="s">
        <v>664</v>
      </c>
    </row>
    <row r="839" spans="1:13" hidden="1" x14ac:dyDescent="0.2">
      <c r="A839" s="10" t="s">
        <v>558</v>
      </c>
      <c r="B839" t="s">
        <v>56</v>
      </c>
      <c r="C839" t="s">
        <v>658</v>
      </c>
      <c r="D839" t="s">
        <v>659</v>
      </c>
      <c r="E839" s="10" t="b">
        <f>IF(ISERROR(VLOOKUP( LEFT(B839, LEN(B839) - IF(ISNUMBER(RIGHT(B839, 1) * 1), 1, 0)),metadata_testudines!B$1:B$60,1,FALSE)),FALSE,TRUE)</f>
        <v>1</v>
      </c>
      <c r="F839" t="s">
        <v>660</v>
      </c>
      <c r="G839" t="s">
        <v>669</v>
      </c>
      <c r="H839">
        <v>4383</v>
      </c>
      <c r="I839" t="s">
        <v>662</v>
      </c>
      <c r="J839" t="s">
        <v>670</v>
      </c>
      <c r="K839" t="s">
        <v>647</v>
      </c>
      <c r="L839" t="s">
        <v>647</v>
      </c>
      <c r="M839" t="s">
        <v>664</v>
      </c>
    </row>
    <row r="840" spans="1:13" hidden="1" x14ac:dyDescent="0.2">
      <c r="A840" s="10" t="s">
        <v>558</v>
      </c>
      <c r="B840" t="s">
        <v>56</v>
      </c>
      <c r="C840" t="s">
        <v>658</v>
      </c>
      <c r="D840" t="s">
        <v>659</v>
      </c>
      <c r="E840" s="10" t="b">
        <f>IF(ISERROR(VLOOKUP( LEFT(B840, LEN(B840) - IF(ISNUMBER(RIGHT(B840, 1) * 1), 1, 0)),metadata_testudines!B$1:B$60,1,FALSE)),FALSE,TRUE)</f>
        <v>1</v>
      </c>
      <c r="F840" t="s">
        <v>681</v>
      </c>
      <c r="G840" t="s">
        <v>682</v>
      </c>
      <c r="H840">
        <v>0.85</v>
      </c>
      <c r="I840" t="s">
        <v>667</v>
      </c>
      <c r="J840" t="s">
        <v>683</v>
      </c>
      <c r="K840" t="s">
        <v>645</v>
      </c>
      <c r="L840" t="s">
        <v>684</v>
      </c>
      <c r="M840" t="s">
        <v>664</v>
      </c>
    </row>
    <row r="841" spans="1:13" hidden="1" x14ac:dyDescent="0.2">
      <c r="A841" s="10" t="s">
        <v>558</v>
      </c>
      <c r="B841" t="s">
        <v>56</v>
      </c>
      <c r="C841" t="s">
        <v>658</v>
      </c>
      <c r="D841" t="s">
        <v>659</v>
      </c>
      <c r="E841" s="10" t="b">
        <f>IF(ISERROR(VLOOKUP( LEFT(B841, LEN(B841) - IF(ISNUMBER(RIGHT(B841, 1) * 1), 1, 0)),metadata_testudines!B$1:B$60,1,FALSE)),FALSE,TRUE)</f>
        <v>1</v>
      </c>
      <c r="F841" t="s">
        <v>681</v>
      </c>
      <c r="G841" t="s">
        <v>682</v>
      </c>
      <c r="H841">
        <v>0.7</v>
      </c>
      <c r="I841" t="s">
        <v>667</v>
      </c>
      <c r="J841" t="s">
        <v>683</v>
      </c>
      <c r="K841" t="s">
        <v>645</v>
      </c>
      <c r="L841" t="s">
        <v>684</v>
      </c>
      <c r="M841" t="s">
        <v>664</v>
      </c>
    </row>
    <row r="842" spans="1:13" hidden="1" x14ac:dyDescent="0.2">
      <c r="A842" s="10" t="s">
        <v>558</v>
      </c>
      <c r="B842" t="s">
        <v>56</v>
      </c>
      <c r="C842" t="s">
        <v>658</v>
      </c>
      <c r="D842" t="s">
        <v>659</v>
      </c>
      <c r="E842" s="10" t="b">
        <f>IF(ISERROR(VLOOKUP( LEFT(B842, LEN(B842) - IF(ISNUMBER(RIGHT(B842, 1) * 1), 1, 0)),metadata_testudines!B$1:B$60,1,FALSE)),FALSE,TRUE)</f>
        <v>1</v>
      </c>
      <c r="F842" t="s">
        <v>660</v>
      </c>
      <c r="G842" t="s">
        <v>665</v>
      </c>
      <c r="H842">
        <v>1</v>
      </c>
      <c r="I842" t="s">
        <v>662</v>
      </c>
      <c r="J842" t="s">
        <v>663</v>
      </c>
      <c r="K842" t="s">
        <v>647</v>
      </c>
      <c r="L842" t="s">
        <v>664</v>
      </c>
      <c r="M842" t="s">
        <v>664</v>
      </c>
    </row>
    <row r="843" spans="1:13" hidden="1" x14ac:dyDescent="0.2">
      <c r="A843" s="10" t="s">
        <v>558</v>
      </c>
      <c r="B843" t="s">
        <v>56</v>
      </c>
      <c r="C843" t="s">
        <v>658</v>
      </c>
      <c r="D843" t="s">
        <v>659</v>
      </c>
      <c r="E843" s="10" t="b">
        <f>IF(ISERROR(VLOOKUP( LEFT(B843, LEN(B843) - IF(ISNUMBER(RIGHT(B843, 1) * 1), 1, 0)),metadata_testudines!B$1:B$60,1,FALSE)),FALSE,TRUE)</f>
        <v>1</v>
      </c>
      <c r="F843" t="s">
        <v>701</v>
      </c>
      <c r="G843" t="s">
        <v>702</v>
      </c>
      <c r="H843">
        <v>8.5</v>
      </c>
      <c r="I843" t="s">
        <v>662</v>
      </c>
      <c r="J843" t="s">
        <v>670</v>
      </c>
      <c r="K843" t="s">
        <v>647</v>
      </c>
      <c r="L843" t="s">
        <v>646</v>
      </c>
      <c r="M843" t="s">
        <v>664</v>
      </c>
    </row>
    <row r="844" spans="1:13" hidden="1" x14ac:dyDescent="0.2">
      <c r="A844" s="10" t="s">
        <v>558</v>
      </c>
      <c r="B844" t="s">
        <v>56</v>
      </c>
      <c r="C844" t="s">
        <v>658</v>
      </c>
      <c r="D844" t="s">
        <v>659</v>
      </c>
      <c r="E844" s="10" t="b">
        <f>IF(ISERROR(VLOOKUP( LEFT(B844, LEN(B844) - IF(ISNUMBER(RIGHT(B844, 1) * 1), 1, 0)),metadata_testudines!B$1:B$60,1,FALSE)),FALSE,TRUE)</f>
        <v>1</v>
      </c>
      <c r="F844" t="s">
        <v>681</v>
      </c>
      <c r="G844" t="s">
        <v>685</v>
      </c>
      <c r="H844">
        <v>0.7</v>
      </c>
      <c r="I844" t="s">
        <v>667</v>
      </c>
      <c r="J844" t="s">
        <v>683</v>
      </c>
      <c r="K844" t="s">
        <v>645</v>
      </c>
      <c r="L844" t="s">
        <v>684</v>
      </c>
      <c r="M844" t="s">
        <v>664</v>
      </c>
    </row>
    <row r="845" spans="1:13" hidden="1" x14ac:dyDescent="0.2">
      <c r="A845" s="10" t="s">
        <v>558</v>
      </c>
      <c r="B845" t="s">
        <v>56</v>
      </c>
      <c r="C845" t="s">
        <v>658</v>
      </c>
      <c r="D845" t="s">
        <v>659</v>
      </c>
      <c r="E845" s="10" t="b">
        <f>IF(ISERROR(VLOOKUP( LEFT(B845, LEN(B845) - IF(ISNUMBER(RIGHT(B845, 1) * 1), 1, 0)),metadata_testudines!B$1:B$60,1,FALSE)),FALSE,TRUE)</f>
        <v>1</v>
      </c>
      <c r="F845" t="s">
        <v>660</v>
      </c>
      <c r="G845" t="s">
        <v>675</v>
      </c>
      <c r="H845">
        <v>4560</v>
      </c>
      <c r="I845" t="s">
        <v>662</v>
      </c>
      <c r="J845" t="s">
        <v>670</v>
      </c>
      <c r="K845" t="s">
        <v>647</v>
      </c>
      <c r="L845" t="s">
        <v>646</v>
      </c>
      <c r="M845" t="s">
        <v>664</v>
      </c>
    </row>
    <row r="846" spans="1:13" hidden="1" x14ac:dyDescent="0.2">
      <c r="A846" s="10" t="s">
        <v>558</v>
      </c>
      <c r="B846" t="s">
        <v>56</v>
      </c>
      <c r="C846" t="s">
        <v>658</v>
      </c>
      <c r="D846" t="s">
        <v>659</v>
      </c>
      <c r="E846" s="10" t="b">
        <f>IF(ISERROR(VLOOKUP( LEFT(B846, LEN(B846) - IF(ISNUMBER(RIGHT(B846, 1) * 1), 1, 0)),metadata_testudines!B$1:B$60,1,FALSE)),FALSE,TRUE)</f>
        <v>1</v>
      </c>
      <c r="F846" t="s">
        <v>681</v>
      </c>
      <c r="G846" t="s">
        <v>682</v>
      </c>
      <c r="H846">
        <v>0.56999999999999995</v>
      </c>
      <c r="I846" t="s">
        <v>667</v>
      </c>
      <c r="J846" t="s">
        <v>683</v>
      </c>
      <c r="K846" t="s">
        <v>645</v>
      </c>
      <c r="L846" t="s">
        <v>646</v>
      </c>
      <c r="M846" t="s">
        <v>664</v>
      </c>
    </row>
    <row r="847" spans="1:13" hidden="1" x14ac:dyDescent="0.2">
      <c r="A847" s="10" t="s">
        <v>558</v>
      </c>
      <c r="B847" t="s">
        <v>56</v>
      </c>
      <c r="C847" t="s">
        <v>658</v>
      </c>
      <c r="D847" t="s">
        <v>659</v>
      </c>
      <c r="E847" s="10" t="b">
        <f>IF(ISERROR(VLOOKUP( LEFT(B847, LEN(B847) - IF(ISNUMBER(RIGHT(B847, 1) * 1), 1, 0)),metadata_testudines!B$1:B$60,1,FALSE)),FALSE,TRUE)</f>
        <v>1</v>
      </c>
      <c r="F847" t="s">
        <v>681</v>
      </c>
      <c r="G847" t="s">
        <v>685</v>
      </c>
      <c r="H847">
        <v>0.56999999999999995</v>
      </c>
      <c r="I847" t="s">
        <v>667</v>
      </c>
      <c r="J847" t="s">
        <v>683</v>
      </c>
      <c r="K847" t="s">
        <v>645</v>
      </c>
      <c r="L847" t="s">
        <v>646</v>
      </c>
      <c r="M847" t="s">
        <v>664</v>
      </c>
    </row>
    <row r="848" spans="1:13" hidden="1" x14ac:dyDescent="0.2">
      <c r="A848" s="10" t="s">
        <v>558</v>
      </c>
      <c r="B848" t="s">
        <v>56</v>
      </c>
      <c r="C848" t="s">
        <v>658</v>
      </c>
      <c r="D848" t="s">
        <v>659</v>
      </c>
      <c r="E848" s="10" t="b">
        <f>IF(ISERROR(VLOOKUP( LEFT(B848, LEN(B848) - IF(ISNUMBER(RIGHT(B848, 1) * 1), 1, 0)),metadata_testudines!B$1:B$60,1,FALSE)),FALSE,TRUE)</f>
        <v>1</v>
      </c>
      <c r="F848" t="s">
        <v>681</v>
      </c>
      <c r="G848" t="s">
        <v>685</v>
      </c>
      <c r="H848">
        <v>0.93</v>
      </c>
      <c r="I848" t="s">
        <v>667</v>
      </c>
      <c r="J848" t="s">
        <v>683</v>
      </c>
      <c r="K848" t="s">
        <v>645</v>
      </c>
      <c r="L848" t="s">
        <v>684</v>
      </c>
      <c r="M848" t="s">
        <v>664</v>
      </c>
    </row>
    <row r="849" spans="1:13" hidden="1" x14ac:dyDescent="0.2">
      <c r="A849" s="10" t="s">
        <v>558</v>
      </c>
      <c r="B849" t="s">
        <v>56</v>
      </c>
      <c r="C849" t="s">
        <v>658</v>
      </c>
      <c r="D849" t="s">
        <v>659</v>
      </c>
      <c r="E849" s="10" t="b">
        <f>IF(ISERROR(VLOOKUP( LEFT(B849, LEN(B849) - IF(ISNUMBER(RIGHT(B849, 1) * 1), 1, 0)),metadata_testudines!B$1:B$60,1,FALSE)),FALSE,TRUE)</f>
        <v>1</v>
      </c>
      <c r="F849" t="s">
        <v>681</v>
      </c>
      <c r="G849" t="s">
        <v>685</v>
      </c>
      <c r="H849">
        <v>0.56999999999999995</v>
      </c>
      <c r="I849" t="s">
        <v>667</v>
      </c>
      <c r="J849" t="s">
        <v>683</v>
      </c>
      <c r="K849" t="s">
        <v>645</v>
      </c>
      <c r="L849" t="s">
        <v>646</v>
      </c>
      <c r="M849" t="s">
        <v>664</v>
      </c>
    </row>
    <row r="850" spans="1:13" hidden="1" x14ac:dyDescent="0.2">
      <c r="A850" s="10" t="s">
        <v>558</v>
      </c>
      <c r="B850" t="s">
        <v>56</v>
      </c>
      <c r="C850" t="s">
        <v>658</v>
      </c>
      <c r="D850" t="s">
        <v>659</v>
      </c>
      <c r="E850" s="10" t="b">
        <f>IF(ISERROR(VLOOKUP( LEFT(B850, LEN(B850) - IF(ISNUMBER(RIGHT(B850, 1) * 1), 1, 0)),metadata_testudines!B$1:B$60,1,FALSE)),FALSE,TRUE)</f>
        <v>1</v>
      </c>
      <c r="F850" t="s">
        <v>681</v>
      </c>
      <c r="G850" t="s">
        <v>682</v>
      </c>
      <c r="H850">
        <v>0.85</v>
      </c>
      <c r="I850" t="s">
        <v>667</v>
      </c>
      <c r="J850" t="s">
        <v>683</v>
      </c>
      <c r="K850" t="s">
        <v>645</v>
      </c>
      <c r="L850" t="s">
        <v>684</v>
      </c>
      <c r="M850" t="s">
        <v>664</v>
      </c>
    </row>
    <row r="851" spans="1:13" hidden="1" x14ac:dyDescent="0.2">
      <c r="A851" s="10" t="s">
        <v>558</v>
      </c>
      <c r="B851" t="s">
        <v>56</v>
      </c>
      <c r="C851" t="s">
        <v>658</v>
      </c>
      <c r="D851" t="s">
        <v>659</v>
      </c>
      <c r="E851" s="10" t="b">
        <f>IF(ISERROR(VLOOKUP( LEFT(B851, LEN(B851) - IF(ISNUMBER(RIGHT(B851, 1) * 1), 1, 0)),metadata_testudines!B$1:B$60,1,FALSE)),FALSE,TRUE)</f>
        <v>1</v>
      </c>
      <c r="F851" t="s">
        <v>681</v>
      </c>
      <c r="G851" t="s">
        <v>682</v>
      </c>
      <c r="H851">
        <v>0.93</v>
      </c>
      <c r="I851" t="s">
        <v>667</v>
      </c>
      <c r="J851" t="s">
        <v>683</v>
      </c>
      <c r="K851" t="s">
        <v>645</v>
      </c>
      <c r="L851" t="s">
        <v>684</v>
      </c>
      <c r="M851" t="s">
        <v>664</v>
      </c>
    </row>
    <row r="852" spans="1:13" hidden="1" x14ac:dyDescent="0.2">
      <c r="A852" s="10" t="s">
        <v>558</v>
      </c>
      <c r="B852" t="s">
        <v>56</v>
      </c>
      <c r="C852" t="s">
        <v>658</v>
      </c>
      <c r="D852" t="s">
        <v>659</v>
      </c>
      <c r="E852" s="10" t="b">
        <f>IF(ISERROR(VLOOKUP( LEFT(B852, LEN(B852) - IF(ISNUMBER(RIGHT(B852, 1) * 1), 1, 0)),metadata_testudines!B$1:B$60,1,FALSE)),FALSE,TRUE)</f>
        <v>1</v>
      </c>
      <c r="F852" t="s">
        <v>681</v>
      </c>
      <c r="G852" t="s">
        <v>685</v>
      </c>
      <c r="H852">
        <v>0.7</v>
      </c>
      <c r="I852" t="s">
        <v>667</v>
      </c>
      <c r="J852" t="s">
        <v>683</v>
      </c>
      <c r="K852" t="s">
        <v>645</v>
      </c>
      <c r="L852" t="s">
        <v>684</v>
      </c>
      <c r="M852" t="s">
        <v>664</v>
      </c>
    </row>
    <row r="853" spans="1:13" hidden="1" x14ac:dyDescent="0.2">
      <c r="A853" s="10" t="s">
        <v>558</v>
      </c>
      <c r="B853" t="s">
        <v>56</v>
      </c>
      <c r="C853" t="s">
        <v>658</v>
      </c>
      <c r="D853" t="s">
        <v>659</v>
      </c>
      <c r="E853" s="10" t="b">
        <f>IF(ISERROR(VLOOKUP( LEFT(B853, LEN(B853) - IF(ISNUMBER(RIGHT(B853, 1) * 1), 1, 0)),metadata_testudines!B$1:B$60,1,FALSE)),FALSE,TRUE)</f>
        <v>1</v>
      </c>
      <c r="F853" t="s">
        <v>681</v>
      </c>
      <c r="G853" t="s">
        <v>682</v>
      </c>
      <c r="H853">
        <v>0.85</v>
      </c>
      <c r="I853" t="s">
        <v>667</v>
      </c>
      <c r="J853" t="s">
        <v>683</v>
      </c>
      <c r="K853" t="s">
        <v>645</v>
      </c>
      <c r="L853" t="s">
        <v>684</v>
      </c>
      <c r="M853" t="s">
        <v>664</v>
      </c>
    </row>
    <row r="854" spans="1:13" hidden="1" x14ac:dyDescent="0.2">
      <c r="A854" s="10" t="s">
        <v>558</v>
      </c>
      <c r="B854" t="s">
        <v>56</v>
      </c>
      <c r="C854" t="s">
        <v>658</v>
      </c>
      <c r="D854" t="s">
        <v>659</v>
      </c>
      <c r="E854" s="10" t="b">
        <f>IF(ISERROR(VLOOKUP( LEFT(B854, LEN(B854) - IF(ISNUMBER(RIGHT(B854, 1) * 1), 1, 0)),metadata_testudines!B$1:B$60,1,FALSE)),FALSE,TRUE)</f>
        <v>1</v>
      </c>
      <c r="F854" t="s">
        <v>681</v>
      </c>
      <c r="G854" t="s">
        <v>685</v>
      </c>
      <c r="H854">
        <v>0.93</v>
      </c>
      <c r="I854" t="s">
        <v>667</v>
      </c>
      <c r="J854" t="s">
        <v>683</v>
      </c>
      <c r="K854" t="s">
        <v>645</v>
      </c>
      <c r="L854" t="s">
        <v>684</v>
      </c>
      <c r="M854" t="s">
        <v>664</v>
      </c>
    </row>
    <row r="855" spans="1:13" hidden="1" x14ac:dyDescent="0.2">
      <c r="A855" s="10" t="s">
        <v>558</v>
      </c>
      <c r="B855" t="s">
        <v>56</v>
      </c>
      <c r="C855" t="s">
        <v>658</v>
      </c>
      <c r="D855" t="s">
        <v>659</v>
      </c>
      <c r="E855" s="10" t="b">
        <f>IF(ISERROR(VLOOKUP( LEFT(B855, LEN(B855) - IF(ISNUMBER(RIGHT(B855, 1) * 1), 1, 0)),metadata_testudines!B$1:B$60,1,FALSE)),FALSE,TRUE)</f>
        <v>1</v>
      </c>
      <c r="F855" t="s">
        <v>681</v>
      </c>
      <c r="G855" t="s">
        <v>685</v>
      </c>
      <c r="H855">
        <v>0.56999999999999995</v>
      </c>
      <c r="I855" t="s">
        <v>667</v>
      </c>
      <c r="J855" t="s">
        <v>683</v>
      </c>
      <c r="K855" t="s">
        <v>645</v>
      </c>
      <c r="L855" t="s">
        <v>646</v>
      </c>
      <c r="M855" t="s">
        <v>664</v>
      </c>
    </row>
    <row r="856" spans="1:13" hidden="1" x14ac:dyDescent="0.2">
      <c r="A856" s="10" t="s">
        <v>558</v>
      </c>
      <c r="B856" t="s">
        <v>56</v>
      </c>
      <c r="C856" t="s">
        <v>658</v>
      </c>
      <c r="D856" t="s">
        <v>659</v>
      </c>
      <c r="E856" s="10" t="b">
        <f>IF(ISERROR(VLOOKUP( LEFT(B856, LEN(B856) - IF(ISNUMBER(RIGHT(B856, 1) * 1), 1, 0)),metadata_testudines!B$1:B$60,1,FALSE)),FALSE,TRUE)</f>
        <v>1</v>
      </c>
      <c r="F856" t="s">
        <v>681</v>
      </c>
      <c r="G856" t="s">
        <v>685</v>
      </c>
      <c r="H856">
        <v>0.85</v>
      </c>
      <c r="I856" t="s">
        <v>667</v>
      </c>
      <c r="J856" t="s">
        <v>683</v>
      </c>
      <c r="K856" t="s">
        <v>645</v>
      </c>
      <c r="L856" t="s">
        <v>684</v>
      </c>
      <c r="M856" t="s">
        <v>664</v>
      </c>
    </row>
    <row r="857" spans="1:13" hidden="1" x14ac:dyDescent="0.2">
      <c r="A857" s="10" t="s">
        <v>558</v>
      </c>
      <c r="B857" t="s">
        <v>56</v>
      </c>
      <c r="C857" t="s">
        <v>658</v>
      </c>
      <c r="D857" t="s">
        <v>659</v>
      </c>
      <c r="E857" s="10" t="b">
        <f>IF(ISERROR(VLOOKUP( LEFT(B857, LEN(B857) - IF(ISNUMBER(RIGHT(B857, 1) * 1), 1, 0)),metadata_testudines!B$1:B$60,1,FALSE)),FALSE,TRUE)</f>
        <v>1</v>
      </c>
      <c r="F857" t="s">
        <v>681</v>
      </c>
      <c r="G857" t="s">
        <v>685</v>
      </c>
      <c r="H857">
        <v>0.85</v>
      </c>
      <c r="I857" t="s">
        <v>667</v>
      </c>
      <c r="J857" t="s">
        <v>683</v>
      </c>
      <c r="K857" t="s">
        <v>645</v>
      </c>
      <c r="L857" t="s">
        <v>684</v>
      </c>
      <c r="M857" t="s">
        <v>664</v>
      </c>
    </row>
    <row r="858" spans="1:13" hidden="1" x14ac:dyDescent="0.2">
      <c r="A858" s="10" t="s">
        <v>558</v>
      </c>
      <c r="B858" t="s">
        <v>56</v>
      </c>
      <c r="C858" t="s">
        <v>658</v>
      </c>
      <c r="D858" t="s">
        <v>659</v>
      </c>
      <c r="E858" s="10" t="b">
        <f>IF(ISERROR(VLOOKUP( LEFT(B858, LEN(B858) - IF(ISNUMBER(RIGHT(B858, 1) * 1), 1, 0)),metadata_testudines!B$1:B$60,1,FALSE)),FALSE,TRUE)</f>
        <v>1</v>
      </c>
      <c r="F858" t="s">
        <v>681</v>
      </c>
      <c r="G858" t="s">
        <v>682</v>
      </c>
      <c r="H858">
        <v>0.88</v>
      </c>
      <c r="I858" t="s">
        <v>667</v>
      </c>
      <c r="J858" t="s">
        <v>683</v>
      </c>
      <c r="K858" t="s">
        <v>645</v>
      </c>
      <c r="L858" t="s">
        <v>677</v>
      </c>
      <c r="M858" t="s">
        <v>664</v>
      </c>
    </row>
    <row r="859" spans="1:13" hidden="1" x14ac:dyDescent="0.2">
      <c r="A859" s="10" t="s">
        <v>558</v>
      </c>
      <c r="B859" t="s">
        <v>56</v>
      </c>
      <c r="C859" t="s">
        <v>658</v>
      </c>
      <c r="D859" t="s">
        <v>659</v>
      </c>
      <c r="E859" s="10" t="b">
        <f>IF(ISERROR(VLOOKUP( LEFT(B859, LEN(B859) - IF(ISNUMBER(RIGHT(B859, 1) * 1), 1, 0)),metadata_testudines!B$1:B$60,1,FALSE)),FALSE,TRUE)</f>
        <v>1</v>
      </c>
      <c r="F859" t="s">
        <v>681</v>
      </c>
      <c r="G859" t="s">
        <v>682</v>
      </c>
      <c r="H859">
        <v>0.7</v>
      </c>
      <c r="I859" t="s">
        <v>667</v>
      </c>
      <c r="J859" t="s">
        <v>683</v>
      </c>
      <c r="K859" t="s">
        <v>645</v>
      </c>
      <c r="L859" t="s">
        <v>684</v>
      </c>
      <c r="M859" t="s">
        <v>664</v>
      </c>
    </row>
    <row r="860" spans="1:13" hidden="1" x14ac:dyDescent="0.2">
      <c r="A860" s="10" t="s">
        <v>558</v>
      </c>
      <c r="B860" t="s">
        <v>56</v>
      </c>
      <c r="C860" t="s">
        <v>658</v>
      </c>
      <c r="D860" t="s">
        <v>659</v>
      </c>
      <c r="E860" s="10" t="b">
        <f>IF(ISERROR(VLOOKUP( LEFT(B860, LEN(B860) - IF(ISNUMBER(RIGHT(B860, 1) * 1), 1, 0)),metadata_testudines!B$1:B$60,1,FALSE)),FALSE,TRUE)</f>
        <v>1</v>
      </c>
      <c r="F860" t="s">
        <v>681</v>
      </c>
      <c r="G860" t="s">
        <v>685</v>
      </c>
      <c r="H860">
        <v>0.93</v>
      </c>
      <c r="I860" t="s">
        <v>667</v>
      </c>
      <c r="J860" t="s">
        <v>683</v>
      </c>
      <c r="K860" t="s">
        <v>645</v>
      </c>
      <c r="L860" t="s">
        <v>684</v>
      </c>
      <c r="M860" t="s">
        <v>664</v>
      </c>
    </row>
    <row r="861" spans="1:13" hidden="1" x14ac:dyDescent="0.2">
      <c r="A861" s="10" t="s">
        <v>558</v>
      </c>
      <c r="B861" t="s">
        <v>56</v>
      </c>
      <c r="C861" t="s">
        <v>658</v>
      </c>
      <c r="D861" t="s">
        <v>659</v>
      </c>
      <c r="E861" s="10" t="b">
        <f>IF(ISERROR(VLOOKUP( LEFT(B861, LEN(B861) - IF(ISNUMBER(RIGHT(B861, 1) * 1), 1, 0)),metadata_testudines!B$1:B$60,1,FALSE)),FALSE,TRUE)</f>
        <v>1</v>
      </c>
      <c r="F861" t="s">
        <v>681</v>
      </c>
      <c r="G861" t="s">
        <v>685</v>
      </c>
      <c r="H861">
        <v>0.88</v>
      </c>
      <c r="I861" t="s">
        <v>667</v>
      </c>
      <c r="J861" t="s">
        <v>683</v>
      </c>
      <c r="K861" t="s">
        <v>645</v>
      </c>
      <c r="L861" t="s">
        <v>677</v>
      </c>
      <c r="M861" t="s">
        <v>664</v>
      </c>
    </row>
    <row r="862" spans="1:13" hidden="1" x14ac:dyDescent="0.2">
      <c r="A862" s="10" t="s">
        <v>558</v>
      </c>
      <c r="B862" t="s">
        <v>56</v>
      </c>
      <c r="C862" t="s">
        <v>658</v>
      </c>
      <c r="D862" t="s">
        <v>659</v>
      </c>
      <c r="E862" s="10" t="b">
        <f>IF(ISERROR(VLOOKUP( LEFT(B862, LEN(B862) - IF(ISNUMBER(RIGHT(B862, 1) * 1), 1, 0)),metadata_testudines!B$1:B$60,1,FALSE)),FALSE,TRUE)</f>
        <v>1</v>
      </c>
      <c r="F862" t="s">
        <v>681</v>
      </c>
      <c r="G862" t="s">
        <v>682</v>
      </c>
      <c r="H862">
        <v>0.88</v>
      </c>
      <c r="I862" t="s">
        <v>667</v>
      </c>
      <c r="J862" t="s">
        <v>683</v>
      </c>
      <c r="K862" t="s">
        <v>645</v>
      </c>
      <c r="L862" t="s">
        <v>677</v>
      </c>
      <c r="M862" t="s">
        <v>664</v>
      </c>
    </row>
    <row r="863" spans="1:13" hidden="1" x14ac:dyDescent="0.2">
      <c r="A863" s="10" t="s">
        <v>558</v>
      </c>
      <c r="B863" t="s">
        <v>56</v>
      </c>
      <c r="C863" t="s">
        <v>658</v>
      </c>
      <c r="D863" t="s">
        <v>659</v>
      </c>
      <c r="E863" s="10" t="b">
        <f>IF(ISERROR(VLOOKUP( LEFT(B863, LEN(B863) - IF(ISNUMBER(RIGHT(B863, 1) * 1), 1, 0)),metadata_testudines!B$1:B$60,1,FALSE)),FALSE,TRUE)</f>
        <v>1</v>
      </c>
      <c r="F863" t="s">
        <v>681</v>
      </c>
      <c r="G863" t="s">
        <v>682</v>
      </c>
      <c r="H863">
        <v>0.88</v>
      </c>
      <c r="I863" t="s">
        <v>667</v>
      </c>
      <c r="J863" t="s">
        <v>683</v>
      </c>
      <c r="K863" t="s">
        <v>645</v>
      </c>
      <c r="L863" t="s">
        <v>677</v>
      </c>
      <c r="M863" t="s">
        <v>664</v>
      </c>
    </row>
    <row r="864" spans="1:13" hidden="1" x14ac:dyDescent="0.2">
      <c r="A864" s="10" t="s">
        <v>558</v>
      </c>
      <c r="B864" t="s">
        <v>56</v>
      </c>
      <c r="C864" t="s">
        <v>658</v>
      </c>
      <c r="D864" t="s">
        <v>659</v>
      </c>
      <c r="E864" s="10" t="b">
        <f>IF(ISERROR(VLOOKUP( LEFT(B864, LEN(B864) - IF(ISNUMBER(RIGHT(B864, 1) * 1), 1, 0)),metadata_testudines!B$1:B$60,1,FALSE)),FALSE,TRUE)</f>
        <v>1</v>
      </c>
      <c r="F864" t="s">
        <v>681</v>
      </c>
      <c r="G864" t="s">
        <v>682</v>
      </c>
      <c r="H864">
        <v>0.88</v>
      </c>
      <c r="I864" t="s">
        <v>667</v>
      </c>
      <c r="J864" t="s">
        <v>683</v>
      </c>
      <c r="K864" t="s">
        <v>645</v>
      </c>
      <c r="L864" t="s">
        <v>677</v>
      </c>
      <c r="M864" t="s">
        <v>664</v>
      </c>
    </row>
    <row r="865" spans="1:13" hidden="1" x14ac:dyDescent="0.2">
      <c r="A865" s="10" t="s">
        <v>558</v>
      </c>
      <c r="B865" t="s">
        <v>56</v>
      </c>
      <c r="C865" t="s">
        <v>658</v>
      </c>
      <c r="D865" t="s">
        <v>659</v>
      </c>
      <c r="E865" s="10" t="b">
        <f>IF(ISERROR(VLOOKUP( LEFT(B865, LEN(B865) - IF(ISNUMBER(RIGHT(B865, 1) * 1), 1, 0)),metadata_testudines!B$1:B$60,1,FALSE)),FALSE,TRUE)</f>
        <v>1</v>
      </c>
      <c r="F865" t="s">
        <v>681</v>
      </c>
      <c r="G865" t="s">
        <v>685</v>
      </c>
      <c r="H865">
        <v>0.85</v>
      </c>
      <c r="I865" t="s">
        <v>667</v>
      </c>
      <c r="J865" t="s">
        <v>683</v>
      </c>
      <c r="K865" t="s">
        <v>645</v>
      </c>
      <c r="L865" t="s">
        <v>684</v>
      </c>
      <c r="M865" t="s">
        <v>664</v>
      </c>
    </row>
    <row r="866" spans="1:13" hidden="1" x14ac:dyDescent="0.2">
      <c r="A866" s="10" t="s">
        <v>558</v>
      </c>
      <c r="B866" t="s">
        <v>56</v>
      </c>
      <c r="C866" t="s">
        <v>658</v>
      </c>
      <c r="D866" t="s">
        <v>659</v>
      </c>
      <c r="E866" s="10" t="b">
        <f>IF(ISERROR(VLOOKUP( LEFT(B866, LEN(B866) - IF(ISNUMBER(RIGHT(B866, 1) * 1), 1, 0)),metadata_testudines!B$1:B$60,1,FALSE)),FALSE,TRUE)</f>
        <v>1</v>
      </c>
      <c r="F866" t="s">
        <v>681</v>
      </c>
      <c r="G866" t="s">
        <v>682</v>
      </c>
      <c r="H866">
        <v>0.56999999999999995</v>
      </c>
      <c r="I866" t="s">
        <v>667</v>
      </c>
      <c r="J866" t="s">
        <v>683</v>
      </c>
      <c r="K866" t="s">
        <v>645</v>
      </c>
      <c r="L866" t="s">
        <v>646</v>
      </c>
      <c r="M866" t="s">
        <v>664</v>
      </c>
    </row>
    <row r="867" spans="1:13" hidden="1" x14ac:dyDescent="0.2">
      <c r="A867" s="10" t="s">
        <v>558</v>
      </c>
      <c r="B867" t="s">
        <v>56</v>
      </c>
      <c r="C867" t="s">
        <v>658</v>
      </c>
      <c r="D867" t="s">
        <v>659</v>
      </c>
      <c r="E867" s="10" t="b">
        <f>IF(ISERROR(VLOOKUP( LEFT(B867, LEN(B867) - IF(ISNUMBER(RIGHT(B867, 1) * 1), 1, 0)),metadata_testudines!B$1:B$60,1,FALSE)),FALSE,TRUE)</f>
        <v>1</v>
      </c>
      <c r="F867" t="s">
        <v>681</v>
      </c>
      <c r="G867" t="s">
        <v>685</v>
      </c>
      <c r="H867">
        <v>0.93</v>
      </c>
      <c r="I867" t="s">
        <v>667</v>
      </c>
      <c r="J867" t="s">
        <v>683</v>
      </c>
      <c r="K867" t="s">
        <v>645</v>
      </c>
      <c r="L867" t="s">
        <v>684</v>
      </c>
      <c r="M867" t="s">
        <v>664</v>
      </c>
    </row>
    <row r="868" spans="1:13" hidden="1" x14ac:dyDescent="0.2">
      <c r="A868" s="10" t="s">
        <v>558</v>
      </c>
      <c r="B868" t="s">
        <v>56</v>
      </c>
      <c r="C868" t="s">
        <v>658</v>
      </c>
      <c r="D868" t="s">
        <v>659</v>
      </c>
      <c r="E868" s="10" t="b">
        <f>IF(ISERROR(VLOOKUP( LEFT(B868, LEN(B868) - IF(ISNUMBER(RIGHT(B868, 1) * 1), 1, 0)),metadata_testudines!B$1:B$60,1,FALSE)),FALSE,TRUE)</f>
        <v>1</v>
      </c>
      <c r="F868" t="s">
        <v>681</v>
      </c>
      <c r="G868" t="s">
        <v>685</v>
      </c>
      <c r="H868">
        <v>0.93</v>
      </c>
      <c r="I868" t="s">
        <v>667</v>
      </c>
      <c r="J868" t="s">
        <v>683</v>
      </c>
      <c r="K868" t="s">
        <v>645</v>
      </c>
      <c r="L868" t="s">
        <v>684</v>
      </c>
      <c r="M868" t="s">
        <v>664</v>
      </c>
    </row>
    <row r="869" spans="1:13" hidden="1" x14ac:dyDescent="0.2">
      <c r="A869" s="10" t="s">
        <v>558</v>
      </c>
      <c r="B869" t="s">
        <v>56</v>
      </c>
      <c r="C869" t="s">
        <v>658</v>
      </c>
      <c r="D869" t="s">
        <v>659</v>
      </c>
      <c r="E869" s="10" t="b">
        <f>IF(ISERROR(VLOOKUP( LEFT(B869, LEN(B869) - IF(ISNUMBER(RIGHT(B869, 1) * 1), 1, 0)),metadata_testudines!B$1:B$60,1,FALSE)),FALSE,TRUE)</f>
        <v>1</v>
      </c>
      <c r="F869" t="s">
        <v>681</v>
      </c>
      <c r="G869" t="s">
        <v>682</v>
      </c>
      <c r="H869">
        <v>0.7</v>
      </c>
      <c r="I869" t="s">
        <v>667</v>
      </c>
      <c r="J869" t="s">
        <v>683</v>
      </c>
      <c r="K869" t="s">
        <v>645</v>
      </c>
      <c r="L869" t="s">
        <v>684</v>
      </c>
      <c r="M869" t="s">
        <v>664</v>
      </c>
    </row>
    <row r="870" spans="1:13" hidden="1" x14ac:dyDescent="0.2">
      <c r="A870" s="10" t="s">
        <v>558</v>
      </c>
      <c r="B870" t="s">
        <v>56</v>
      </c>
      <c r="C870" t="s">
        <v>658</v>
      </c>
      <c r="D870" t="s">
        <v>659</v>
      </c>
      <c r="E870" s="10" t="b">
        <f>IF(ISERROR(VLOOKUP( LEFT(B870, LEN(B870) - IF(ISNUMBER(RIGHT(B870, 1) * 1), 1, 0)),metadata_testudines!B$1:B$60,1,FALSE)),FALSE,TRUE)</f>
        <v>1</v>
      </c>
      <c r="F870" t="s">
        <v>681</v>
      </c>
      <c r="G870" t="s">
        <v>682</v>
      </c>
      <c r="H870">
        <v>0.93</v>
      </c>
      <c r="I870" t="s">
        <v>667</v>
      </c>
      <c r="J870" t="s">
        <v>683</v>
      </c>
      <c r="K870" t="s">
        <v>645</v>
      </c>
      <c r="L870" t="s">
        <v>684</v>
      </c>
      <c r="M870" t="s">
        <v>664</v>
      </c>
    </row>
    <row r="871" spans="1:13" hidden="1" x14ac:dyDescent="0.2">
      <c r="A871" s="10" t="s">
        <v>558</v>
      </c>
      <c r="B871" t="s">
        <v>56</v>
      </c>
      <c r="C871" t="s">
        <v>658</v>
      </c>
      <c r="D871" t="s">
        <v>659</v>
      </c>
      <c r="E871" s="10" t="b">
        <f>IF(ISERROR(VLOOKUP( LEFT(B871, LEN(B871) - IF(ISNUMBER(RIGHT(B871, 1) * 1), 1, 0)),metadata_testudines!B$1:B$60,1,FALSE)),FALSE,TRUE)</f>
        <v>1</v>
      </c>
      <c r="F871" t="s">
        <v>681</v>
      </c>
      <c r="G871" t="s">
        <v>685</v>
      </c>
      <c r="H871">
        <v>0.56999999999999995</v>
      </c>
      <c r="I871" t="s">
        <v>667</v>
      </c>
      <c r="J871" t="s">
        <v>683</v>
      </c>
      <c r="K871" t="s">
        <v>645</v>
      </c>
      <c r="L871" t="s">
        <v>646</v>
      </c>
      <c r="M871" t="s">
        <v>664</v>
      </c>
    </row>
    <row r="872" spans="1:13" hidden="1" x14ac:dyDescent="0.2">
      <c r="A872" s="10" t="s">
        <v>558</v>
      </c>
      <c r="B872" t="s">
        <v>56</v>
      </c>
      <c r="C872" t="s">
        <v>658</v>
      </c>
      <c r="D872" t="s">
        <v>659</v>
      </c>
      <c r="E872" s="10" t="b">
        <f>IF(ISERROR(VLOOKUP( LEFT(B872, LEN(B872) - IF(ISNUMBER(RIGHT(B872, 1) * 1), 1, 0)),metadata_testudines!B$1:B$60,1,FALSE)),FALSE,TRUE)</f>
        <v>1</v>
      </c>
      <c r="F872" t="s">
        <v>681</v>
      </c>
      <c r="G872" t="s">
        <v>685</v>
      </c>
      <c r="H872">
        <v>0.7</v>
      </c>
      <c r="I872" t="s">
        <v>667</v>
      </c>
      <c r="J872" t="s">
        <v>683</v>
      </c>
      <c r="K872" t="s">
        <v>645</v>
      </c>
      <c r="L872" t="s">
        <v>684</v>
      </c>
      <c r="M872" t="s">
        <v>664</v>
      </c>
    </row>
    <row r="873" spans="1:13" hidden="1" x14ac:dyDescent="0.2">
      <c r="A873" s="10" t="s">
        <v>558</v>
      </c>
      <c r="B873" t="s">
        <v>56</v>
      </c>
      <c r="C873" t="s">
        <v>658</v>
      </c>
      <c r="D873" t="s">
        <v>659</v>
      </c>
      <c r="E873" s="10" t="b">
        <f>IF(ISERROR(VLOOKUP( LEFT(B873, LEN(B873) - IF(ISNUMBER(RIGHT(B873, 1) * 1), 1, 0)),metadata_testudines!B$1:B$60,1,FALSE)),FALSE,TRUE)</f>
        <v>1</v>
      </c>
      <c r="F873" t="s">
        <v>681</v>
      </c>
      <c r="G873" t="s">
        <v>682</v>
      </c>
      <c r="H873">
        <v>0.7</v>
      </c>
      <c r="I873" t="s">
        <v>667</v>
      </c>
      <c r="J873" t="s">
        <v>683</v>
      </c>
      <c r="K873" t="s">
        <v>645</v>
      </c>
      <c r="L873" t="s">
        <v>684</v>
      </c>
      <c r="M873" t="s">
        <v>664</v>
      </c>
    </row>
    <row r="874" spans="1:13" hidden="1" x14ac:dyDescent="0.2">
      <c r="A874" s="10" t="s">
        <v>558</v>
      </c>
      <c r="B874" t="s">
        <v>56</v>
      </c>
      <c r="C874" t="s">
        <v>658</v>
      </c>
      <c r="D874" t="s">
        <v>659</v>
      </c>
      <c r="E874" s="10" t="b">
        <f>IF(ISERROR(VLOOKUP( LEFT(B874, LEN(B874) - IF(ISNUMBER(RIGHT(B874, 1) * 1), 1, 0)),metadata_testudines!B$1:B$60,1,FALSE)),FALSE,TRUE)</f>
        <v>1</v>
      </c>
      <c r="F874" t="s">
        <v>681</v>
      </c>
      <c r="G874" t="s">
        <v>685</v>
      </c>
      <c r="H874">
        <v>0.56999999999999995</v>
      </c>
      <c r="I874" t="s">
        <v>667</v>
      </c>
      <c r="J874" t="s">
        <v>683</v>
      </c>
      <c r="K874" t="s">
        <v>645</v>
      </c>
      <c r="L874" t="s">
        <v>646</v>
      </c>
      <c r="M874" t="s">
        <v>664</v>
      </c>
    </row>
    <row r="875" spans="1:13" hidden="1" x14ac:dyDescent="0.2">
      <c r="A875" s="10" t="s">
        <v>558</v>
      </c>
      <c r="B875" t="s">
        <v>56</v>
      </c>
      <c r="C875" t="s">
        <v>658</v>
      </c>
      <c r="D875" t="s">
        <v>659</v>
      </c>
      <c r="E875" s="10" t="b">
        <f>IF(ISERROR(VLOOKUP( LEFT(B875, LEN(B875) - IF(ISNUMBER(RIGHT(B875, 1) * 1), 1, 0)),metadata_testudines!B$1:B$60,1,FALSE)),FALSE,TRUE)</f>
        <v>1</v>
      </c>
      <c r="F875" t="s">
        <v>681</v>
      </c>
      <c r="G875" t="s">
        <v>682</v>
      </c>
      <c r="H875">
        <v>0.56999999999999995</v>
      </c>
      <c r="I875" t="s">
        <v>667</v>
      </c>
      <c r="J875" t="s">
        <v>683</v>
      </c>
      <c r="K875" t="s">
        <v>645</v>
      </c>
      <c r="L875" t="s">
        <v>646</v>
      </c>
      <c r="M875" t="s">
        <v>664</v>
      </c>
    </row>
    <row r="876" spans="1:13" hidden="1" x14ac:dyDescent="0.2">
      <c r="A876" s="10" t="s">
        <v>558</v>
      </c>
      <c r="B876" t="s">
        <v>56</v>
      </c>
      <c r="C876" t="s">
        <v>658</v>
      </c>
      <c r="D876" t="s">
        <v>659</v>
      </c>
      <c r="E876" s="10" t="b">
        <f>IF(ISERROR(VLOOKUP( LEFT(B876, LEN(B876) - IF(ISNUMBER(RIGHT(B876, 1) * 1), 1, 0)),metadata_testudines!B$1:B$60,1,FALSE)),FALSE,TRUE)</f>
        <v>1</v>
      </c>
      <c r="F876" t="s">
        <v>681</v>
      </c>
      <c r="G876" t="s">
        <v>682</v>
      </c>
      <c r="H876">
        <v>0.93</v>
      </c>
      <c r="I876" t="s">
        <v>667</v>
      </c>
      <c r="J876" t="s">
        <v>683</v>
      </c>
      <c r="K876" t="s">
        <v>645</v>
      </c>
      <c r="L876" t="s">
        <v>684</v>
      </c>
      <c r="M876" t="s">
        <v>664</v>
      </c>
    </row>
    <row r="877" spans="1:13" hidden="1" x14ac:dyDescent="0.2">
      <c r="A877" s="10" t="s">
        <v>558</v>
      </c>
      <c r="B877" t="s">
        <v>56</v>
      </c>
      <c r="C877" t="s">
        <v>658</v>
      </c>
      <c r="D877" t="s">
        <v>659</v>
      </c>
      <c r="E877" s="10" t="b">
        <f>IF(ISERROR(VLOOKUP( LEFT(B877, LEN(B877) - IF(ISNUMBER(RIGHT(B877, 1) * 1), 1, 0)),metadata_testudines!B$1:B$60,1,FALSE)),FALSE,TRUE)</f>
        <v>1</v>
      </c>
      <c r="F877" t="s">
        <v>681</v>
      </c>
      <c r="G877" t="s">
        <v>685</v>
      </c>
      <c r="H877">
        <v>0.85</v>
      </c>
      <c r="I877" t="s">
        <v>667</v>
      </c>
      <c r="J877" t="s">
        <v>683</v>
      </c>
      <c r="K877" t="s">
        <v>645</v>
      </c>
      <c r="L877" t="s">
        <v>684</v>
      </c>
      <c r="M877" t="s">
        <v>664</v>
      </c>
    </row>
    <row r="878" spans="1:13" hidden="1" x14ac:dyDescent="0.2">
      <c r="A878" s="10" t="s">
        <v>558</v>
      </c>
      <c r="B878" t="s">
        <v>56</v>
      </c>
      <c r="C878" t="s">
        <v>658</v>
      </c>
      <c r="D878" t="s">
        <v>659</v>
      </c>
      <c r="E878" s="10" t="b">
        <f>IF(ISERROR(VLOOKUP( LEFT(B878, LEN(B878) - IF(ISNUMBER(RIGHT(B878, 1) * 1), 1, 0)),metadata_testudines!B$1:B$60,1,FALSE)),FALSE,TRUE)</f>
        <v>1</v>
      </c>
      <c r="F878" t="s">
        <v>681</v>
      </c>
      <c r="G878" t="s">
        <v>682</v>
      </c>
      <c r="H878">
        <v>0.88</v>
      </c>
      <c r="I878" t="s">
        <v>667</v>
      </c>
      <c r="J878" t="s">
        <v>683</v>
      </c>
      <c r="K878" t="s">
        <v>645</v>
      </c>
      <c r="L878" t="s">
        <v>677</v>
      </c>
      <c r="M878" t="s">
        <v>664</v>
      </c>
    </row>
    <row r="879" spans="1:13" hidden="1" x14ac:dyDescent="0.2">
      <c r="A879" s="10" t="s">
        <v>558</v>
      </c>
      <c r="B879" t="s">
        <v>56</v>
      </c>
      <c r="C879" t="s">
        <v>658</v>
      </c>
      <c r="D879" t="s">
        <v>659</v>
      </c>
      <c r="E879" s="10" t="b">
        <f>IF(ISERROR(VLOOKUP( LEFT(B879, LEN(B879) - IF(ISNUMBER(RIGHT(B879, 1) * 1), 1, 0)),metadata_testudines!B$1:B$60,1,FALSE)),FALSE,TRUE)</f>
        <v>1</v>
      </c>
      <c r="F879" t="s">
        <v>681</v>
      </c>
      <c r="G879" t="s">
        <v>685</v>
      </c>
      <c r="H879">
        <v>0.93</v>
      </c>
      <c r="I879" t="s">
        <v>667</v>
      </c>
      <c r="J879" t="s">
        <v>683</v>
      </c>
      <c r="K879" t="s">
        <v>645</v>
      </c>
      <c r="L879" t="s">
        <v>684</v>
      </c>
      <c r="M879" t="s">
        <v>664</v>
      </c>
    </row>
    <row r="880" spans="1:13" hidden="1" x14ac:dyDescent="0.2">
      <c r="A880" s="10" t="s">
        <v>558</v>
      </c>
      <c r="B880" t="s">
        <v>56</v>
      </c>
      <c r="C880" t="s">
        <v>658</v>
      </c>
      <c r="D880" t="s">
        <v>659</v>
      </c>
      <c r="E880" s="10" t="b">
        <f>IF(ISERROR(VLOOKUP( LEFT(B880, LEN(B880) - IF(ISNUMBER(RIGHT(B880, 1) * 1), 1, 0)),metadata_testudines!B$1:B$60,1,FALSE)),FALSE,TRUE)</f>
        <v>1</v>
      </c>
      <c r="F880" t="s">
        <v>681</v>
      </c>
      <c r="G880" t="s">
        <v>685</v>
      </c>
      <c r="H880">
        <v>0.7</v>
      </c>
      <c r="I880" t="s">
        <v>667</v>
      </c>
      <c r="J880" t="s">
        <v>683</v>
      </c>
      <c r="K880" t="s">
        <v>645</v>
      </c>
      <c r="L880" t="s">
        <v>684</v>
      </c>
      <c r="M880" t="s">
        <v>664</v>
      </c>
    </row>
    <row r="881" spans="1:13" hidden="1" x14ac:dyDescent="0.2">
      <c r="A881" s="10" t="s">
        <v>558</v>
      </c>
      <c r="B881" t="s">
        <v>56</v>
      </c>
      <c r="C881" t="s">
        <v>658</v>
      </c>
      <c r="D881" t="s">
        <v>659</v>
      </c>
      <c r="E881" s="10" t="b">
        <f>IF(ISERROR(VLOOKUP( LEFT(B881, LEN(B881) - IF(ISNUMBER(RIGHT(B881, 1) * 1), 1, 0)),metadata_testudines!B$1:B$60,1,FALSE)),FALSE,TRUE)</f>
        <v>1</v>
      </c>
      <c r="F881" t="s">
        <v>681</v>
      </c>
      <c r="G881" t="s">
        <v>682</v>
      </c>
      <c r="H881">
        <v>0.85</v>
      </c>
      <c r="I881" t="s">
        <v>667</v>
      </c>
      <c r="J881" t="s">
        <v>683</v>
      </c>
      <c r="K881" t="s">
        <v>645</v>
      </c>
      <c r="L881" t="s">
        <v>684</v>
      </c>
      <c r="M881" t="s">
        <v>664</v>
      </c>
    </row>
    <row r="882" spans="1:13" hidden="1" x14ac:dyDescent="0.2">
      <c r="A882" s="10" t="s">
        <v>558</v>
      </c>
      <c r="B882" t="s">
        <v>56</v>
      </c>
      <c r="C882" t="s">
        <v>658</v>
      </c>
      <c r="D882" t="s">
        <v>659</v>
      </c>
      <c r="E882" s="10" t="b">
        <f>IF(ISERROR(VLOOKUP( LEFT(B882, LEN(B882) - IF(ISNUMBER(RIGHT(B882, 1) * 1), 1, 0)),metadata_testudines!B$1:B$60,1,FALSE)),FALSE,TRUE)</f>
        <v>1</v>
      </c>
      <c r="F882" t="s">
        <v>681</v>
      </c>
      <c r="G882" t="s">
        <v>682</v>
      </c>
      <c r="H882">
        <v>0.7</v>
      </c>
      <c r="I882" t="s">
        <v>667</v>
      </c>
      <c r="J882" t="s">
        <v>683</v>
      </c>
      <c r="K882" t="s">
        <v>645</v>
      </c>
      <c r="L882" t="s">
        <v>684</v>
      </c>
      <c r="M882" t="s">
        <v>664</v>
      </c>
    </row>
    <row r="883" spans="1:13" hidden="1" x14ac:dyDescent="0.2">
      <c r="A883" s="10" t="s">
        <v>558</v>
      </c>
      <c r="B883" t="s">
        <v>56</v>
      </c>
      <c r="C883" t="s">
        <v>658</v>
      </c>
      <c r="D883" t="s">
        <v>659</v>
      </c>
      <c r="E883" s="10" t="b">
        <f>IF(ISERROR(VLOOKUP( LEFT(B883, LEN(B883) - IF(ISNUMBER(RIGHT(B883, 1) * 1), 1, 0)),metadata_testudines!B$1:B$60,1,FALSE)),FALSE,TRUE)</f>
        <v>1</v>
      </c>
      <c r="F883" t="s">
        <v>681</v>
      </c>
      <c r="G883" t="s">
        <v>682</v>
      </c>
      <c r="H883">
        <v>0.7</v>
      </c>
      <c r="I883" t="s">
        <v>667</v>
      </c>
      <c r="J883" t="s">
        <v>683</v>
      </c>
      <c r="K883" t="s">
        <v>645</v>
      </c>
      <c r="L883" t="s">
        <v>684</v>
      </c>
      <c r="M883" t="s">
        <v>664</v>
      </c>
    </row>
    <row r="884" spans="1:13" hidden="1" x14ac:dyDescent="0.2">
      <c r="A884" s="10" t="s">
        <v>558</v>
      </c>
      <c r="B884" t="s">
        <v>56</v>
      </c>
      <c r="C884" t="s">
        <v>658</v>
      </c>
      <c r="D884" t="s">
        <v>659</v>
      </c>
      <c r="E884" s="10" t="b">
        <f>IF(ISERROR(VLOOKUP( LEFT(B884, LEN(B884) - IF(ISNUMBER(RIGHT(B884, 1) * 1), 1, 0)),metadata_testudines!B$1:B$60,1,FALSE)),FALSE,TRUE)</f>
        <v>1</v>
      </c>
      <c r="F884" t="s">
        <v>681</v>
      </c>
      <c r="G884" t="s">
        <v>682</v>
      </c>
      <c r="H884">
        <v>0.56999999999999995</v>
      </c>
      <c r="I884" t="s">
        <v>667</v>
      </c>
      <c r="J884" t="s">
        <v>683</v>
      </c>
      <c r="K884" t="s">
        <v>645</v>
      </c>
      <c r="L884" t="s">
        <v>646</v>
      </c>
      <c r="M884" t="s">
        <v>664</v>
      </c>
    </row>
    <row r="885" spans="1:13" hidden="1" x14ac:dyDescent="0.2">
      <c r="A885" s="10" t="s">
        <v>558</v>
      </c>
      <c r="B885" t="s">
        <v>56</v>
      </c>
      <c r="C885" t="s">
        <v>658</v>
      </c>
      <c r="D885" t="s">
        <v>659</v>
      </c>
      <c r="E885" s="10" t="b">
        <f>IF(ISERROR(VLOOKUP( LEFT(B885, LEN(B885) - IF(ISNUMBER(RIGHT(B885, 1) * 1), 1, 0)),metadata_testudines!B$1:B$60,1,FALSE)),FALSE,TRUE)</f>
        <v>1</v>
      </c>
      <c r="F885" t="s">
        <v>681</v>
      </c>
      <c r="G885" t="s">
        <v>685</v>
      </c>
      <c r="H885">
        <v>0.56999999999999995</v>
      </c>
      <c r="I885" t="s">
        <v>667</v>
      </c>
      <c r="J885" t="s">
        <v>683</v>
      </c>
      <c r="K885" t="s">
        <v>645</v>
      </c>
      <c r="L885" t="s">
        <v>646</v>
      </c>
      <c r="M885" t="s">
        <v>664</v>
      </c>
    </row>
    <row r="886" spans="1:13" hidden="1" x14ac:dyDescent="0.2">
      <c r="A886" s="10" t="s">
        <v>558</v>
      </c>
      <c r="B886" t="s">
        <v>56</v>
      </c>
      <c r="C886" t="s">
        <v>658</v>
      </c>
      <c r="D886" t="s">
        <v>659</v>
      </c>
      <c r="E886" s="10" t="b">
        <f>IF(ISERROR(VLOOKUP( LEFT(B886, LEN(B886) - IF(ISNUMBER(RIGHT(B886, 1) * 1), 1, 0)),metadata_testudines!B$1:B$60,1,FALSE)),FALSE,TRUE)</f>
        <v>1</v>
      </c>
      <c r="F886" t="s">
        <v>681</v>
      </c>
      <c r="G886" t="s">
        <v>685</v>
      </c>
      <c r="H886">
        <v>0.85</v>
      </c>
      <c r="I886" t="s">
        <v>667</v>
      </c>
      <c r="J886" t="s">
        <v>683</v>
      </c>
      <c r="K886" t="s">
        <v>645</v>
      </c>
      <c r="L886" t="s">
        <v>684</v>
      </c>
      <c r="M886" t="s">
        <v>664</v>
      </c>
    </row>
    <row r="887" spans="1:13" hidden="1" x14ac:dyDescent="0.2">
      <c r="A887" s="10" t="s">
        <v>558</v>
      </c>
      <c r="B887" t="s">
        <v>56</v>
      </c>
      <c r="C887" t="s">
        <v>658</v>
      </c>
      <c r="D887" t="s">
        <v>659</v>
      </c>
      <c r="E887" s="10" t="b">
        <f>IF(ISERROR(VLOOKUP( LEFT(B887, LEN(B887) - IF(ISNUMBER(RIGHT(B887, 1) * 1), 1, 0)),metadata_testudines!B$1:B$60,1,FALSE)),FALSE,TRUE)</f>
        <v>1</v>
      </c>
      <c r="F887" t="s">
        <v>701</v>
      </c>
      <c r="G887" t="s">
        <v>703</v>
      </c>
      <c r="H887">
        <v>5</v>
      </c>
      <c r="I887" t="s">
        <v>662</v>
      </c>
      <c r="J887" t="s">
        <v>670</v>
      </c>
      <c r="K887" t="s">
        <v>647</v>
      </c>
      <c r="L887" t="s">
        <v>677</v>
      </c>
      <c r="M887" t="s">
        <v>664</v>
      </c>
    </row>
    <row r="888" spans="1:13" hidden="1" x14ac:dyDescent="0.2">
      <c r="A888" s="10" t="s">
        <v>558</v>
      </c>
      <c r="B888" t="s">
        <v>56</v>
      </c>
      <c r="C888" t="s">
        <v>658</v>
      </c>
      <c r="D888" t="s">
        <v>659</v>
      </c>
      <c r="E888" s="10" t="b">
        <f>IF(ISERROR(VLOOKUP( LEFT(B888, LEN(B888) - IF(ISNUMBER(RIGHT(B888, 1) * 1), 1, 0)),metadata_testudines!B$1:B$60,1,FALSE)),FALSE,TRUE)</f>
        <v>1</v>
      </c>
      <c r="F888" t="s">
        <v>681</v>
      </c>
      <c r="G888" t="s">
        <v>685</v>
      </c>
      <c r="H888">
        <v>0.88</v>
      </c>
      <c r="I888" t="s">
        <v>667</v>
      </c>
      <c r="J888" t="s">
        <v>683</v>
      </c>
      <c r="K888" t="s">
        <v>645</v>
      </c>
      <c r="L888" t="s">
        <v>677</v>
      </c>
      <c r="M888" t="s">
        <v>664</v>
      </c>
    </row>
    <row r="889" spans="1:13" hidden="1" x14ac:dyDescent="0.2">
      <c r="A889" s="10" t="s">
        <v>558</v>
      </c>
      <c r="B889" t="s">
        <v>56</v>
      </c>
      <c r="C889" t="s">
        <v>658</v>
      </c>
      <c r="D889" t="s">
        <v>659</v>
      </c>
      <c r="E889" s="10" t="b">
        <f>IF(ISERROR(VLOOKUP( LEFT(B889, LEN(B889) - IF(ISNUMBER(RIGHT(B889, 1) * 1), 1, 0)),metadata_testudines!B$1:B$60,1,FALSE)),FALSE,TRUE)</f>
        <v>1</v>
      </c>
      <c r="F889" t="s">
        <v>660</v>
      </c>
      <c r="G889" t="s">
        <v>675</v>
      </c>
      <c r="H889">
        <v>4650</v>
      </c>
      <c r="I889" t="s">
        <v>662</v>
      </c>
      <c r="J889" t="s">
        <v>670</v>
      </c>
      <c r="K889" t="s">
        <v>647</v>
      </c>
      <c r="L889" t="s">
        <v>646</v>
      </c>
      <c r="M889" t="s">
        <v>664</v>
      </c>
    </row>
    <row r="890" spans="1:13" hidden="1" x14ac:dyDescent="0.2">
      <c r="A890" s="10" t="s">
        <v>558</v>
      </c>
      <c r="B890" t="s">
        <v>56</v>
      </c>
      <c r="C890" t="s">
        <v>658</v>
      </c>
      <c r="D890" t="s">
        <v>659</v>
      </c>
      <c r="E890" s="10" t="b">
        <f>IF(ISERROR(VLOOKUP( LEFT(B890, LEN(B890) - IF(ISNUMBER(RIGHT(B890, 1) * 1), 1, 0)),metadata_testudines!B$1:B$60,1,FALSE)),FALSE,TRUE)</f>
        <v>1</v>
      </c>
      <c r="F890" t="s">
        <v>681</v>
      </c>
      <c r="G890" t="s">
        <v>682</v>
      </c>
      <c r="H890">
        <v>0.93</v>
      </c>
      <c r="I890" t="s">
        <v>667</v>
      </c>
      <c r="J890" t="s">
        <v>683</v>
      </c>
      <c r="K890" t="s">
        <v>645</v>
      </c>
      <c r="L890" t="s">
        <v>684</v>
      </c>
      <c r="M890" t="s">
        <v>664</v>
      </c>
    </row>
    <row r="891" spans="1:13" hidden="1" x14ac:dyDescent="0.2">
      <c r="A891" s="10" t="s">
        <v>558</v>
      </c>
      <c r="B891" t="s">
        <v>56</v>
      </c>
      <c r="C891" t="s">
        <v>658</v>
      </c>
      <c r="D891" t="s">
        <v>659</v>
      </c>
      <c r="E891" s="10" t="b">
        <f>IF(ISERROR(VLOOKUP( LEFT(B891, LEN(B891) - IF(ISNUMBER(RIGHT(B891, 1) * 1), 1, 0)),metadata_testudines!B$1:B$60,1,FALSE)),FALSE,TRUE)</f>
        <v>1</v>
      </c>
      <c r="F891" t="s">
        <v>681</v>
      </c>
      <c r="G891" t="s">
        <v>685</v>
      </c>
      <c r="H891">
        <v>0.93</v>
      </c>
      <c r="I891" t="s">
        <v>667</v>
      </c>
      <c r="J891" t="s">
        <v>683</v>
      </c>
      <c r="K891" t="s">
        <v>645</v>
      </c>
      <c r="L891" t="s">
        <v>684</v>
      </c>
      <c r="M891" t="s">
        <v>664</v>
      </c>
    </row>
    <row r="892" spans="1:13" hidden="1" x14ac:dyDescent="0.2">
      <c r="A892" s="10" t="s">
        <v>558</v>
      </c>
      <c r="B892" t="s">
        <v>56</v>
      </c>
      <c r="C892" t="s">
        <v>658</v>
      </c>
      <c r="D892" t="s">
        <v>659</v>
      </c>
      <c r="E892" s="10" t="b">
        <f>IF(ISERROR(VLOOKUP( LEFT(B892, LEN(B892) - IF(ISNUMBER(RIGHT(B892, 1) * 1), 1, 0)),metadata_testudines!B$1:B$60,1,FALSE)),FALSE,TRUE)</f>
        <v>1</v>
      </c>
      <c r="F892" t="s">
        <v>681</v>
      </c>
      <c r="G892" t="s">
        <v>682</v>
      </c>
      <c r="H892">
        <v>0.85</v>
      </c>
      <c r="I892" t="s">
        <v>667</v>
      </c>
      <c r="J892" t="s">
        <v>683</v>
      </c>
      <c r="K892" t="s">
        <v>645</v>
      </c>
      <c r="L892" t="s">
        <v>684</v>
      </c>
      <c r="M892" t="s">
        <v>664</v>
      </c>
    </row>
    <row r="893" spans="1:13" hidden="1" x14ac:dyDescent="0.2">
      <c r="A893" s="10" t="s">
        <v>558</v>
      </c>
      <c r="B893" t="s">
        <v>56</v>
      </c>
      <c r="C893" t="s">
        <v>658</v>
      </c>
      <c r="D893" t="s">
        <v>659</v>
      </c>
      <c r="E893" s="10" t="b">
        <f>IF(ISERROR(VLOOKUP( LEFT(B893, LEN(B893) - IF(ISNUMBER(RIGHT(B893, 1) * 1), 1, 0)),metadata_testudines!B$1:B$60,1,FALSE)),FALSE,TRUE)</f>
        <v>1</v>
      </c>
      <c r="F893" t="s">
        <v>681</v>
      </c>
      <c r="G893" t="s">
        <v>685</v>
      </c>
      <c r="H893">
        <v>0.56999999999999995</v>
      </c>
      <c r="I893" t="s">
        <v>667</v>
      </c>
      <c r="J893" t="s">
        <v>683</v>
      </c>
      <c r="K893" t="s">
        <v>645</v>
      </c>
      <c r="L893" t="s">
        <v>646</v>
      </c>
      <c r="M893" t="s">
        <v>664</v>
      </c>
    </row>
    <row r="894" spans="1:13" hidden="1" x14ac:dyDescent="0.2">
      <c r="A894" s="10" t="s">
        <v>558</v>
      </c>
      <c r="B894" t="s">
        <v>56</v>
      </c>
      <c r="C894" t="s">
        <v>658</v>
      </c>
      <c r="D894" t="s">
        <v>659</v>
      </c>
      <c r="E894" s="10" t="b">
        <f>IF(ISERROR(VLOOKUP( LEFT(B894, LEN(B894) - IF(ISNUMBER(RIGHT(B894, 1) * 1), 1, 0)),metadata_testudines!B$1:B$60,1,FALSE)),FALSE,TRUE)</f>
        <v>1</v>
      </c>
      <c r="F894" t="s">
        <v>681</v>
      </c>
      <c r="G894" t="s">
        <v>682</v>
      </c>
      <c r="H894">
        <v>0.93</v>
      </c>
      <c r="I894" t="s">
        <v>667</v>
      </c>
      <c r="J894" t="s">
        <v>683</v>
      </c>
      <c r="K894" t="s">
        <v>645</v>
      </c>
      <c r="L894" t="s">
        <v>684</v>
      </c>
      <c r="M894" t="s">
        <v>664</v>
      </c>
    </row>
    <row r="895" spans="1:13" hidden="1" x14ac:dyDescent="0.2">
      <c r="A895" s="10" t="s">
        <v>558</v>
      </c>
      <c r="B895" t="s">
        <v>56</v>
      </c>
      <c r="C895" t="s">
        <v>658</v>
      </c>
      <c r="D895" t="s">
        <v>659</v>
      </c>
      <c r="E895" s="10" t="b">
        <f>IF(ISERROR(VLOOKUP( LEFT(B895, LEN(B895) - IF(ISNUMBER(RIGHT(B895, 1) * 1), 1, 0)),metadata_testudines!B$1:B$60,1,FALSE)),FALSE,TRUE)</f>
        <v>1</v>
      </c>
      <c r="F895" t="s">
        <v>681</v>
      </c>
      <c r="G895" t="s">
        <v>682</v>
      </c>
      <c r="H895">
        <v>0.7</v>
      </c>
      <c r="I895" t="s">
        <v>667</v>
      </c>
      <c r="J895" t="s">
        <v>683</v>
      </c>
      <c r="K895" t="s">
        <v>645</v>
      </c>
      <c r="L895" t="s">
        <v>684</v>
      </c>
      <c r="M895" t="s">
        <v>664</v>
      </c>
    </row>
    <row r="896" spans="1:13" hidden="1" x14ac:dyDescent="0.2">
      <c r="A896" s="10" t="s">
        <v>558</v>
      </c>
      <c r="B896" t="s">
        <v>56</v>
      </c>
      <c r="C896" t="s">
        <v>658</v>
      </c>
      <c r="D896" t="s">
        <v>659</v>
      </c>
      <c r="E896" s="10" t="b">
        <f>IF(ISERROR(VLOOKUP( LEFT(B896, LEN(B896) - IF(ISNUMBER(RIGHT(B896, 1) * 1), 1, 0)),metadata_testudines!B$1:B$60,1,FALSE)),FALSE,TRUE)</f>
        <v>1</v>
      </c>
      <c r="F896" t="s">
        <v>681</v>
      </c>
      <c r="G896" t="s">
        <v>685</v>
      </c>
      <c r="H896">
        <v>0.93</v>
      </c>
      <c r="I896" t="s">
        <v>667</v>
      </c>
      <c r="J896" t="s">
        <v>683</v>
      </c>
      <c r="K896" t="s">
        <v>645</v>
      </c>
      <c r="L896" t="s">
        <v>684</v>
      </c>
      <c r="M896" t="s">
        <v>664</v>
      </c>
    </row>
    <row r="897" spans="1:13" hidden="1" x14ac:dyDescent="0.2">
      <c r="A897" s="10" t="s">
        <v>558</v>
      </c>
      <c r="B897" t="s">
        <v>56</v>
      </c>
      <c r="C897" t="s">
        <v>658</v>
      </c>
      <c r="D897" t="s">
        <v>659</v>
      </c>
      <c r="E897" s="10" t="b">
        <f>IF(ISERROR(VLOOKUP( LEFT(B897, LEN(B897) - IF(ISNUMBER(RIGHT(B897, 1) * 1), 1, 0)),metadata_testudines!B$1:B$60,1,FALSE)),FALSE,TRUE)</f>
        <v>1</v>
      </c>
      <c r="F897" t="s">
        <v>681</v>
      </c>
      <c r="G897" t="s">
        <v>682</v>
      </c>
      <c r="H897">
        <v>0.56999999999999995</v>
      </c>
      <c r="I897" t="s">
        <v>667</v>
      </c>
      <c r="J897" t="s">
        <v>683</v>
      </c>
      <c r="K897" t="s">
        <v>645</v>
      </c>
      <c r="L897" t="s">
        <v>646</v>
      </c>
      <c r="M897" t="s">
        <v>664</v>
      </c>
    </row>
    <row r="898" spans="1:13" hidden="1" x14ac:dyDescent="0.2">
      <c r="A898" s="10" t="s">
        <v>558</v>
      </c>
      <c r="B898" t="s">
        <v>56</v>
      </c>
      <c r="C898" t="s">
        <v>658</v>
      </c>
      <c r="D898" t="s">
        <v>659</v>
      </c>
      <c r="E898" s="10" t="b">
        <f>IF(ISERROR(VLOOKUP( LEFT(B898, LEN(B898) - IF(ISNUMBER(RIGHT(B898, 1) * 1), 1, 0)),metadata_testudines!B$1:B$60,1,FALSE)),FALSE,TRUE)</f>
        <v>1</v>
      </c>
      <c r="F898" t="s">
        <v>681</v>
      </c>
      <c r="G898" t="s">
        <v>685</v>
      </c>
      <c r="H898">
        <v>0.56999999999999995</v>
      </c>
      <c r="I898" t="s">
        <v>667</v>
      </c>
      <c r="J898" t="s">
        <v>683</v>
      </c>
      <c r="K898" t="s">
        <v>645</v>
      </c>
      <c r="L898" t="s">
        <v>646</v>
      </c>
      <c r="M898" t="s">
        <v>664</v>
      </c>
    </row>
    <row r="899" spans="1:13" hidden="1" x14ac:dyDescent="0.2">
      <c r="A899" s="10" t="s">
        <v>558</v>
      </c>
      <c r="B899" t="s">
        <v>56</v>
      </c>
      <c r="C899" t="s">
        <v>658</v>
      </c>
      <c r="D899" t="s">
        <v>659</v>
      </c>
      <c r="E899" s="10" t="b">
        <f>IF(ISERROR(VLOOKUP( LEFT(B899, LEN(B899) - IF(ISNUMBER(RIGHT(B899, 1) * 1), 1, 0)),metadata_testudines!B$1:B$60,1,FALSE)),FALSE,TRUE)</f>
        <v>1</v>
      </c>
      <c r="F899" t="s">
        <v>681</v>
      </c>
      <c r="G899" t="s">
        <v>685</v>
      </c>
      <c r="H899">
        <v>0.7</v>
      </c>
      <c r="I899" t="s">
        <v>667</v>
      </c>
      <c r="J899" t="s">
        <v>683</v>
      </c>
      <c r="K899" t="s">
        <v>645</v>
      </c>
      <c r="L899" t="s">
        <v>684</v>
      </c>
      <c r="M899" t="s">
        <v>664</v>
      </c>
    </row>
    <row r="900" spans="1:13" hidden="1" x14ac:dyDescent="0.2">
      <c r="A900" s="10" t="s">
        <v>558</v>
      </c>
      <c r="B900" t="s">
        <v>56</v>
      </c>
      <c r="C900" t="s">
        <v>658</v>
      </c>
      <c r="D900" t="s">
        <v>659</v>
      </c>
      <c r="E900" s="10" t="b">
        <f>IF(ISERROR(VLOOKUP( LEFT(B900, LEN(B900) - IF(ISNUMBER(RIGHT(B900, 1) * 1), 1, 0)),metadata_testudines!B$1:B$60,1,FALSE)),FALSE,TRUE)</f>
        <v>1</v>
      </c>
      <c r="F900" t="s">
        <v>671</v>
      </c>
      <c r="G900" t="s">
        <v>672</v>
      </c>
      <c r="H900">
        <v>127</v>
      </c>
      <c r="I900" t="s">
        <v>667</v>
      </c>
      <c r="J900" t="s">
        <v>668</v>
      </c>
      <c r="K900" t="s">
        <v>673</v>
      </c>
      <c r="L900" t="s">
        <v>664</v>
      </c>
      <c r="M900" t="s">
        <v>678</v>
      </c>
    </row>
    <row r="901" spans="1:13" hidden="1" x14ac:dyDescent="0.2">
      <c r="A901" s="10" t="s">
        <v>558</v>
      </c>
      <c r="B901" t="s">
        <v>56</v>
      </c>
      <c r="C901" t="s">
        <v>658</v>
      </c>
      <c r="D901" t="s">
        <v>659</v>
      </c>
      <c r="E901" s="10" t="b">
        <f>IF(ISERROR(VLOOKUP( LEFT(B901, LEN(B901) - IF(ISNUMBER(RIGHT(B901, 1) * 1), 1, 0)),metadata_testudines!B$1:B$60,1,FALSE)),FALSE,TRUE)</f>
        <v>1</v>
      </c>
      <c r="F901" t="s">
        <v>681</v>
      </c>
      <c r="G901" t="s">
        <v>682</v>
      </c>
      <c r="H901">
        <v>0.88</v>
      </c>
      <c r="I901" t="s">
        <v>667</v>
      </c>
      <c r="J901" t="s">
        <v>683</v>
      </c>
      <c r="K901" t="s">
        <v>645</v>
      </c>
      <c r="L901" t="s">
        <v>677</v>
      </c>
      <c r="M901" t="s">
        <v>664</v>
      </c>
    </row>
    <row r="902" spans="1:13" hidden="1" x14ac:dyDescent="0.2">
      <c r="A902" s="10" t="s">
        <v>558</v>
      </c>
      <c r="B902" t="s">
        <v>56</v>
      </c>
      <c r="C902" t="s">
        <v>658</v>
      </c>
      <c r="D902" t="s">
        <v>659</v>
      </c>
      <c r="E902" s="10" t="b">
        <f>IF(ISERROR(VLOOKUP( LEFT(B902, LEN(B902) - IF(ISNUMBER(RIGHT(B902, 1) * 1), 1, 0)),metadata_testudines!B$1:B$60,1,FALSE)),FALSE,TRUE)</f>
        <v>1</v>
      </c>
      <c r="F902" t="s">
        <v>681</v>
      </c>
      <c r="G902" t="s">
        <v>682</v>
      </c>
      <c r="H902">
        <v>0.85</v>
      </c>
      <c r="I902" t="s">
        <v>667</v>
      </c>
      <c r="J902" t="s">
        <v>683</v>
      </c>
      <c r="K902" t="s">
        <v>645</v>
      </c>
      <c r="L902" t="s">
        <v>684</v>
      </c>
      <c r="M902" t="s">
        <v>664</v>
      </c>
    </row>
    <row r="903" spans="1:13" hidden="1" x14ac:dyDescent="0.2">
      <c r="A903" s="10" t="s">
        <v>558</v>
      </c>
      <c r="B903" t="s">
        <v>56</v>
      </c>
      <c r="C903" t="s">
        <v>658</v>
      </c>
      <c r="D903" t="s">
        <v>659</v>
      </c>
      <c r="E903" s="10" t="b">
        <f>IF(ISERROR(VLOOKUP( LEFT(B903, LEN(B903) - IF(ISNUMBER(RIGHT(B903, 1) * 1), 1, 0)),metadata_testudines!B$1:B$60,1,FALSE)),FALSE,TRUE)</f>
        <v>1</v>
      </c>
      <c r="F903" t="s">
        <v>681</v>
      </c>
      <c r="G903" t="s">
        <v>682</v>
      </c>
      <c r="H903">
        <v>0.85</v>
      </c>
      <c r="I903" t="s">
        <v>667</v>
      </c>
      <c r="J903" t="s">
        <v>683</v>
      </c>
      <c r="K903" t="s">
        <v>645</v>
      </c>
      <c r="L903" t="s">
        <v>684</v>
      </c>
      <c r="M903" t="s">
        <v>664</v>
      </c>
    </row>
    <row r="904" spans="1:13" hidden="1" x14ac:dyDescent="0.2">
      <c r="A904" s="10" t="s">
        <v>558</v>
      </c>
      <c r="B904" t="s">
        <v>56</v>
      </c>
      <c r="C904" t="s">
        <v>658</v>
      </c>
      <c r="D904" t="s">
        <v>659</v>
      </c>
      <c r="E904" s="10" t="b">
        <f>IF(ISERROR(VLOOKUP( LEFT(B904, LEN(B904) - IF(ISNUMBER(RIGHT(B904, 1) * 1), 1, 0)),metadata_testudines!B$1:B$60,1,FALSE)),FALSE,TRUE)</f>
        <v>1</v>
      </c>
      <c r="F904" t="s">
        <v>681</v>
      </c>
      <c r="G904" t="s">
        <v>682</v>
      </c>
      <c r="H904">
        <v>0.7</v>
      </c>
      <c r="I904" t="s">
        <v>667</v>
      </c>
      <c r="J904" t="s">
        <v>683</v>
      </c>
      <c r="K904" t="s">
        <v>645</v>
      </c>
      <c r="L904" t="s">
        <v>684</v>
      </c>
      <c r="M904" t="s">
        <v>664</v>
      </c>
    </row>
    <row r="905" spans="1:13" hidden="1" x14ac:dyDescent="0.2">
      <c r="A905" s="10" t="s">
        <v>558</v>
      </c>
      <c r="B905" t="s">
        <v>56</v>
      </c>
      <c r="C905" t="s">
        <v>658</v>
      </c>
      <c r="D905" t="s">
        <v>659</v>
      </c>
      <c r="E905" s="10" t="b">
        <f>IF(ISERROR(VLOOKUP( LEFT(B905, LEN(B905) - IF(ISNUMBER(RIGHT(B905, 1) * 1), 1, 0)),metadata_testudines!B$1:B$60,1,FALSE)),FALSE,TRUE)</f>
        <v>1</v>
      </c>
      <c r="F905" t="s">
        <v>681</v>
      </c>
      <c r="G905" t="s">
        <v>682</v>
      </c>
      <c r="H905">
        <v>0.93</v>
      </c>
      <c r="I905" t="s">
        <v>667</v>
      </c>
      <c r="J905" t="s">
        <v>683</v>
      </c>
      <c r="K905" t="s">
        <v>645</v>
      </c>
      <c r="L905" t="s">
        <v>684</v>
      </c>
      <c r="M905" t="s">
        <v>664</v>
      </c>
    </row>
    <row r="906" spans="1:13" hidden="1" x14ac:dyDescent="0.2">
      <c r="A906" s="10" t="s">
        <v>558</v>
      </c>
      <c r="B906" t="s">
        <v>56</v>
      </c>
      <c r="C906" t="s">
        <v>658</v>
      </c>
      <c r="D906" t="s">
        <v>659</v>
      </c>
      <c r="E906" s="10" t="b">
        <f>IF(ISERROR(VLOOKUP( LEFT(B906, LEN(B906) - IF(ISNUMBER(RIGHT(B906, 1) * 1), 1, 0)),metadata_testudines!B$1:B$60,1,FALSE)),FALSE,TRUE)</f>
        <v>1</v>
      </c>
      <c r="F906" t="s">
        <v>681</v>
      </c>
      <c r="G906" t="s">
        <v>685</v>
      </c>
      <c r="H906">
        <v>0.93</v>
      </c>
      <c r="I906" t="s">
        <v>667</v>
      </c>
      <c r="J906" t="s">
        <v>683</v>
      </c>
      <c r="K906" t="s">
        <v>645</v>
      </c>
      <c r="L906" t="s">
        <v>684</v>
      </c>
      <c r="M906" t="s">
        <v>664</v>
      </c>
    </row>
    <row r="907" spans="1:13" hidden="1" x14ac:dyDescent="0.2">
      <c r="A907" s="10" t="s">
        <v>558</v>
      </c>
      <c r="B907" t="s">
        <v>56</v>
      </c>
      <c r="C907" t="s">
        <v>658</v>
      </c>
      <c r="D907" t="s">
        <v>659</v>
      </c>
      <c r="E907" s="10" t="b">
        <f>IF(ISERROR(VLOOKUP( LEFT(B907, LEN(B907) - IF(ISNUMBER(RIGHT(B907, 1) * 1), 1, 0)),metadata_testudines!B$1:B$60,1,FALSE)),FALSE,TRUE)</f>
        <v>1</v>
      </c>
      <c r="F907" t="s">
        <v>681</v>
      </c>
      <c r="G907" t="s">
        <v>682</v>
      </c>
      <c r="H907">
        <v>0.93</v>
      </c>
      <c r="I907" t="s">
        <v>667</v>
      </c>
      <c r="J907" t="s">
        <v>683</v>
      </c>
      <c r="K907" t="s">
        <v>645</v>
      </c>
      <c r="L907" t="s">
        <v>684</v>
      </c>
      <c r="M907" t="s">
        <v>664</v>
      </c>
    </row>
    <row r="908" spans="1:13" hidden="1" x14ac:dyDescent="0.2">
      <c r="A908" s="10" t="s">
        <v>558</v>
      </c>
      <c r="B908" t="s">
        <v>56</v>
      </c>
      <c r="C908" t="s">
        <v>658</v>
      </c>
      <c r="D908" t="s">
        <v>659</v>
      </c>
      <c r="E908" s="10" t="b">
        <f>IF(ISERROR(VLOOKUP( LEFT(B908, LEN(B908) - IF(ISNUMBER(RIGHT(B908, 1) * 1), 1, 0)),metadata_testudines!B$1:B$60,1,FALSE)),FALSE,TRUE)</f>
        <v>1</v>
      </c>
      <c r="F908" t="s">
        <v>681</v>
      </c>
      <c r="G908" t="s">
        <v>682</v>
      </c>
      <c r="H908">
        <v>0.88</v>
      </c>
      <c r="I908" t="s">
        <v>667</v>
      </c>
      <c r="J908" t="s">
        <v>683</v>
      </c>
      <c r="K908" t="s">
        <v>645</v>
      </c>
      <c r="L908" t="s">
        <v>677</v>
      </c>
      <c r="M908" t="s">
        <v>664</v>
      </c>
    </row>
    <row r="909" spans="1:13" hidden="1" x14ac:dyDescent="0.2">
      <c r="A909" s="10" t="s">
        <v>558</v>
      </c>
      <c r="B909" t="s">
        <v>56</v>
      </c>
      <c r="C909" t="s">
        <v>658</v>
      </c>
      <c r="D909" t="s">
        <v>659</v>
      </c>
      <c r="E909" s="10" t="b">
        <f>IF(ISERROR(VLOOKUP( LEFT(B909, LEN(B909) - IF(ISNUMBER(RIGHT(B909, 1) * 1), 1, 0)),metadata_testudines!B$1:B$60,1,FALSE)),FALSE,TRUE)</f>
        <v>1</v>
      </c>
      <c r="F909" t="s">
        <v>681</v>
      </c>
      <c r="G909" t="s">
        <v>685</v>
      </c>
      <c r="H909">
        <v>0.88</v>
      </c>
      <c r="I909" t="s">
        <v>667</v>
      </c>
      <c r="J909" t="s">
        <v>683</v>
      </c>
      <c r="K909" t="s">
        <v>645</v>
      </c>
      <c r="L909" t="s">
        <v>677</v>
      </c>
      <c r="M909" t="s">
        <v>664</v>
      </c>
    </row>
    <row r="910" spans="1:13" hidden="1" x14ac:dyDescent="0.2">
      <c r="A910" s="10" t="s">
        <v>558</v>
      </c>
      <c r="B910" t="s">
        <v>56</v>
      </c>
      <c r="C910" t="s">
        <v>658</v>
      </c>
      <c r="D910" t="s">
        <v>659</v>
      </c>
      <c r="E910" s="10" t="b">
        <f>IF(ISERROR(VLOOKUP( LEFT(B910, LEN(B910) - IF(ISNUMBER(RIGHT(B910, 1) * 1), 1, 0)),metadata_testudines!B$1:B$60,1,FALSE)),FALSE,TRUE)</f>
        <v>1</v>
      </c>
      <c r="F910" t="s">
        <v>681</v>
      </c>
      <c r="G910" t="s">
        <v>685</v>
      </c>
      <c r="H910">
        <v>0.85</v>
      </c>
      <c r="I910" t="s">
        <v>667</v>
      </c>
      <c r="J910" t="s">
        <v>683</v>
      </c>
      <c r="K910" t="s">
        <v>645</v>
      </c>
      <c r="L910" t="s">
        <v>684</v>
      </c>
      <c r="M910" t="s">
        <v>664</v>
      </c>
    </row>
    <row r="911" spans="1:13" hidden="1" x14ac:dyDescent="0.2">
      <c r="A911" s="10" t="s">
        <v>558</v>
      </c>
      <c r="B911" t="s">
        <v>56</v>
      </c>
      <c r="C911" t="s">
        <v>658</v>
      </c>
      <c r="D911" t="s">
        <v>659</v>
      </c>
      <c r="E911" s="10" t="b">
        <f>IF(ISERROR(VLOOKUP( LEFT(B911, LEN(B911) - IF(ISNUMBER(RIGHT(B911, 1) * 1), 1, 0)),metadata_testudines!B$1:B$60,1,FALSE)),FALSE,TRUE)</f>
        <v>1</v>
      </c>
      <c r="F911" t="s">
        <v>660</v>
      </c>
      <c r="G911" t="s">
        <v>661</v>
      </c>
      <c r="H911">
        <v>6</v>
      </c>
      <c r="I911" t="s">
        <v>662</v>
      </c>
      <c r="J911" t="s">
        <v>663</v>
      </c>
      <c r="K911" t="s">
        <v>647</v>
      </c>
      <c r="L911" t="s">
        <v>664</v>
      </c>
      <c r="M911" t="s">
        <v>664</v>
      </c>
    </row>
    <row r="912" spans="1:13" hidden="1" x14ac:dyDescent="0.2">
      <c r="A912" s="10" t="s">
        <v>558</v>
      </c>
      <c r="B912" t="s">
        <v>56</v>
      </c>
      <c r="C912" t="s">
        <v>658</v>
      </c>
      <c r="D912" t="s">
        <v>659</v>
      </c>
      <c r="E912" s="10" t="b">
        <f>IF(ISERROR(VLOOKUP( LEFT(B912, LEN(B912) - IF(ISNUMBER(RIGHT(B912, 1) * 1), 1, 0)),metadata_testudines!B$1:B$60,1,FALSE)),FALSE,TRUE)</f>
        <v>1</v>
      </c>
      <c r="F912" t="s">
        <v>681</v>
      </c>
      <c r="G912" t="s">
        <v>682</v>
      </c>
      <c r="H912">
        <v>0.88</v>
      </c>
      <c r="I912" t="s">
        <v>667</v>
      </c>
      <c r="J912" t="s">
        <v>683</v>
      </c>
      <c r="K912" t="s">
        <v>645</v>
      </c>
      <c r="L912" t="s">
        <v>677</v>
      </c>
      <c r="M912" t="s">
        <v>664</v>
      </c>
    </row>
    <row r="913" spans="1:13" hidden="1" x14ac:dyDescent="0.2">
      <c r="A913" s="10" t="s">
        <v>558</v>
      </c>
      <c r="B913" t="s">
        <v>56</v>
      </c>
      <c r="C913" t="s">
        <v>658</v>
      </c>
      <c r="D913" t="s">
        <v>659</v>
      </c>
      <c r="E913" s="10" t="b">
        <f>IF(ISERROR(VLOOKUP( LEFT(B913, LEN(B913) - IF(ISNUMBER(RIGHT(B913, 1) * 1), 1, 0)),metadata_testudines!B$1:B$60,1,FALSE)),FALSE,TRUE)</f>
        <v>1</v>
      </c>
      <c r="F913" t="s">
        <v>681</v>
      </c>
      <c r="G913" t="s">
        <v>685</v>
      </c>
      <c r="H913">
        <v>0.7</v>
      </c>
      <c r="I913" t="s">
        <v>667</v>
      </c>
      <c r="J913" t="s">
        <v>683</v>
      </c>
      <c r="K913" t="s">
        <v>645</v>
      </c>
      <c r="L913" t="s">
        <v>684</v>
      </c>
      <c r="M913" t="s">
        <v>664</v>
      </c>
    </row>
    <row r="914" spans="1:13" hidden="1" x14ac:dyDescent="0.2">
      <c r="A914" s="10" t="s">
        <v>558</v>
      </c>
      <c r="B914" t="s">
        <v>56</v>
      </c>
      <c r="C914" t="s">
        <v>658</v>
      </c>
      <c r="D914" t="s">
        <v>659</v>
      </c>
      <c r="E914" s="10" t="b">
        <f>IF(ISERROR(VLOOKUP( LEFT(B914, LEN(B914) - IF(ISNUMBER(RIGHT(B914, 1) * 1), 1, 0)),metadata_testudines!B$1:B$60,1,FALSE)),FALSE,TRUE)</f>
        <v>1</v>
      </c>
      <c r="F914" t="s">
        <v>681</v>
      </c>
      <c r="G914" t="s">
        <v>685</v>
      </c>
      <c r="H914">
        <v>0.93</v>
      </c>
      <c r="I914" t="s">
        <v>667</v>
      </c>
      <c r="J914" t="s">
        <v>683</v>
      </c>
      <c r="K914" t="s">
        <v>645</v>
      </c>
      <c r="L914" t="s">
        <v>684</v>
      </c>
      <c r="M914" t="s">
        <v>664</v>
      </c>
    </row>
    <row r="915" spans="1:13" hidden="1" x14ac:dyDescent="0.2">
      <c r="A915" s="10" t="s">
        <v>558</v>
      </c>
      <c r="B915" t="s">
        <v>56</v>
      </c>
      <c r="C915" t="s">
        <v>658</v>
      </c>
      <c r="D915" t="s">
        <v>659</v>
      </c>
      <c r="E915" s="10" t="b">
        <f>IF(ISERROR(VLOOKUP( LEFT(B915, LEN(B915) - IF(ISNUMBER(RIGHT(B915, 1) * 1), 1, 0)),metadata_testudines!B$1:B$60,1,FALSE)),FALSE,TRUE)</f>
        <v>1</v>
      </c>
      <c r="F915" t="s">
        <v>660</v>
      </c>
      <c r="G915" t="s">
        <v>661</v>
      </c>
      <c r="H915">
        <v>4.5</v>
      </c>
      <c r="I915" t="s">
        <v>662</v>
      </c>
      <c r="J915" t="s">
        <v>663</v>
      </c>
      <c r="K915" t="s">
        <v>647</v>
      </c>
      <c r="L915" t="s">
        <v>664</v>
      </c>
      <c r="M915" t="s">
        <v>664</v>
      </c>
    </row>
    <row r="916" spans="1:13" hidden="1" x14ac:dyDescent="0.2">
      <c r="A916" s="10" t="s">
        <v>558</v>
      </c>
      <c r="B916" t="s">
        <v>56</v>
      </c>
      <c r="C916" t="s">
        <v>658</v>
      </c>
      <c r="D916" t="s">
        <v>659</v>
      </c>
      <c r="E916" s="10" t="b">
        <f>IF(ISERROR(VLOOKUP( LEFT(B916, LEN(B916) - IF(ISNUMBER(RIGHT(B916, 1) * 1), 1, 0)),metadata_testudines!B$1:B$60,1,FALSE)),FALSE,TRUE)</f>
        <v>1</v>
      </c>
      <c r="F916" t="s">
        <v>681</v>
      </c>
      <c r="G916" t="s">
        <v>682</v>
      </c>
      <c r="H916">
        <v>0.56999999999999995</v>
      </c>
      <c r="I916" t="s">
        <v>667</v>
      </c>
      <c r="J916" t="s">
        <v>683</v>
      </c>
      <c r="K916" t="s">
        <v>645</v>
      </c>
      <c r="L916" t="s">
        <v>646</v>
      </c>
      <c r="M916" t="s">
        <v>664</v>
      </c>
    </row>
    <row r="917" spans="1:13" hidden="1" x14ac:dyDescent="0.2">
      <c r="A917" s="10" t="s">
        <v>558</v>
      </c>
      <c r="B917" t="s">
        <v>56</v>
      </c>
      <c r="C917" t="s">
        <v>658</v>
      </c>
      <c r="D917" t="s">
        <v>659</v>
      </c>
      <c r="E917" s="10" t="b">
        <f>IF(ISERROR(VLOOKUP( LEFT(B917, LEN(B917) - IF(ISNUMBER(RIGHT(B917, 1) * 1), 1, 0)),metadata_testudines!B$1:B$60,1,FALSE)),FALSE,TRUE)</f>
        <v>1</v>
      </c>
      <c r="F917" t="s">
        <v>681</v>
      </c>
      <c r="G917" t="s">
        <v>685</v>
      </c>
      <c r="H917">
        <v>0.56999999999999995</v>
      </c>
      <c r="I917" t="s">
        <v>667</v>
      </c>
      <c r="J917" t="s">
        <v>683</v>
      </c>
      <c r="K917" t="s">
        <v>645</v>
      </c>
      <c r="L917" t="s">
        <v>646</v>
      </c>
      <c r="M917" t="s">
        <v>664</v>
      </c>
    </row>
    <row r="918" spans="1:13" hidden="1" x14ac:dyDescent="0.2">
      <c r="A918" s="10" t="s">
        <v>558</v>
      </c>
      <c r="B918" t="s">
        <v>56</v>
      </c>
      <c r="C918" t="s">
        <v>658</v>
      </c>
      <c r="D918" t="s">
        <v>659</v>
      </c>
      <c r="E918" s="10" t="b">
        <f>IF(ISERROR(VLOOKUP( LEFT(B918, LEN(B918) - IF(ISNUMBER(RIGHT(B918, 1) * 1), 1, 0)),metadata_testudines!B$1:B$60,1,FALSE)),FALSE,TRUE)</f>
        <v>1</v>
      </c>
      <c r="F918" t="s">
        <v>681</v>
      </c>
      <c r="G918" t="s">
        <v>682</v>
      </c>
      <c r="H918">
        <v>0.56999999999999995</v>
      </c>
      <c r="I918" t="s">
        <v>667</v>
      </c>
      <c r="J918" t="s">
        <v>683</v>
      </c>
      <c r="K918" t="s">
        <v>645</v>
      </c>
      <c r="L918" t="s">
        <v>646</v>
      </c>
      <c r="M918" t="s">
        <v>664</v>
      </c>
    </row>
    <row r="919" spans="1:13" hidden="1" x14ac:dyDescent="0.2">
      <c r="A919" s="10" t="s">
        <v>558</v>
      </c>
      <c r="B919" t="s">
        <v>56</v>
      </c>
      <c r="C919" t="s">
        <v>658</v>
      </c>
      <c r="D919" t="s">
        <v>659</v>
      </c>
      <c r="E919" s="10" t="b">
        <f>IF(ISERROR(VLOOKUP( LEFT(B919, LEN(B919) - IF(ISNUMBER(RIGHT(B919, 1) * 1), 1, 0)),metadata_testudines!B$1:B$60,1,FALSE)),FALSE,TRUE)</f>
        <v>1</v>
      </c>
      <c r="F919" t="s">
        <v>681</v>
      </c>
      <c r="G919" t="s">
        <v>682</v>
      </c>
      <c r="H919">
        <v>0.93</v>
      </c>
      <c r="I919" t="s">
        <v>667</v>
      </c>
      <c r="J919" t="s">
        <v>683</v>
      </c>
      <c r="K919" t="s">
        <v>645</v>
      </c>
      <c r="L919" t="s">
        <v>684</v>
      </c>
      <c r="M919" t="s">
        <v>664</v>
      </c>
    </row>
    <row r="920" spans="1:13" hidden="1" x14ac:dyDescent="0.2">
      <c r="A920" s="10" t="s">
        <v>558</v>
      </c>
      <c r="B920" t="s">
        <v>56</v>
      </c>
      <c r="C920" t="s">
        <v>658</v>
      </c>
      <c r="D920" t="s">
        <v>659</v>
      </c>
      <c r="E920" s="10" t="b">
        <f>IF(ISERROR(VLOOKUP( LEFT(B920, LEN(B920) - IF(ISNUMBER(RIGHT(B920, 1) * 1), 1, 0)),metadata_testudines!B$1:B$60,1,FALSE)),FALSE,TRUE)</f>
        <v>1</v>
      </c>
      <c r="F920" t="s">
        <v>681</v>
      </c>
      <c r="G920" t="s">
        <v>685</v>
      </c>
      <c r="H920">
        <v>0.7</v>
      </c>
      <c r="I920" t="s">
        <v>667</v>
      </c>
      <c r="J920" t="s">
        <v>683</v>
      </c>
      <c r="K920" t="s">
        <v>645</v>
      </c>
      <c r="L920" t="s">
        <v>684</v>
      </c>
      <c r="M920" t="s">
        <v>664</v>
      </c>
    </row>
    <row r="921" spans="1:13" hidden="1" x14ac:dyDescent="0.2">
      <c r="A921" s="10" t="s">
        <v>558</v>
      </c>
      <c r="B921" t="s">
        <v>56</v>
      </c>
      <c r="C921" t="s">
        <v>658</v>
      </c>
      <c r="D921" t="s">
        <v>659</v>
      </c>
      <c r="E921" s="10" t="b">
        <f>IF(ISERROR(VLOOKUP( LEFT(B921, LEN(B921) - IF(ISNUMBER(RIGHT(B921, 1) * 1), 1, 0)),metadata_testudines!B$1:B$60,1,FALSE)),FALSE,TRUE)</f>
        <v>1</v>
      </c>
      <c r="F921" t="s">
        <v>681</v>
      </c>
      <c r="G921" t="s">
        <v>682</v>
      </c>
      <c r="H921">
        <v>0.7</v>
      </c>
      <c r="I921" t="s">
        <v>667</v>
      </c>
      <c r="J921" t="s">
        <v>683</v>
      </c>
      <c r="K921" t="s">
        <v>645</v>
      </c>
      <c r="L921" t="s">
        <v>684</v>
      </c>
      <c r="M921" t="s">
        <v>664</v>
      </c>
    </row>
    <row r="922" spans="1:13" hidden="1" x14ac:dyDescent="0.2">
      <c r="A922" s="10" t="s">
        <v>558</v>
      </c>
      <c r="B922" t="s">
        <v>56</v>
      </c>
      <c r="C922" t="s">
        <v>658</v>
      </c>
      <c r="D922" t="s">
        <v>659</v>
      </c>
      <c r="E922" s="10" t="b">
        <f>IF(ISERROR(VLOOKUP( LEFT(B922, LEN(B922) - IF(ISNUMBER(RIGHT(B922, 1) * 1), 1, 0)),metadata_testudines!B$1:B$60,1,FALSE)),FALSE,TRUE)</f>
        <v>1</v>
      </c>
      <c r="F922" t="s">
        <v>681</v>
      </c>
      <c r="G922" t="s">
        <v>682</v>
      </c>
      <c r="H922">
        <v>0.93</v>
      </c>
      <c r="I922" t="s">
        <v>667</v>
      </c>
      <c r="J922" t="s">
        <v>683</v>
      </c>
      <c r="K922" t="s">
        <v>645</v>
      </c>
      <c r="L922" t="s">
        <v>684</v>
      </c>
      <c r="M922" t="s">
        <v>664</v>
      </c>
    </row>
    <row r="923" spans="1:13" hidden="1" x14ac:dyDescent="0.2">
      <c r="A923" s="10" t="s">
        <v>558</v>
      </c>
      <c r="B923" t="s">
        <v>56</v>
      </c>
      <c r="C923" t="s">
        <v>658</v>
      </c>
      <c r="D923" t="s">
        <v>659</v>
      </c>
      <c r="E923" s="10" t="b">
        <f>IF(ISERROR(VLOOKUP( LEFT(B923, LEN(B923) - IF(ISNUMBER(RIGHT(B923, 1) * 1), 1, 0)),metadata_testudines!B$1:B$60,1,FALSE)),FALSE,TRUE)</f>
        <v>1</v>
      </c>
      <c r="F923" t="s">
        <v>681</v>
      </c>
      <c r="G923" t="s">
        <v>682</v>
      </c>
      <c r="H923">
        <v>0.93</v>
      </c>
      <c r="I923" t="s">
        <v>667</v>
      </c>
      <c r="J923" t="s">
        <v>683</v>
      </c>
      <c r="K923" t="s">
        <v>645</v>
      </c>
      <c r="L923" t="s">
        <v>684</v>
      </c>
      <c r="M923" t="s">
        <v>664</v>
      </c>
    </row>
    <row r="924" spans="1:13" hidden="1" x14ac:dyDescent="0.2">
      <c r="A924" s="10" t="s">
        <v>558</v>
      </c>
      <c r="B924" t="s">
        <v>56</v>
      </c>
      <c r="C924" t="s">
        <v>658</v>
      </c>
      <c r="D924" t="s">
        <v>659</v>
      </c>
      <c r="E924" s="10" t="b">
        <f>IF(ISERROR(VLOOKUP( LEFT(B924, LEN(B924) - IF(ISNUMBER(RIGHT(B924, 1) * 1), 1, 0)),metadata_testudines!B$1:B$60,1,FALSE)),FALSE,TRUE)</f>
        <v>1</v>
      </c>
      <c r="F924" t="s">
        <v>681</v>
      </c>
      <c r="G924" t="s">
        <v>685</v>
      </c>
      <c r="H924">
        <v>0.85</v>
      </c>
      <c r="I924" t="s">
        <v>667</v>
      </c>
      <c r="J924" t="s">
        <v>683</v>
      </c>
      <c r="K924" t="s">
        <v>645</v>
      </c>
      <c r="L924" t="s">
        <v>684</v>
      </c>
      <c r="M924" t="s">
        <v>664</v>
      </c>
    </row>
    <row r="925" spans="1:13" hidden="1" x14ac:dyDescent="0.2">
      <c r="A925" s="10" t="s">
        <v>558</v>
      </c>
      <c r="B925" t="s">
        <v>56</v>
      </c>
      <c r="C925" t="s">
        <v>658</v>
      </c>
      <c r="D925" t="s">
        <v>659</v>
      </c>
      <c r="E925" s="10" t="b">
        <f>IF(ISERROR(VLOOKUP( LEFT(B925, LEN(B925) - IF(ISNUMBER(RIGHT(B925, 1) * 1), 1, 0)),metadata_testudines!B$1:B$60,1,FALSE)),FALSE,TRUE)</f>
        <v>1</v>
      </c>
      <c r="F925" t="s">
        <v>681</v>
      </c>
      <c r="G925" t="s">
        <v>682</v>
      </c>
      <c r="H925">
        <v>0.93</v>
      </c>
      <c r="I925" t="s">
        <v>667</v>
      </c>
      <c r="J925" t="s">
        <v>683</v>
      </c>
      <c r="K925" t="s">
        <v>645</v>
      </c>
      <c r="L925" t="s">
        <v>684</v>
      </c>
      <c r="M925" t="s">
        <v>664</v>
      </c>
    </row>
    <row r="926" spans="1:13" hidden="1" x14ac:dyDescent="0.2">
      <c r="A926" s="10" t="s">
        <v>558</v>
      </c>
      <c r="B926" t="s">
        <v>56</v>
      </c>
      <c r="C926" t="s">
        <v>658</v>
      </c>
      <c r="D926" t="s">
        <v>659</v>
      </c>
      <c r="E926" s="10" t="b">
        <f>IF(ISERROR(VLOOKUP( LEFT(B926, LEN(B926) - IF(ISNUMBER(RIGHT(B926, 1) * 1), 1, 0)),metadata_testudines!B$1:B$60,1,FALSE)),FALSE,TRUE)</f>
        <v>1</v>
      </c>
      <c r="F926" t="s">
        <v>681</v>
      </c>
      <c r="G926" t="s">
        <v>682</v>
      </c>
      <c r="H926">
        <v>0.88</v>
      </c>
      <c r="I926" t="s">
        <v>667</v>
      </c>
      <c r="J926" t="s">
        <v>683</v>
      </c>
      <c r="K926" t="s">
        <v>645</v>
      </c>
      <c r="L926" t="s">
        <v>677</v>
      </c>
      <c r="M926" t="s">
        <v>664</v>
      </c>
    </row>
    <row r="927" spans="1:13" hidden="1" x14ac:dyDescent="0.2">
      <c r="A927" s="10" t="s">
        <v>558</v>
      </c>
      <c r="B927" t="s">
        <v>56</v>
      </c>
      <c r="C927" t="s">
        <v>658</v>
      </c>
      <c r="D927" t="s">
        <v>659</v>
      </c>
      <c r="E927" s="10" t="b">
        <f>IF(ISERROR(VLOOKUP( LEFT(B927, LEN(B927) - IF(ISNUMBER(RIGHT(B927, 1) * 1), 1, 0)),metadata_testudines!B$1:B$60,1,FALSE)),FALSE,TRUE)</f>
        <v>1</v>
      </c>
      <c r="F927" t="s">
        <v>681</v>
      </c>
      <c r="G927" t="s">
        <v>682</v>
      </c>
      <c r="H927">
        <v>0.56999999999999995</v>
      </c>
      <c r="I927" t="s">
        <v>667</v>
      </c>
      <c r="J927" t="s">
        <v>683</v>
      </c>
      <c r="K927" t="s">
        <v>645</v>
      </c>
      <c r="L927" t="s">
        <v>646</v>
      </c>
      <c r="M927" t="s">
        <v>664</v>
      </c>
    </row>
    <row r="928" spans="1:13" hidden="1" x14ac:dyDescent="0.2">
      <c r="A928" s="10" t="s">
        <v>558</v>
      </c>
      <c r="B928" t="s">
        <v>56</v>
      </c>
      <c r="C928" t="s">
        <v>658</v>
      </c>
      <c r="D928" t="s">
        <v>659</v>
      </c>
      <c r="E928" s="10" t="b">
        <f>IF(ISERROR(VLOOKUP( LEFT(B928, LEN(B928) - IF(ISNUMBER(RIGHT(B928, 1) * 1), 1, 0)),metadata_testudines!B$1:B$60,1,FALSE)),FALSE,TRUE)</f>
        <v>1</v>
      </c>
      <c r="F928" t="s">
        <v>681</v>
      </c>
      <c r="G928" t="s">
        <v>685</v>
      </c>
      <c r="H928">
        <v>0.93</v>
      </c>
      <c r="I928" t="s">
        <v>667</v>
      </c>
      <c r="J928" t="s">
        <v>683</v>
      </c>
      <c r="K928" t="s">
        <v>645</v>
      </c>
      <c r="L928" t="s">
        <v>684</v>
      </c>
      <c r="M928" t="s">
        <v>664</v>
      </c>
    </row>
    <row r="929" spans="1:13" hidden="1" x14ac:dyDescent="0.2">
      <c r="A929" s="10" t="s">
        <v>558</v>
      </c>
      <c r="B929" t="s">
        <v>56</v>
      </c>
      <c r="C929" t="s">
        <v>658</v>
      </c>
      <c r="D929" t="s">
        <v>659</v>
      </c>
      <c r="E929" s="10" t="b">
        <f>IF(ISERROR(VLOOKUP( LEFT(B929, LEN(B929) - IF(ISNUMBER(RIGHT(B929, 1) * 1), 1, 0)),metadata_testudines!B$1:B$60,1,FALSE)),FALSE,TRUE)</f>
        <v>1</v>
      </c>
      <c r="F929" t="s">
        <v>681</v>
      </c>
      <c r="G929" t="s">
        <v>685</v>
      </c>
      <c r="H929">
        <v>0.7</v>
      </c>
      <c r="I929" t="s">
        <v>667</v>
      </c>
      <c r="J929" t="s">
        <v>683</v>
      </c>
      <c r="K929" t="s">
        <v>645</v>
      </c>
      <c r="L929" t="s">
        <v>684</v>
      </c>
      <c r="M929" t="s">
        <v>664</v>
      </c>
    </row>
    <row r="930" spans="1:13" hidden="1" x14ac:dyDescent="0.2">
      <c r="A930" s="10" t="s">
        <v>558</v>
      </c>
      <c r="B930" t="s">
        <v>56</v>
      </c>
      <c r="C930" t="s">
        <v>658</v>
      </c>
      <c r="D930" t="s">
        <v>659</v>
      </c>
      <c r="E930" s="10" t="b">
        <f>IF(ISERROR(VLOOKUP( LEFT(B930, LEN(B930) - IF(ISNUMBER(RIGHT(B930, 1) * 1), 1, 0)),metadata_testudines!B$1:B$60,1,FALSE)),FALSE,TRUE)</f>
        <v>1</v>
      </c>
      <c r="F930" t="s">
        <v>681</v>
      </c>
      <c r="G930" t="s">
        <v>685</v>
      </c>
      <c r="H930">
        <v>0.93</v>
      </c>
      <c r="I930" t="s">
        <v>667</v>
      </c>
      <c r="J930" t="s">
        <v>683</v>
      </c>
      <c r="K930" t="s">
        <v>645</v>
      </c>
      <c r="L930" t="s">
        <v>684</v>
      </c>
      <c r="M930" t="s">
        <v>664</v>
      </c>
    </row>
    <row r="931" spans="1:13" hidden="1" x14ac:dyDescent="0.2">
      <c r="A931" s="10" t="s">
        <v>558</v>
      </c>
      <c r="B931" t="s">
        <v>56</v>
      </c>
      <c r="C931" t="s">
        <v>658</v>
      </c>
      <c r="D931" t="s">
        <v>659</v>
      </c>
      <c r="E931" s="10" t="b">
        <f>IF(ISERROR(VLOOKUP( LEFT(B931, LEN(B931) - IF(ISNUMBER(RIGHT(B931, 1) * 1), 1, 0)),metadata_testudines!B$1:B$60,1,FALSE)),FALSE,TRUE)</f>
        <v>1</v>
      </c>
      <c r="F931" t="s">
        <v>681</v>
      </c>
      <c r="G931" t="s">
        <v>685</v>
      </c>
      <c r="H931">
        <v>0.7</v>
      </c>
      <c r="I931" t="s">
        <v>667</v>
      </c>
      <c r="J931" t="s">
        <v>683</v>
      </c>
      <c r="K931" t="s">
        <v>645</v>
      </c>
      <c r="L931" t="s">
        <v>684</v>
      </c>
      <c r="M931" t="s">
        <v>664</v>
      </c>
    </row>
    <row r="932" spans="1:13" hidden="1" x14ac:dyDescent="0.2">
      <c r="A932" s="10" t="s">
        <v>558</v>
      </c>
      <c r="B932" t="s">
        <v>56</v>
      </c>
      <c r="C932" t="s">
        <v>658</v>
      </c>
      <c r="D932" t="s">
        <v>659</v>
      </c>
      <c r="E932" s="10" t="b">
        <f>IF(ISERROR(VLOOKUP( LEFT(B932, LEN(B932) - IF(ISNUMBER(RIGHT(B932, 1) * 1), 1, 0)),metadata_testudines!B$1:B$60,1,FALSE)),FALSE,TRUE)</f>
        <v>1</v>
      </c>
      <c r="F932" t="s">
        <v>681</v>
      </c>
      <c r="G932" t="s">
        <v>682</v>
      </c>
      <c r="H932">
        <v>0.85</v>
      </c>
      <c r="I932" t="s">
        <v>667</v>
      </c>
      <c r="J932" t="s">
        <v>683</v>
      </c>
      <c r="K932" t="s">
        <v>645</v>
      </c>
      <c r="L932" t="s">
        <v>684</v>
      </c>
      <c r="M932" t="s">
        <v>664</v>
      </c>
    </row>
    <row r="933" spans="1:13" hidden="1" x14ac:dyDescent="0.2">
      <c r="A933" s="10" t="s">
        <v>558</v>
      </c>
      <c r="B933" t="s">
        <v>56</v>
      </c>
      <c r="C933" t="s">
        <v>658</v>
      </c>
      <c r="D933" t="s">
        <v>659</v>
      </c>
      <c r="E933" s="10" t="b">
        <f>IF(ISERROR(VLOOKUP( LEFT(B933, LEN(B933) - IF(ISNUMBER(RIGHT(B933, 1) * 1), 1, 0)),metadata_testudines!B$1:B$60,1,FALSE)),FALSE,TRUE)</f>
        <v>1</v>
      </c>
      <c r="F933" t="s">
        <v>681</v>
      </c>
      <c r="G933" t="s">
        <v>682</v>
      </c>
      <c r="H933">
        <v>0.85</v>
      </c>
      <c r="I933" t="s">
        <v>667</v>
      </c>
      <c r="J933" t="s">
        <v>683</v>
      </c>
      <c r="K933" t="s">
        <v>645</v>
      </c>
      <c r="L933" t="s">
        <v>684</v>
      </c>
      <c r="M933" t="s">
        <v>664</v>
      </c>
    </row>
    <row r="934" spans="1:13" hidden="1" x14ac:dyDescent="0.2">
      <c r="A934" s="10" t="s">
        <v>558</v>
      </c>
      <c r="B934" t="s">
        <v>56</v>
      </c>
      <c r="C934" t="s">
        <v>658</v>
      </c>
      <c r="D934" t="s">
        <v>659</v>
      </c>
      <c r="E934" s="10" t="b">
        <f>IF(ISERROR(VLOOKUP( LEFT(B934, LEN(B934) - IF(ISNUMBER(RIGHT(B934, 1) * 1), 1, 0)),metadata_testudines!B$1:B$60,1,FALSE)),FALSE,TRUE)</f>
        <v>1</v>
      </c>
      <c r="F934" t="s">
        <v>701</v>
      </c>
      <c r="G934" t="s">
        <v>704</v>
      </c>
      <c r="H934">
        <v>7</v>
      </c>
      <c r="I934" t="s">
        <v>662</v>
      </c>
      <c r="J934" t="s">
        <v>670</v>
      </c>
      <c r="K934" t="s">
        <v>647</v>
      </c>
      <c r="L934" t="s">
        <v>677</v>
      </c>
      <c r="M934" t="s">
        <v>664</v>
      </c>
    </row>
    <row r="935" spans="1:13" hidden="1" x14ac:dyDescent="0.2">
      <c r="A935" s="10" t="s">
        <v>558</v>
      </c>
      <c r="B935" t="s">
        <v>56</v>
      </c>
      <c r="C935" t="s">
        <v>658</v>
      </c>
      <c r="D935" t="s">
        <v>659</v>
      </c>
      <c r="E935" s="10" t="b">
        <f>IF(ISERROR(VLOOKUP( LEFT(B935, LEN(B935) - IF(ISNUMBER(RIGHT(B935, 1) * 1), 1, 0)),metadata_testudines!B$1:B$60,1,FALSE)),FALSE,TRUE)</f>
        <v>1</v>
      </c>
      <c r="F935" t="s">
        <v>681</v>
      </c>
      <c r="G935" t="s">
        <v>685</v>
      </c>
      <c r="H935">
        <v>0.56999999999999995</v>
      </c>
      <c r="I935" t="s">
        <v>667</v>
      </c>
      <c r="J935" t="s">
        <v>683</v>
      </c>
      <c r="K935" t="s">
        <v>645</v>
      </c>
      <c r="L935" t="s">
        <v>646</v>
      </c>
      <c r="M935" t="s">
        <v>664</v>
      </c>
    </row>
    <row r="936" spans="1:13" hidden="1" x14ac:dyDescent="0.2">
      <c r="A936" s="10" t="s">
        <v>558</v>
      </c>
      <c r="B936" t="s">
        <v>56</v>
      </c>
      <c r="C936" t="s">
        <v>658</v>
      </c>
      <c r="D936" t="s">
        <v>659</v>
      </c>
      <c r="E936" s="10" t="b">
        <f>IF(ISERROR(VLOOKUP( LEFT(B936, LEN(B936) - IF(ISNUMBER(RIGHT(B936, 1) * 1), 1, 0)),metadata_testudines!B$1:B$60,1,FALSE)),FALSE,TRUE)</f>
        <v>1</v>
      </c>
      <c r="F936" t="s">
        <v>681</v>
      </c>
      <c r="G936" t="s">
        <v>688</v>
      </c>
      <c r="H936">
        <v>1</v>
      </c>
      <c r="I936" t="s">
        <v>662</v>
      </c>
      <c r="J936" t="s">
        <v>670</v>
      </c>
      <c r="K936" t="s">
        <v>645</v>
      </c>
      <c r="L936" t="s">
        <v>646</v>
      </c>
      <c r="M936" t="s">
        <v>664</v>
      </c>
    </row>
    <row r="937" spans="1:13" hidden="1" x14ac:dyDescent="0.2">
      <c r="A937" s="10" t="s">
        <v>558</v>
      </c>
      <c r="B937" t="s">
        <v>56</v>
      </c>
      <c r="C937" t="s">
        <v>658</v>
      </c>
      <c r="D937" t="s">
        <v>659</v>
      </c>
      <c r="E937" s="10" t="b">
        <f>IF(ISERROR(VLOOKUP( LEFT(B937, LEN(B937) - IF(ISNUMBER(RIGHT(B937, 1) * 1), 1, 0)),metadata_testudines!B$1:B$60,1,FALSE)),FALSE,TRUE)</f>
        <v>1</v>
      </c>
      <c r="F937" t="s">
        <v>681</v>
      </c>
      <c r="G937" t="s">
        <v>682</v>
      </c>
      <c r="H937">
        <v>0.7</v>
      </c>
      <c r="I937" t="s">
        <v>667</v>
      </c>
      <c r="J937" t="s">
        <v>683</v>
      </c>
      <c r="K937" t="s">
        <v>645</v>
      </c>
      <c r="L937" t="s">
        <v>684</v>
      </c>
      <c r="M937" t="s">
        <v>664</v>
      </c>
    </row>
    <row r="938" spans="1:13" hidden="1" x14ac:dyDescent="0.2">
      <c r="A938" s="10" t="s">
        <v>558</v>
      </c>
      <c r="B938" t="s">
        <v>56</v>
      </c>
      <c r="C938" t="s">
        <v>658</v>
      </c>
      <c r="D938" t="s">
        <v>659</v>
      </c>
      <c r="E938" s="10" t="b">
        <f>IF(ISERROR(VLOOKUP( LEFT(B938, LEN(B938) - IF(ISNUMBER(RIGHT(B938, 1) * 1), 1, 0)),metadata_testudines!B$1:B$60,1,FALSE)),FALSE,TRUE)</f>
        <v>1</v>
      </c>
      <c r="F938" t="s">
        <v>681</v>
      </c>
      <c r="G938" t="s">
        <v>685</v>
      </c>
      <c r="H938">
        <v>0.88</v>
      </c>
      <c r="I938" t="s">
        <v>667</v>
      </c>
      <c r="J938" t="s">
        <v>683</v>
      </c>
      <c r="K938" t="s">
        <v>645</v>
      </c>
      <c r="L938" t="s">
        <v>677</v>
      </c>
      <c r="M938" t="s">
        <v>664</v>
      </c>
    </row>
    <row r="939" spans="1:13" hidden="1" x14ac:dyDescent="0.2">
      <c r="A939" s="10" t="s">
        <v>558</v>
      </c>
      <c r="B939" t="s">
        <v>56</v>
      </c>
      <c r="C939" t="s">
        <v>658</v>
      </c>
      <c r="D939" t="s">
        <v>659</v>
      </c>
      <c r="E939" s="10" t="b">
        <f>IF(ISERROR(VLOOKUP( LEFT(B939, LEN(B939) - IF(ISNUMBER(RIGHT(B939, 1) * 1), 1, 0)),metadata_testudines!B$1:B$60,1,FALSE)),FALSE,TRUE)</f>
        <v>1</v>
      </c>
      <c r="F939" t="s">
        <v>686</v>
      </c>
      <c r="G939" t="s">
        <v>689</v>
      </c>
      <c r="H939">
        <v>0.13</v>
      </c>
      <c r="I939" t="s">
        <v>667</v>
      </c>
      <c r="J939" t="s">
        <v>683</v>
      </c>
      <c r="K939" t="s">
        <v>647</v>
      </c>
      <c r="L939" t="s">
        <v>646</v>
      </c>
      <c r="M939" t="s">
        <v>664</v>
      </c>
    </row>
    <row r="940" spans="1:13" hidden="1" x14ac:dyDescent="0.2">
      <c r="A940" s="10" t="s">
        <v>558</v>
      </c>
      <c r="B940" t="s">
        <v>56</v>
      </c>
      <c r="C940" t="s">
        <v>658</v>
      </c>
      <c r="D940" t="s">
        <v>659</v>
      </c>
      <c r="E940" s="10" t="b">
        <f>IF(ISERROR(VLOOKUP( LEFT(B940, LEN(B940) - IF(ISNUMBER(RIGHT(B940, 1) * 1), 1, 0)),metadata_testudines!B$1:B$60,1,FALSE)),FALSE,TRUE)</f>
        <v>1</v>
      </c>
      <c r="F940" t="s">
        <v>681</v>
      </c>
      <c r="G940" t="s">
        <v>682</v>
      </c>
      <c r="H940">
        <v>0.7</v>
      </c>
      <c r="I940" t="s">
        <v>667</v>
      </c>
      <c r="J940" t="s">
        <v>683</v>
      </c>
      <c r="K940" t="s">
        <v>645</v>
      </c>
      <c r="L940" t="s">
        <v>684</v>
      </c>
      <c r="M940" t="s">
        <v>664</v>
      </c>
    </row>
    <row r="941" spans="1:13" hidden="1" x14ac:dyDescent="0.2">
      <c r="A941" s="10" t="s">
        <v>558</v>
      </c>
      <c r="B941" t="s">
        <v>56</v>
      </c>
      <c r="C941" t="s">
        <v>658</v>
      </c>
      <c r="D941" t="s">
        <v>659</v>
      </c>
      <c r="E941" s="10" t="b">
        <f>IF(ISERROR(VLOOKUP( LEFT(B941, LEN(B941) - IF(ISNUMBER(RIGHT(B941, 1) * 1), 1, 0)),metadata_testudines!B$1:B$60,1,FALSE)),FALSE,TRUE)</f>
        <v>1</v>
      </c>
      <c r="F941" t="s">
        <v>660</v>
      </c>
      <c r="G941" t="s">
        <v>661</v>
      </c>
      <c r="H941">
        <v>5.8832116790000004</v>
      </c>
      <c r="I941" t="s">
        <v>662</v>
      </c>
      <c r="J941" t="s">
        <v>663</v>
      </c>
      <c r="K941" t="s">
        <v>647</v>
      </c>
      <c r="L941" t="s">
        <v>664</v>
      </c>
      <c r="M941" t="s">
        <v>664</v>
      </c>
    </row>
    <row r="942" spans="1:13" hidden="1" x14ac:dyDescent="0.2">
      <c r="A942" s="10" t="s">
        <v>558</v>
      </c>
      <c r="B942" t="s">
        <v>56</v>
      </c>
      <c r="C942" t="s">
        <v>658</v>
      </c>
      <c r="D942" t="s">
        <v>659</v>
      </c>
      <c r="E942" s="10" t="b">
        <f>IF(ISERROR(VLOOKUP( LEFT(B942, LEN(B942) - IF(ISNUMBER(RIGHT(B942, 1) * 1), 1, 0)),metadata_testudines!B$1:B$60,1,FALSE)),FALSE,TRUE)</f>
        <v>1</v>
      </c>
      <c r="F942" t="s">
        <v>681</v>
      </c>
      <c r="G942" t="s">
        <v>685</v>
      </c>
      <c r="H942">
        <v>0.7</v>
      </c>
      <c r="I942" t="s">
        <v>667</v>
      </c>
      <c r="J942" t="s">
        <v>683</v>
      </c>
      <c r="K942" t="s">
        <v>645</v>
      </c>
      <c r="L942" t="s">
        <v>684</v>
      </c>
      <c r="M942" t="s">
        <v>664</v>
      </c>
    </row>
    <row r="943" spans="1:13" hidden="1" x14ac:dyDescent="0.2">
      <c r="A943" s="10" t="s">
        <v>558</v>
      </c>
      <c r="B943" t="s">
        <v>56</v>
      </c>
      <c r="C943" t="s">
        <v>658</v>
      </c>
      <c r="D943" t="s">
        <v>659</v>
      </c>
      <c r="E943" s="10" t="b">
        <f>IF(ISERROR(VLOOKUP( LEFT(B943, LEN(B943) - IF(ISNUMBER(RIGHT(B943, 1) * 1), 1, 0)),metadata_testudines!B$1:B$60,1,FALSE)),FALSE,TRUE)</f>
        <v>1</v>
      </c>
      <c r="F943" t="s">
        <v>681</v>
      </c>
      <c r="G943" t="s">
        <v>682</v>
      </c>
      <c r="H943">
        <v>0.88</v>
      </c>
      <c r="I943" t="s">
        <v>667</v>
      </c>
      <c r="J943" t="s">
        <v>683</v>
      </c>
      <c r="K943" t="s">
        <v>645</v>
      </c>
      <c r="L943" t="s">
        <v>677</v>
      </c>
      <c r="M943" t="s">
        <v>664</v>
      </c>
    </row>
    <row r="944" spans="1:13" hidden="1" x14ac:dyDescent="0.2">
      <c r="A944" s="10" t="s">
        <v>558</v>
      </c>
      <c r="B944" t="s">
        <v>56</v>
      </c>
      <c r="C944" t="s">
        <v>658</v>
      </c>
      <c r="D944" t="s">
        <v>659</v>
      </c>
      <c r="E944" s="10" t="b">
        <f>IF(ISERROR(VLOOKUP( LEFT(B944, LEN(B944) - IF(ISNUMBER(RIGHT(B944, 1) * 1), 1, 0)),metadata_testudines!B$1:B$60,1,FALSE)),FALSE,TRUE)</f>
        <v>1</v>
      </c>
      <c r="F944" t="s">
        <v>681</v>
      </c>
      <c r="G944" t="s">
        <v>682</v>
      </c>
      <c r="H944">
        <v>0.93</v>
      </c>
      <c r="I944" t="s">
        <v>667</v>
      </c>
      <c r="J944" t="s">
        <v>683</v>
      </c>
      <c r="K944" t="s">
        <v>645</v>
      </c>
      <c r="L944" t="s">
        <v>684</v>
      </c>
      <c r="M944" t="s">
        <v>664</v>
      </c>
    </row>
    <row r="945" spans="1:13" hidden="1" x14ac:dyDescent="0.2">
      <c r="A945" s="10" t="s">
        <v>558</v>
      </c>
      <c r="B945" t="s">
        <v>56</v>
      </c>
      <c r="C945" t="s">
        <v>658</v>
      </c>
      <c r="D945" t="s">
        <v>659</v>
      </c>
      <c r="E945" s="10" t="b">
        <f>IF(ISERROR(VLOOKUP( LEFT(B945, LEN(B945) - IF(ISNUMBER(RIGHT(B945, 1) * 1), 1, 0)),metadata_testudines!B$1:B$60,1,FALSE)),FALSE,TRUE)</f>
        <v>1</v>
      </c>
      <c r="F945" t="s">
        <v>681</v>
      </c>
      <c r="G945" t="s">
        <v>682</v>
      </c>
      <c r="H945">
        <v>0.7</v>
      </c>
      <c r="I945" t="s">
        <v>667</v>
      </c>
      <c r="J945" t="s">
        <v>683</v>
      </c>
      <c r="K945" t="s">
        <v>645</v>
      </c>
      <c r="L945" t="s">
        <v>684</v>
      </c>
      <c r="M945" t="s">
        <v>664</v>
      </c>
    </row>
    <row r="946" spans="1:13" hidden="1" x14ac:dyDescent="0.2">
      <c r="A946" s="10" t="s">
        <v>558</v>
      </c>
      <c r="B946" t="s">
        <v>56</v>
      </c>
      <c r="C946" t="s">
        <v>658</v>
      </c>
      <c r="D946" t="s">
        <v>659</v>
      </c>
      <c r="E946" s="10" t="b">
        <f>IF(ISERROR(VLOOKUP( LEFT(B946, LEN(B946) - IF(ISNUMBER(RIGHT(B946, 1) * 1), 1, 0)),metadata_testudines!B$1:B$60,1,FALSE)),FALSE,TRUE)</f>
        <v>1</v>
      </c>
      <c r="F946" t="s">
        <v>681</v>
      </c>
      <c r="G946" t="s">
        <v>685</v>
      </c>
      <c r="H946">
        <v>0.7</v>
      </c>
      <c r="I946" t="s">
        <v>667</v>
      </c>
      <c r="J946" t="s">
        <v>683</v>
      </c>
      <c r="K946" t="s">
        <v>645</v>
      </c>
      <c r="L946" t="s">
        <v>684</v>
      </c>
      <c r="M946" t="s">
        <v>664</v>
      </c>
    </row>
    <row r="947" spans="1:13" hidden="1" x14ac:dyDescent="0.2">
      <c r="A947" s="10" t="s">
        <v>558</v>
      </c>
      <c r="B947" t="s">
        <v>56</v>
      </c>
      <c r="C947" t="s">
        <v>658</v>
      </c>
      <c r="D947" t="s">
        <v>659</v>
      </c>
      <c r="E947" s="10" t="b">
        <f>IF(ISERROR(VLOOKUP( LEFT(B947, LEN(B947) - IF(ISNUMBER(RIGHT(B947, 1) * 1), 1, 0)),metadata_testudines!B$1:B$60,1,FALSE)),FALSE,TRUE)</f>
        <v>1</v>
      </c>
      <c r="F947" t="s">
        <v>686</v>
      </c>
      <c r="G947" t="s">
        <v>690</v>
      </c>
      <c r="H947">
        <v>0.88</v>
      </c>
      <c r="I947" t="s">
        <v>667</v>
      </c>
      <c r="J947" t="s">
        <v>683</v>
      </c>
      <c r="K947" t="s">
        <v>647</v>
      </c>
      <c r="L947" t="s">
        <v>646</v>
      </c>
      <c r="M947" t="s">
        <v>664</v>
      </c>
    </row>
    <row r="948" spans="1:13" hidden="1" x14ac:dyDescent="0.2">
      <c r="A948" s="10" t="s">
        <v>558</v>
      </c>
      <c r="B948" t="s">
        <v>56</v>
      </c>
      <c r="C948" t="s">
        <v>658</v>
      </c>
      <c r="D948" t="s">
        <v>659</v>
      </c>
      <c r="E948" s="10" t="b">
        <f>IF(ISERROR(VLOOKUP( LEFT(B948, LEN(B948) - IF(ISNUMBER(RIGHT(B948, 1) * 1), 1, 0)),metadata_testudines!B$1:B$60,1,FALSE)),FALSE,TRUE)</f>
        <v>1</v>
      </c>
      <c r="F948" t="s">
        <v>681</v>
      </c>
      <c r="G948" t="s">
        <v>682</v>
      </c>
      <c r="H948">
        <v>0.7</v>
      </c>
      <c r="I948" t="s">
        <v>667</v>
      </c>
      <c r="J948" t="s">
        <v>683</v>
      </c>
      <c r="K948" t="s">
        <v>645</v>
      </c>
      <c r="L948" t="s">
        <v>684</v>
      </c>
      <c r="M948" t="s">
        <v>664</v>
      </c>
    </row>
    <row r="949" spans="1:13" hidden="1" x14ac:dyDescent="0.2">
      <c r="A949" s="10" t="s">
        <v>558</v>
      </c>
      <c r="B949" t="s">
        <v>56</v>
      </c>
      <c r="C949" t="s">
        <v>658</v>
      </c>
      <c r="D949" t="s">
        <v>659</v>
      </c>
      <c r="E949" s="10" t="b">
        <f>IF(ISERROR(VLOOKUP( LEFT(B949, LEN(B949) - IF(ISNUMBER(RIGHT(B949, 1) * 1), 1, 0)),metadata_testudines!B$1:B$60,1,FALSE)),FALSE,TRUE)</f>
        <v>1</v>
      </c>
      <c r="F949" t="s">
        <v>681</v>
      </c>
      <c r="G949" t="s">
        <v>682</v>
      </c>
      <c r="H949">
        <v>0.93</v>
      </c>
      <c r="I949" t="s">
        <v>667</v>
      </c>
      <c r="J949" t="s">
        <v>683</v>
      </c>
      <c r="K949" t="s">
        <v>645</v>
      </c>
      <c r="L949" t="s">
        <v>684</v>
      </c>
      <c r="M949" t="s">
        <v>664</v>
      </c>
    </row>
    <row r="950" spans="1:13" hidden="1" x14ac:dyDescent="0.2">
      <c r="A950" s="10" t="s">
        <v>558</v>
      </c>
      <c r="B950" t="s">
        <v>56</v>
      </c>
      <c r="C950" t="s">
        <v>658</v>
      </c>
      <c r="D950" t="s">
        <v>659</v>
      </c>
      <c r="E950" s="10" t="b">
        <f>IF(ISERROR(VLOOKUP( LEFT(B950, LEN(B950) - IF(ISNUMBER(RIGHT(B950, 1) * 1), 1, 0)),metadata_testudines!B$1:B$60,1,FALSE)),FALSE,TRUE)</f>
        <v>1</v>
      </c>
      <c r="F950" t="s">
        <v>681</v>
      </c>
      <c r="G950" t="s">
        <v>685</v>
      </c>
      <c r="H950">
        <v>0.7</v>
      </c>
      <c r="I950" t="s">
        <v>667</v>
      </c>
      <c r="J950" t="s">
        <v>683</v>
      </c>
      <c r="K950" t="s">
        <v>645</v>
      </c>
      <c r="L950" t="s">
        <v>684</v>
      </c>
      <c r="M950" t="s">
        <v>664</v>
      </c>
    </row>
    <row r="951" spans="1:13" hidden="1" x14ac:dyDescent="0.2">
      <c r="A951" s="10" t="s">
        <v>558</v>
      </c>
      <c r="B951" t="s">
        <v>56</v>
      </c>
      <c r="C951" t="s">
        <v>658</v>
      </c>
      <c r="D951" t="s">
        <v>659</v>
      </c>
      <c r="E951" s="10" t="b">
        <f>IF(ISERROR(VLOOKUP( LEFT(B951, LEN(B951) - IF(ISNUMBER(RIGHT(B951, 1) * 1), 1, 0)),metadata_testudines!B$1:B$60,1,FALSE)),FALSE,TRUE)</f>
        <v>1</v>
      </c>
      <c r="F951" t="s">
        <v>681</v>
      </c>
      <c r="G951" t="s">
        <v>685</v>
      </c>
      <c r="H951">
        <v>0.88</v>
      </c>
      <c r="I951" t="s">
        <v>667</v>
      </c>
      <c r="J951" t="s">
        <v>683</v>
      </c>
      <c r="K951" t="s">
        <v>645</v>
      </c>
      <c r="L951" t="s">
        <v>677</v>
      </c>
      <c r="M951" t="s">
        <v>664</v>
      </c>
    </row>
    <row r="952" spans="1:13" hidden="1" x14ac:dyDescent="0.2">
      <c r="A952" s="10" t="s">
        <v>558</v>
      </c>
      <c r="B952" t="s">
        <v>56</v>
      </c>
      <c r="C952" t="s">
        <v>658</v>
      </c>
      <c r="D952" t="s">
        <v>659</v>
      </c>
      <c r="E952" s="10" t="b">
        <f>IF(ISERROR(VLOOKUP( LEFT(B952, LEN(B952) - IF(ISNUMBER(RIGHT(B952, 1) * 1), 1, 0)),metadata_testudines!B$1:B$60,1,FALSE)),FALSE,TRUE)</f>
        <v>1</v>
      </c>
      <c r="F952" t="s">
        <v>681</v>
      </c>
      <c r="G952" t="s">
        <v>682</v>
      </c>
      <c r="H952">
        <v>0.56999999999999995</v>
      </c>
      <c r="I952" t="s">
        <v>667</v>
      </c>
      <c r="J952" t="s">
        <v>683</v>
      </c>
      <c r="K952" t="s">
        <v>645</v>
      </c>
      <c r="L952" t="s">
        <v>646</v>
      </c>
      <c r="M952" t="s">
        <v>664</v>
      </c>
    </row>
    <row r="953" spans="1:13" hidden="1" x14ac:dyDescent="0.2">
      <c r="A953" s="10" t="s">
        <v>558</v>
      </c>
      <c r="B953" t="s">
        <v>56</v>
      </c>
      <c r="C953" t="s">
        <v>658</v>
      </c>
      <c r="D953" t="s">
        <v>659</v>
      </c>
      <c r="E953" s="10" t="b">
        <f>IF(ISERROR(VLOOKUP( LEFT(B953, LEN(B953) - IF(ISNUMBER(RIGHT(B953, 1) * 1), 1, 0)),metadata_testudines!B$1:B$60,1,FALSE)),FALSE,TRUE)</f>
        <v>1</v>
      </c>
      <c r="F953" t="s">
        <v>701</v>
      </c>
      <c r="G953" t="s">
        <v>705</v>
      </c>
      <c r="H953">
        <v>6</v>
      </c>
      <c r="I953" t="s">
        <v>662</v>
      </c>
      <c r="J953" t="s">
        <v>670</v>
      </c>
      <c r="K953" t="s">
        <v>647</v>
      </c>
      <c r="L953" t="s">
        <v>646</v>
      </c>
      <c r="M953" t="s">
        <v>664</v>
      </c>
    </row>
    <row r="954" spans="1:13" hidden="1" x14ac:dyDescent="0.2">
      <c r="A954" s="10" t="s">
        <v>558</v>
      </c>
      <c r="B954" t="s">
        <v>56</v>
      </c>
      <c r="C954" t="s">
        <v>658</v>
      </c>
      <c r="D954" t="s">
        <v>659</v>
      </c>
      <c r="E954" s="10" t="b">
        <f>IF(ISERROR(VLOOKUP( LEFT(B954, LEN(B954) - IF(ISNUMBER(RIGHT(B954, 1) * 1), 1, 0)),metadata_testudines!B$1:B$60,1,FALSE)),FALSE,TRUE)</f>
        <v>1</v>
      </c>
      <c r="F954" t="s">
        <v>681</v>
      </c>
      <c r="G954" t="s">
        <v>682</v>
      </c>
      <c r="H954">
        <v>0.88</v>
      </c>
      <c r="I954" t="s">
        <v>667</v>
      </c>
      <c r="J954" t="s">
        <v>683</v>
      </c>
      <c r="K954" t="s">
        <v>645</v>
      </c>
      <c r="L954" t="s">
        <v>677</v>
      </c>
      <c r="M954" t="s">
        <v>664</v>
      </c>
    </row>
    <row r="955" spans="1:13" hidden="1" x14ac:dyDescent="0.2">
      <c r="A955" s="10" t="s">
        <v>558</v>
      </c>
      <c r="B955" t="s">
        <v>56</v>
      </c>
      <c r="C955" t="s">
        <v>658</v>
      </c>
      <c r="D955" t="s">
        <v>659</v>
      </c>
      <c r="E955" s="10" t="b">
        <f>IF(ISERROR(VLOOKUP( LEFT(B955, LEN(B955) - IF(ISNUMBER(RIGHT(B955, 1) * 1), 1, 0)),metadata_testudines!B$1:B$60,1,FALSE)),FALSE,TRUE)</f>
        <v>1</v>
      </c>
      <c r="F955" t="s">
        <v>681</v>
      </c>
      <c r="G955" t="s">
        <v>685</v>
      </c>
      <c r="H955">
        <v>0.85</v>
      </c>
      <c r="I955" t="s">
        <v>667</v>
      </c>
      <c r="J955" t="s">
        <v>683</v>
      </c>
      <c r="K955" t="s">
        <v>645</v>
      </c>
      <c r="L955" t="s">
        <v>684</v>
      </c>
      <c r="M955" t="s">
        <v>664</v>
      </c>
    </row>
    <row r="956" spans="1:13" hidden="1" x14ac:dyDescent="0.2">
      <c r="A956" s="10" t="s">
        <v>558</v>
      </c>
      <c r="B956" t="s">
        <v>56</v>
      </c>
      <c r="C956" t="s">
        <v>658</v>
      </c>
      <c r="D956" t="s">
        <v>659</v>
      </c>
      <c r="E956" s="10" t="b">
        <f>IF(ISERROR(VLOOKUP( LEFT(B956, LEN(B956) - IF(ISNUMBER(RIGHT(B956, 1) * 1), 1, 0)),metadata_testudines!B$1:B$60,1,FALSE)),FALSE,TRUE)</f>
        <v>1</v>
      </c>
      <c r="F956" t="s">
        <v>681</v>
      </c>
      <c r="G956" t="s">
        <v>682</v>
      </c>
      <c r="H956">
        <v>0.88</v>
      </c>
      <c r="I956" t="s">
        <v>667</v>
      </c>
      <c r="J956" t="s">
        <v>683</v>
      </c>
      <c r="K956" t="s">
        <v>645</v>
      </c>
      <c r="L956" t="s">
        <v>677</v>
      </c>
      <c r="M956" t="s">
        <v>664</v>
      </c>
    </row>
    <row r="957" spans="1:13" hidden="1" x14ac:dyDescent="0.2">
      <c r="A957" s="10" t="s">
        <v>558</v>
      </c>
      <c r="B957" t="s">
        <v>56</v>
      </c>
      <c r="C957" t="s">
        <v>658</v>
      </c>
      <c r="D957" t="s">
        <v>659</v>
      </c>
      <c r="E957" s="10" t="b">
        <f>IF(ISERROR(VLOOKUP( LEFT(B957, LEN(B957) - IF(ISNUMBER(RIGHT(B957, 1) * 1), 1, 0)),metadata_testudines!B$1:B$60,1,FALSE)),FALSE,TRUE)</f>
        <v>1</v>
      </c>
      <c r="F957" t="s">
        <v>681</v>
      </c>
      <c r="G957" t="s">
        <v>685</v>
      </c>
      <c r="H957">
        <v>0.88</v>
      </c>
      <c r="I957" t="s">
        <v>667</v>
      </c>
      <c r="J957" t="s">
        <v>683</v>
      </c>
      <c r="K957" t="s">
        <v>645</v>
      </c>
      <c r="L957" t="s">
        <v>677</v>
      </c>
      <c r="M957" t="s">
        <v>664</v>
      </c>
    </row>
    <row r="958" spans="1:13" hidden="1" x14ac:dyDescent="0.2">
      <c r="A958" s="10" t="s">
        <v>558</v>
      </c>
      <c r="B958" t="s">
        <v>56</v>
      </c>
      <c r="C958" t="s">
        <v>658</v>
      </c>
      <c r="D958" t="s">
        <v>659</v>
      </c>
      <c r="E958" s="10" t="b">
        <f>IF(ISERROR(VLOOKUP( LEFT(B958, LEN(B958) - IF(ISNUMBER(RIGHT(B958, 1) * 1), 1, 0)),metadata_testudines!B$1:B$60,1,FALSE)),FALSE,TRUE)</f>
        <v>1</v>
      </c>
      <c r="F958" t="s">
        <v>681</v>
      </c>
      <c r="G958" t="s">
        <v>682</v>
      </c>
      <c r="H958">
        <v>0.85</v>
      </c>
      <c r="I958" t="s">
        <v>667</v>
      </c>
      <c r="J958" t="s">
        <v>683</v>
      </c>
      <c r="K958" t="s">
        <v>645</v>
      </c>
      <c r="L958" t="s">
        <v>684</v>
      </c>
      <c r="M958" t="s">
        <v>664</v>
      </c>
    </row>
    <row r="959" spans="1:13" hidden="1" x14ac:dyDescent="0.2">
      <c r="A959" s="10" t="s">
        <v>558</v>
      </c>
      <c r="B959" t="s">
        <v>56</v>
      </c>
      <c r="C959" t="s">
        <v>658</v>
      </c>
      <c r="D959" t="s">
        <v>659</v>
      </c>
      <c r="E959" s="10" t="b">
        <f>IF(ISERROR(VLOOKUP( LEFT(B959, LEN(B959) - IF(ISNUMBER(RIGHT(B959, 1) * 1), 1, 0)),metadata_testudines!B$1:B$60,1,FALSE)),FALSE,TRUE)</f>
        <v>1</v>
      </c>
      <c r="F959" t="s">
        <v>660</v>
      </c>
      <c r="G959" t="s">
        <v>661</v>
      </c>
      <c r="H959">
        <v>3.5</v>
      </c>
      <c r="I959" t="s">
        <v>662</v>
      </c>
      <c r="J959" t="s">
        <v>663</v>
      </c>
      <c r="K959" t="s">
        <v>647</v>
      </c>
      <c r="L959" t="s">
        <v>664</v>
      </c>
      <c r="M959" t="s">
        <v>664</v>
      </c>
    </row>
    <row r="960" spans="1:13" hidden="1" x14ac:dyDescent="0.2">
      <c r="A960" s="10" t="s">
        <v>558</v>
      </c>
      <c r="B960" t="s">
        <v>56</v>
      </c>
      <c r="C960" t="s">
        <v>658</v>
      </c>
      <c r="D960" t="s">
        <v>659</v>
      </c>
      <c r="E960" s="10" t="b">
        <f>IF(ISERROR(VLOOKUP( LEFT(B960, LEN(B960) - IF(ISNUMBER(RIGHT(B960, 1) * 1), 1, 0)),metadata_testudines!B$1:B$60,1,FALSE)),FALSE,TRUE)</f>
        <v>1</v>
      </c>
      <c r="F960" t="s">
        <v>681</v>
      </c>
      <c r="G960" t="s">
        <v>685</v>
      </c>
      <c r="H960">
        <v>0.56999999999999995</v>
      </c>
      <c r="I960" t="s">
        <v>667</v>
      </c>
      <c r="J960" t="s">
        <v>683</v>
      </c>
      <c r="K960" t="s">
        <v>645</v>
      </c>
      <c r="L960" t="s">
        <v>646</v>
      </c>
      <c r="M960" t="s">
        <v>664</v>
      </c>
    </row>
    <row r="961" spans="1:13" hidden="1" x14ac:dyDescent="0.2">
      <c r="A961" s="10" t="s">
        <v>558</v>
      </c>
      <c r="B961" t="s">
        <v>56</v>
      </c>
      <c r="C961" t="s">
        <v>658</v>
      </c>
      <c r="D961" t="s">
        <v>659</v>
      </c>
      <c r="E961" s="10" t="b">
        <f>IF(ISERROR(VLOOKUP( LEFT(B961, LEN(B961) - IF(ISNUMBER(RIGHT(B961, 1) * 1), 1, 0)),metadata_testudines!B$1:B$60,1,FALSE)),FALSE,TRUE)</f>
        <v>1</v>
      </c>
      <c r="F961" t="s">
        <v>681</v>
      </c>
      <c r="G961" t="s">
        <v>685</v>
      </c>
      <c r="H961">
        <v>0.88</v>
      </c>
      <c r="I961" t="s">
        <v>667</v>
      </c>
      <c r="J961" t="s">
        <v>683</v>
      </c>
      <c r="K961" t="s">
        <v>645</v>
      </c>
      <c r="L961" t="s">
        <v>677</v>
      </c>
      <c r="M961" t="s">
        <v>664</v>
      </c>
    </row>
    <row r="962" spans="1:13" hidden="1" x14ac:dyDescent="0.2">
      <c r="A962" s="10" t="s">
        <v>558</v>
      </c>
      <c r="B962" t="s">
        <v>56</v>
      </c>
      <c r="C962" t="s">
        <v>658</v>
      </c>
      <c r="D962" t="s">
        <v>659</v>
      </c>
      <c r="E962" s="10" t="b">
        <f>IF(ISERROR(VLOOKUP( LEFT(B962, LEN(B962) - IF(ISNUMBER(RIGHT(B962, 1) * 1), 1, 0)),metadata_testudines!B$1:B$60,1,FALSE)),FALSE,TRUE)</f>
        <v>1</v>
      </c>
      <c r="F962" t="s">
        <v>660</v>
      </c>
      <c r="G962" t="s">
        <v>661</v>
      </c>
      <c r="H962">
        <v>3</v>
      </c>
      <c r="I962" t="s">
        <v>662</v>
      </c>
      <c r="J962" t="s">
        <v>663</v>
      </c>
      <c r="K962" t="s">
        <v>647</v>
      </c>
      <c r="L962" t="s">
        <v>664</v>
      </c>
      <c r="M962" t="s">
        <v>664</v>
      </c>
    </row>
    <row r="963" spans="1:13" hidden="1" x14ac:dyDescent="0.2">
      <c r="A963" s="10" t="s">
        <v>558</v>
      </c>
      <c r="B963" t="s">
        <v>56</v>
      </c>
      <c r="C963" t="s">
        <v>658</v>
      </c>
      <c r="D963" t="s">
        <v>659</v>
      </c>
      <c r="E963" s="10" t="b">
        <f>IF(ISERROR(VLOOKUP( LEFT(B963, LEN(B963) - IF(ISNUMBER(RIGHT(B963, 1) * 1), 1, 0)),metadata_testudines!B$1:B$60,1,FALSE)),FALSE,TRUE)</f>
        <v>1</v>
      </c>
      <c r="F963" t="s">
        <v>681</v>
      </c>
      <c r="G963" t="s">
        <v>685</v>
      </c>
      <c r="H963">
        <v>0.85</v>
      </c>
      <c r="I963" t="s">
        <v>667</v>
      </c>
      <c r="J963" t="s">
        <v>683</v>
      </c>
      <c r="K963" t="s">
        <v>645</v>
      </c>
      <c r="L963" t="s">
        <v>684</v>
      </c>
      <c r="M963" t="s">
        <v>664</v>
      </c>
    </row>
    <row r="964" spans="1:13" hidden="1" x14ac:dyDescent="0.2">
      <c r="A964" s="10" t="s">
        <v>558</v>
      </c>
      <c r="B964" t="s">
        <v>56</v>
      </c>
      <c r="C964" t="s">
        <v>658</v>
      </c>
      <c r="D964" t="s">
        <v>659</v>
      </c>
      <c r="E964" s="10" t="b">
        <f>IF(ISERROR(VLOOKUP( LEFT(B964, LEN(B964) - IF(ISNUMBER(RIGHT(B964, 1) * 1), 1, 0)),metadata_testudines!B$1:B$60,1,FALSE)),FALSE,TRUE)</f>
        <v>1</v>
      </c>
      <c r="F964" t="s">
        <v>660</v>
      </c>
      <c r="G964" t="s">
        <v>665</v>
      </c>
      <c r="H964">
        <v>3.2009925560000001</v>
      </c>
      <c r="I964" t="s">
        <v>662</v>
      </c>
      <c r="J964" t="s">
        <v>663</v>
      </c>
      <c r="K964" t="s">
        <v>647</v>
      </c>
      <c r="L964" t="s">
        <v>664</v>
      </c>
      <c r="M964" t="s">
        <v>664</v>
      </c>
    </row>
    <row r="965" spans="1:13" hidden="1" x14ac:dyDescent="0.2">
      <c r="A965" s="10" t="s">
        <v>558</v>
      </c>
      <c r="B965" t="s">
        <v>56</v>
      </c>
      <c r="C965" t="s">
        <v>658</v>
      </c>
      <c r="D965" t="s">
        <v>659</v>
      </c>
      <c r="E965" s="10" t="b">
        <f>IF(ISERROR(VLOOKUP( LEFT(B965, LEN(B965) - IF(ISNUMBER(RIGHT(B965, 1) * 1), 1, 0)),metadata_testudines!B$1:B$60,1,FALSE)),FALSE,TRUE)</f>
        <v>1</v>
      </c>
      <c r="F965" t="s">
        <v>681</v>
      </c>
      <c r="G965" t="s">
        <v>685</v>
      </c>
      <c r="H965">
        <v>0.7</v>
      </c>
      <c r="I965" t="s">
        <v>667</v>
      </c>
      <c r="J965" t="s">
        <v>683</v>
      </c>
      <c r="K965" t="s">
        <v>645</v>
      </c>
      <c r="L965" t="s">
        <v>684</v>
      </c>
      <c r="M965" t="s">
        <v>664</v>
      </c>
    </row>
    <row r="966" spans="1:13" hidden="1" x14ac:dyDescent="0.2">
      <c r="A966" s="10" t="s">
        <v>558</v>
      </c>
      <c r="B966" t="s">
        <v>56</v>
      </c>
      <c r="C966" t="s">
        <v>658</v>
      </c>
      <c r="D966" t="s">
        <v>659</v>
      </c>
      <c r="E966" s="10" t="b">
        <f>IF(ISERROR(VLOOKUP( LEFT(B966, LEN(B966) - IF(ISNUMBER(RIGHT(B966, 1) * 1), 1, 0)),metadata_testudines!B$1:B$60,1,FALSE)),FALSE,TRUE)</f>
        <v>1</v>
      </c>
      <c r="F966" t="s">
        <v>681</v>
      </c>
      <c r="G966" t="s">
        <v>685</v>
      </c>
      <c r="H966">
        <v>0.7</v>
      </c>
      <c r="I966" t="s">
        <v>667</v>
      </c>
      <c r="J966" t="s">
        <v>683</v>
      </c>
      <c r="K966" t="s">
        <v>645</v>
      </c>
      <c r="L966" t="s">
        <v>684</v>
      </c>
      <c r="M966" t="s">
        <v>664</v>
      </c>
    </row>
    <row r="967" spans="1:13" hidden="1" x14ac:dyDescent="0.2">
      <c r="A967" s="10" t="s">
        <v>558</v>
      </c>
      <c r="B967" t="s">
        <v>56</v>
      </c>
      <c r="C967" t="s">
        <v>658</v>
      </c>
      <c r="D967" t="s">
        <v>659</v>
      </c>
      <c r="E967" s="10" t="b">
        <f>IF(ISERROR(VLOOKUP( LEFT(B967, LEN(B967) - IF(ISNUMBER(RIGHT(B967, 1) * 1), 1, 0)),metadata_testudines!B$1:B$60,1,FALSE)),FALSE,TRUE)</f>
        <v>1</v>
      </c>
      <c r="F967" t="s">
        <v>681</v>
      </c>
      <c r="G967" t="s">
        <v>682</v>
      </c>
      <c r="H967">
        <v>0.7</v>
      </c>
      <c r="I967" t="s">
        <v>667</v>
      </c>
      <c r="J967" t="s">
        <v>683</v>
      </c>
      <c r="K967" t="s">
        <v>645</v>
      </c>
      <c r="L967" t="s">
        <v>684</v>
      </c>
      <c r="M967" t="s">
        <v>664</v>
      </c>
    </row>
    <row r="968" spans="1:13" hidden="1" x14ac:dyDescent="0.2">
      <c r="A968" s="10" t="s">
        <v>558</v>
      </c>
      <c r="B968" t="s">
        <v>56</v>
      </c>
      <c r="C968" t="s">
        <v>658</v>
      </c>
      <c r="D968" t="s">
        <v>659</v>
      </c>
      <c r="E968" s="10" t="b">
        <f>IF(ISERROR(VLOOKUP( LEFT(B968, LEN(B968) - IF(ISNUMBER(RIGHT(B968, 1) * 1), 1, 0)),metadata_testudines!B$1:B$60,1,FALSE)),FALSE,TRUE)</f>
        <v>1</v>
      </c>
      <c r="F968" t="s">
        <v>681</v>
      </c>
      <c r="G968" t="s">
        <v>685</v>
      </c>
      <c r="H968">
        <v>0.93</v>
      </c>
      <c r="I968" t="s">
        <v>667</v>
      </c>
      <c r="J968" t="s">
        <v>683</v>
      </c>
      <c r="K968" t="s">
        <v>645</v>
      </c>
      <c r="L968" t="s">
        <v>684</v>
      </c>
      <c r="M968" t="s">
        <v>664</v>
      </c>
    </row>
    <row r="969" spans="1:13" hidden="1" x14ac:dyDescent="0.2">
      <c r="A969" s="10" t="s">
        <v>558</v>
      </c>
      <c r="B969" t="s">
        <v>56</v>
      </c>
      <c r="C969" t="s">
        <v>658</v>
      </c>
      <c r="D969" t="s">
        <v>659</v>
      </c>
      <c r="E969" s="10" t="b">
        <f>IF(ISERROR(VLOOKUP( LEFT(B969, LEN(B969) - IF(ISNUMBER(RIGHT(B969, 1) * 1), 1, 0)),metadata_testudines!B$1:B$60,1,FALSE)),FALSE,TRUE)</f>
        <v>1</v>
      </c>
      <c r="F969" t="s">
        <v>681</v>
      </c>
      <c r="G969" t="s">
        <v>685</v>
      </c>
      <c r="H969">
        <v>0.7</v>
      </c>
      <c r="I969" t="s">
        <v>667</v>
      </c>
      <c r="J969" t="s">
        <v>683</v>
      </c>
      <c r="K969" t="s">
        <v>645</v>
      </c>
      <c r="L969" t="s">
        <v>684</v>
      </c>
      <c r="M969" t="s">
        <v>664</v>
      </c>
    </row>
    <row r="970" spans="1:13" hidden="1" x14ac:dyDescent="0.2">
      <c r="A970" s="10" t="s">
        <v>558</v>
      </c>
      <c r="B970" t="s">
        <v>56</v>
      </c>
      <c r="C970" t="s">
        <v>658</v>
      </c>
      <c r="D970" t="s">
        <v>659</v>
      </c>
      <c r="E970" s="10" t="b">
        <f>IF(ISERROR(VLOOKUP( LEFT(B970, LEN(B970) - IF(ISNUMBER(RIGHT(B970, 1) * 1), 1, 0)),metadata_testudines!B$1:B$60,1,FALSE)),FALSE,TRUE)</f>
        <v>1</v>
      </c>
      <c r="F970" t="s">
        <v>681</v>
      </c>
      <c r="G970" t="s">
        <v>685</v>
      </c>
      <c r="H970">
        <v>0.88</v>
      </c>
      <c r="I970" t="s">
        <v>667</v>
      </c>
      <c r="J970" t="s">
        <v>683</v>
      </c>
      <c r="K970" t="s">
        <v>645</v>
      </c>
      <c r="L970" t="s">
        <v>677</v>
      </c>
      <c r="M970" t="s">
        <v>664</v>
      </c>
    </row>
    <row r="971" spans="1:13" hidden="1" x14ac:dyDescent="0.2">
      <c r="A971" s="10" t="s">
        <v>558</v>
      </c>
      <c r="B971" t="s">
        <v>56</v>
      </c>
      <c r="C971" t="s">
        <v>658</v>
      </c>
      <c r="D971" t="s">
        <v>659</v>
      </c>
      <c r="E971" s="10" t="b">
        <f>IF(ISERROR(VLOOKUP( LEFT(B971, LEN(B971) - IF(ISNUMBER(RIGHT(B971, 1) * 1), 1, 0)),metadata_testudines!B$1:B$60,1,FALSE)),FALSE,TRUE)</f>
        <v>1</v>
      </c>
      <c r="F971" t="s">
        <v>671</v>
      </c>
      <c r="G971" t="s">
        <v>699</v>
      </c>
      <c r="H971">
        <v>4560</v>
      </c>
      <c r="I971" t="s">
        <v>662</v>
      </c>
      <c r="J971" t="s">
        <v>670</v>
      </c>
      <c r="K971" t="s">
        <v>647</v>
      </c>
      <c r="L971" t="s">
        <v>677</v>
      </c>
      <c r="M971" t="s">
        <v>664</v>
      </c>
    </row>
    <row r="972" spans="1:13" hidden="1" x14ac:dyDescent="0.2">
      <c r="A972" s="10" t="s">
        <v>558</v>
      </c>
      <c r="B972" t="s">
        <v>56</v>
      </c>
      <c r="C972" t="s">
        <v>658</v>
      </c>
      <c r="D972" t="s">
        <v>659</v>
      </c>
      <c r="E972" s="10" t="b">
        <f>IF(ISERROR(VLOOKUP( LEFT(B972, LEN(B972) - IF(ISNUMBER(RIGHT(B972, 1) * 1), 1, 0)),metadata_testudines!B$1:B$60,1,FALSE)),FALSE,TRUE)</f>
        <v>1</v>
      </c>
      <c r="F972" t="s">
        <v>681</v>
      </c>
      <c r="G972" t="s">
        <v>682</v>
      </c>
      <c r="H972">
        <v>0.85</v>
      </c>
      <c r="I972" t="s">
        <v>667</v>
      </c>
      <c r="J972" t="s">
        <v>683</v>
      </c>
      <c r="K972" t="s">
        <v>645</v>
      </c>
      <c r="L972" t="s">
        <v>684</v>
      </c>
      <c r="M972" t="s">
        <v>664</v>
      </c>
    </row>
    <row r="973" spans="1:13" hidden="1" x14ac:dyDescent="0.2">
      <c r="A973" s="10" t="s">
        <v>558</v>
      </c>
      <c r="B973" t="s">
        <v>56</v>
      </c>
      <c r="C973" t="s">
        <v>658</v>
      </c>
      <c r="D973" t="s">
        <v>659</v>
      </c>
      <c r="E973" s="10" t="b">
        <f>IF(ISERROR(VLOOKUP( LEFT(B973, LEN(B973) - IF(ISNUMBER(RIGHT(B973, 1) * 1), 1, 0)),metadata_testudines!B$1:B$60,1,FALSE)),FALSE,TRUE)</f>
        <v>1</v>
      </c>
      <c r="F973" t="s">
        <v>681</v>
      </c>
      <c r="G973" t="s">
        <v>685</v>
      </c>
      <c r="H973">
        <v>0.56999999999999995</v>
      </c>
      <c r="I973" t="s">
        <v>667</v>
      </c>
      <c r="J973" t="s">
        <v>683</v>
      </c>
      <c r="K973" t="s">
        <v>645</v>
      </c>
      <c r="L973" t="s">
        <v>646</v>
      </c>
      <c r="M973" t="s">
        <v>664</v>
      </c>
    </row>
    <row r="974" spans="1:13" hidden="1" x14ac:dyDescent="0.2">
      <c r="A974" s="10" t="s">
        <v>558</v>
      </c>
      <c r="B974" t="s">
        <v>56</v>
      </c>
      <c r="C974" t="s">
        <v>658</v>
      </c>
      <c r="D974" t="s">
        <v>659</v>
      </c>
      <c r="E974" s="10" t="b">
        <f>IF(ISERROR(VLOOKUP( LEFT(B974, LEN(B974) - IF(ISNUMBER(RIGHT(B974, 1) * 1), 1, 0)),metadata_testudines!B$1:B$60,1,FALSE)),FALSE,TRUE)</f>
        <v>1</v>
      </c>
      <c r="F974" t="s">
        <v>681</v>
      </c>
      <c r="G974" t="s">
        <v>685</v>
      </c>
      <c r="H974">
        <v>0.93</v>
      </c>
      <c r="I974" t="s">
        <v>667</v>
      </c>
      <c r="J974" t="s">
        <v>683</v>
      </c>
      <c r="K974" t="s">
        <v>645</v>
      </c>
      <c r="L974" t="s">
        <v>684</v>
      </c>
      <c r="M974" t="s">
        <v>664</v>
      </c>
    </row>
    <row r="975" spans="1:13" hidden="1" x14ac:dyDescent="0.2">
      <c r="A975" s="10" t="s">
        <v>558</v>
      </c>
      <c r="B975" t="s">
        <v>56</v>
      </c>
      <c r="C975" t="s">
        <v>658</v>
      </c>
      <c r="D975" t="s">
        <v>659</v>
      </c>
      <c r="E975" s="10" t="b">
        <f>IF(ISERROR(VLOOKUP( LEFT(B975, LEN(B975) - IF(ISNUMBER(RIGHT(B975, 1) * 1), 1, 0)),metadata_testudines!B$1:B$60,1,FALSE)),FALSE,TRUE)</f>
        <v>1</v>
      </c>
      <c r="F975" t="s">
        <v>681</v>
      </c>
      <c r="G975" t="s">
        <v>685</v>
      </c>
      <c r="H975">
        <v>0.85</v>
      </c>
      <c r="I975" t="s">
        <v>667</v>
      </c>
      <c r="J975" t="s">
        <v>683</v>
      </c>
      <c r="K975" t="s">
        <v>645</v>
      </c>
      <c r="L975" t="s">
        <v>684</v>
      </c>
      <c r="M975" t="s">
        <v>664</v>
      </c>
    </row>
    <row r="976" spans="1:13" hidden="1" x14ac:dyDescent="0.2">
      <c r="A976" s="10" t="s">
        <v>558</v>
      </c>
      <c r="B976" t="s">
        <v>56</v>
      </c>
      <c r="C976" t="s">
        <v>658</v>
      </c>
      <c r="D976" t="s">
        <v>659</v>
      </c>
      <c r="E976" s="10" t="b">
        <f>IF(ISERROR(VLOOKUP( LEFT(B976, LEN(B976) - IF(ISNUMBER(RIGHT(B976, 1) * 1), 1, 0)),metadata_testudines!B$1:B$60,1,FALSE)),FALSE,TRUE)</f>
        <v>1</v>
      </c>
      <c r="F976" t="s">
        <v>681</v>
      </c>
      <c r="G976" t="s">
        <v>685</v>
      </c>
      <c r="H976">
        <v>0.56999999999999995</v>
      </c>
      <c r="I976" t="s">
        <v>667</v>
      </c>
      <c r="J976" t="s">
        <v>683</v>
      </c>
      <c r="K976" t="s">
        <v>645</v>
      </c>
      <c r="L976" t="s">
        <v>646</v>
      </c>
      <c r="M976" t="s">
        <v>664</v>
      </c>
    </row>
    <row r="977" spans="1:13" hidden="1" x14ac:dyDescent="0.2">
      <c r="A977" s="10" t="s">
        <v>558</v>
      </c>
      <c r="B977" t="s">
        <v>56</v>
      </c>
      <c r="C977" t="s">
        <v>658</v>
      </c>
      <c r="D977" t="s">
        <v>659</v>
      </c>
      <c r="E977" s="10" t="b">
        <f>IF(ISERROR(VLOOKUP( LEFT(B977, LEN(B977) - IF(ISNUMBER(RIGHT(B977, 1) * 1), 1, 0)),metadata_testudines!B$1:B$60,1,FALSE)),FALSE,TRUE)</f>
        <v>1</v>
      </c>
      <c r="F977" t="s">
        <v>681</v>
      </c>
      <c r="G977" t="s">
        <v>682</v>
      </c>
      <c r="H977">
        <v>0.93</v>
      </c>
      <c r="I977" t="s">
        <v>667</v>
      </c>
      <c r="J977" t="s">
        <v>683</v>
      </c>
      <c r="K977" t="s">
        <v>645</v>
      </c>
      <c r="L977" t="s">
        <v>684</v>
      </c>
      <c r="M977" t="s">
        <v>664</v>
      </c>
    </row>
    <row r="978" spans="1:13" hidden="1" x14ac:dyDescent="0.2">
      <c r="A978" s="10" t="s">
        <v>558</v>
      </c>
      <c r="B978" t="s">
        <v>56</v>
      </c>
      <c r="C978" t="s">
        <v>658</v>
      </c>
      <c r="D978" t="s">
        <v>659</v>
      </c>
      <c r="E978" s="10" t="b">
        <f>IF(ISERROR(VLOOKUP( LEFT(B978, LEN(B978) - IF(ISNUMBER(RIGHT(B978, 1) * 1), 1, 0)),metadata_testudines!B$1:B$60,1,FALSE)),FALSE,TRUE)</f>
        <v>1</v>
      </c>
      <c r="F978" t="s">
        <v>681</v>
      </c>
      <c r="G978" t="s">
        <v>685</v>
      </c>
      <c r="H978">
        <v>0.88</v>
      </c>
      <c r="I978" t="s">
        <v>667</v>
      </c>
      <c r="J978" t="s">
        <v>683</v>
      </c>
      <c r="K978" t="s">
        <v>645</v>
      </c>
      <c r="L978" t="s">
        <v>677</v>
      </c>
      <c r="M978" t="s">
        <v>664</v>
      </c>
    </row>
    <row r="979" spans="1:13" hidden="1" x14ac:dyDescent="0.2">
      <c r="A979" s="10" t="s">
        <v>558</v>
      </c>
      <c r="B979" t="s">
        <v>56</v>
      </c>
      <c r="C979" t="s">
        <v>658</v>
      </c>
      <c r="D979" t="s">
        <v>659</v>
      </c>
      <c r="E979" s="10" t="b">
        <f>IF(ISERROR(VLOOKUP( LEFT(B979, LEN(B979) - IF(ISNUMBER(RIGHT(B979, 1) * 1), 1, 0)),metadata_testudines!B$1:B$60,1,FALSE)),FALSE,TRUE)</f>
        <v>1</v>
      </c>
      <c r="F979" t="s">
        <v>681</v>
      </c>
      <c r="G979" t="s">
        <v>682</v>
      </c>
      <c r="H979">
        <v>0.85</v>
      </c>
      <c r="I979" t="s">
        <v>667</v>
      </c>
      <c r="J979" t="s">
        <v>683</v>
      </c>
      <c r="K979" t="s">
        <v>645</v>
      </c>
      <c r="L979" t="s">
        <v>684</v>
      </c>
      <c r="M979" t="s">
        <v>664</v>
      </c>
    </row>
    <row r="980" spans="1:13" hidden="1" x14ac:dyDescent="0.2">
      <c r="A980" s="10" t="s">
        <v>558</v>
      </c>
      <c r="B980" t="s">
        <v>56</v>
      </c>
      <c r="C980" t="s">
        <v>658</v>
      </c>
      <c r="D980" t="s">
        <v>659</v>
      </c>
      <c r="E980" s="10" t="b">
        <f>IF(ISERROR(VLOOKUP( LEFT(B980, LEN(B980) - IF(ISNUMBER(RIGHT(B980, 1) * 1), 1, 0)),metadata_testudines!B$1:B$60,1,FALSE)),FALSE,TRUE)</f>
        <v>1</v>
      </c>
      <c r="F980" t="s">
        <v>681</v>
      </c>
      <c r="G980" t="s">
        <v>685</v>
      </c>
      <c r="H980">
        <v>0.56999999999999995</v>
      </c>
      <c r="I980" t="s">
        <v>667</v>
      </c>
      <c r="J980" t="s">
        <v>683</v>
      </c>
      <c r="K980" t="s">
        <v>645</v>
      </c>
      <c r="L980" t="s">
        <v>646</v>
      </c>
      <c r="M980" t="s">
        <v>664</v>
      </c>
    </row>
    <row r="981" spans="1:13" hidden="1" x14ac:dyDescent="0.2">
      <c r="A981" s="10" t="s">
        <v>558</v>
      </c>
      <c r="B981" t="s">
        <v>56</v>
      </c>
      <c r="C981" t="s">
        <v>658</v>
      </c>
      <c r="D981" t="s">
        <v>659</v>
      </c>
      <c r="E981" s="10" t="b">
        <f>IF(ISERROR(VLOOKUP( LEFT(B981, LEN(B981) - IF(ISNUMBER(RIGHT(B981, 1) * 1), 1, 0)),metadata_testudines!B$1:B$60,1,FALSE)),FALSE,TRUE)</f>
        <v>1</v>
      </c>
      <c r="F981" t="s">
        <v>681</v>
      </c>
      <c r="G981" t="s">
        <v>685</v>
      </c>
      <c r="H981">
        <v>0.93</v>
      </c>
      <c r="I981" t="s">
        <v>667</v>
      </c>
      <c r="J981" t="s">
        <v>683</v>
      </c>
      <c r="K981" t="s">
        <v>645</v>
      </c>
      <c r="L981" t="s">
        <v>684</v>
      </c>
      <c r="M981" t="s">
        <v>664</v>
      </c>
    </row>
    <row r="982" spans="1:13" hidden="1" x14ac:dyDescent="0.2">
      <c r="A982" s="10" t="s">
        <v>558</v>
      </c>
      <c r="B982" t="s">
        <v>56</v>
      </c>
      <c r="C982" t="s">
        <v>658</v>
      </c>
      <c r="D982" t="s">
        <v>659</v>
      </c>
      <c r="E982" s="10" t="b">
        <f>IF(ISERROR(VLOOKUP( LEFT(B982, LEN(B982) - IF(ISNUMBER(RIGHT(B982, 1) * 1), 1, 0)),metadata_testudines!B$1:B$60,1,FALSE)),FALSE,TRUE)</f>
        <v>1</v>
      </c>
      <c r="F982" t="s">
        <v>671</v>
      </c>
      <c r="G982" t="s">
        <v>698</v>
      </c>
      <c r="H982">
        <v>4560</v>
      </c>
      <c r="I982" t="s">
        <v>662</v>
      </c>
      <c r="J982" t="s">
        <v>670</v>
      </c>
      <c r="K982" t="s">
        <v>647</v>
      </c>
      <c r="L982" t="s">
        <v>646</v>
      </c>
      <c r="M982" t="s">
        <v>664</v>
      </c>
    </row>
    <row r="983" spans="1:13" hidden="1" x14ac:dyDescent="0.2">
      <c r="A983" s="10" t="s">
        <v>558</v>
      </c>
      <c r="B983" t="s">
        <v>56</v>
      </c>
      <c r="C983" t="s">
        <v>658</v>
      </c>
      <c r="D983" t="s">
        <v>659</v>
      </c>
      <c r="E983" s="10" t="b">
        <f>IF(ISERROR(VLOOKUP( LEFT(B983, LEN(B983) - IF(ISNUMBER(RIGHT(B983, 1) * 1), 1, 0)),metadata_testudines!B$1:B$60,1,FALSE)),FALSE,TRUE)</f>
        <v>1</v>
      </c>
      <c r="F983" t="s">
        <v>681</v>
      </c>
      <c r="G983" t="s">
        <v>682</v>
      </c>
      <c r="H983">
        <v>0.56999999999999995</v>
      </c>
      <c r="I983" t="s">
        <v>667</v>
      </c>
      <c r="J983" t="s">
        <v>683</v>
      </c>
      <c r="K983" t="s">
        <v>645</v>
      </c>
      <c r="L983" t="s">
        <v>646</v>
      </c>
      <c r="M983" t="s">
        <v>664</v>
      </c>
    </row>
    <row r="984" spans="1:13" hidden="1" x14ac:dyDescent="0.2">
      <c r="A984" s="10" t="s">
        <v>558</v>
      </c>
      <c r="B984" t="s">
        <v>56</v>
      </c>
      <c r="C984" t="s">
        <v>658</v>
      </c>
      <c r="D984" t="s">
        <v>659</v>
      </c>
      <c r="E984" s="10" t="b">
        <f>IF(ISERROR(VLOOKUP( LEFT(B984, LEN(B984) - IF(ISNUMBER(RIGHT(B984, 1) * 1), 1, 0)),metadata_testudines!B$1:B$60,1,FALSE)),FALSE,TRUE)</f>
        <v>1</v>
      </c>
      <c r="F984" t="s">
        <v>660</v>
      </c>
      <c r="G984" t="s">
        <v>661</v>
      </c>
      <c r="H984">
        <v>5</v>
      </c>
      <c r="I984" t="s">
        <v>662</v>
      </c>
      <c r="J984" t="s">
        <v>663</v>
      </c>
      <c r="K984" t="s">
        <v>647</v>
      </c>
      <c r="L984" t="s">
        <v>664</v>
      </c>
      <c r="M984" t="s">
        <v>664</v>
      </c>
    </row>
    <row r="985" spans="1:13" hidden="1" x14ac:dyDescent="0.2">
      <c r="A985" s="10" t="s">
        <v>558</v>
      </c>
      <c r="B985" t="s">
        <v>56</v>
      </c>
      <c r="C985" t="s">
        <v>658</v>
      </c>
      <c r="D985" t="s">
        <v>659</v>
      </c>
      <c r="E985" s="10" t="b">
        <f>IF(ISERROR(VLOOKUP( LEFT(B985, LEN(B985) - IF(ISNUMBER(RIGHT(B985, 1) * 1), 1, 0)),metadata_testudines!B$1:B$60,1,FALSE)),FALSE,TRUE)</f>
        <v>1</v>
      </c>
      <c r="F985" t="s">
        <v>660</v>
      </c>
      <c r="G985" t="s">
        <v>666</v>
      </c>
      <c r="H985">
        <v>127</v>
      </c>
      <c r="I985" t="s">
        <v>667</v>
      </c>
      <c r="J985" t="s">
        <v>668</v>
      </c>
      <c r="K985" t="s">
        <v>647</v>
      </c>
      <c r="L985" t="s">
        <v>664</v>
      </c>
      <c r="M985" t="s">
        <v>664</v>
      </c>
    </row>
    <row r="986" spans="1:13" hidden="1" x14ac:dyDescent="0.2">
      <c r="A986" s="10" t="s">
        <v>558</v>
      </c>
      <c r="B986" t="s">
        <v>56</v>
      </c>
      <c r="C986" t="s">
        <v>658</v>
      </c>
      <c r="D986" t="s">
        <v>659</v>
      </c>
      <c r="E986" s="10" t="b">
        <f>IF(ISERROR(VLOOKUP( LEFT(B986, LEN(B986) - IF(ISNUMBER(RIGHT(B986, 1) * 1), 1, 0)),metadata_testudines!B$1:B$60,1,FALSE)),FALSE,TRUE)</f>
        <v>1</v>
      </c>
      <c r="F986" t="s">
        <v>681</v>
      </c>
      <c r="G986" t="s">
        <v>682</v>
      </c>
      <c r="H986">
        <v>0.7</v>
      </c>
      <c r="I986" t="s">
        <v>667</v>
      </c>
      <c r="J986" t="s">
        <v>683</v>
      </c>
      <c r="K986" t="s">
        <v>645</v>
      </c>
      <c r="L986" t="s">
        <v>684</v>
      </c>
      <c r="M986" t="s">
        <v>664</v>
      </c>
    </row>
    <row r="987" spans="1:13" hidden="1" x14ac:dyDescent="0.2">
      <c r="A987" s="10" t="s">
        <v>558</v>
      </c>
      <c r="B987" t="s">
        <v>56</v>
      </c>
      <c r="C987" t="s">
        <v>658</v>
      </c>
      <c r="D987" t="s">
        <v>659</v>
      </c>
      <c r="E987" s="10" t="b">
        <f>IF(ISERROR(VLOOKUP( LEFT(B987, LEN(B987) - IF(ISNUMBER(RIGHT(B987, 1) * 1), 1, 0)),metadata_testudines!B$1:B$60,1,FALSE)),FALSE,TRUE)</f>
        <v>1</v>
      </c>
      <c r="F987" t="s">
        <v>681</v>
      </c>
      <c r="G987" t="s">
        <v>682</v>
      </c>
      <c r="H987">
        <v>0.85</v>
      </c>
      <c r="I987" t="s">
        <v>667</v>
      </c>
      <c r="J987" t="s">
        <v>683</v>
      </c>
      <c r="K987" t="s">
        <v>645</v>
      </c>
      <c r="L987" t="s">
        <v>684</v>
      </c>
      <c r="M987" t="s">
        <v>664</v>
      </c>
    </row>
    <row r="988" spans="1:13" hidden="1" x14ac:dyDescent="0.2">
      <c r="A988" s="10" t="s">
        <v>558</v>
      </c>
      <c r="B988" t="s">
        <v>56</v>
      </c>
      <c r="C988" t="s">
        <v>658</v>
      </c>
      <c r="D988" t="s">
        <v>659</v>
      </c>
      <c r="E988" s="10" t="b">
        <f>IF(ISERROR(VLOOKUP( LEFT(B988, LEN(B988) - IF(ISNUMBER(RIGHT(B988, 1) * 1), 1, 0)),metadata_testudines!B$1:B$60,1,FALSE)),FALSE,TRUE)</f>
        <v>1</v>
      </c>
      <c r="F988" t="s">
        <v>681</v>
      </c>
      <c r="G988" t="s">
        <v>682</v>
      </c>
      <c r="H988">
        <v>0.56999999999999995</v>
      </c>
      <c r="I988" t="s">
        <v>667</v>
      </c>
      <c r="J988" t="s">
        <v>683</v>
      </c>
      <c r="K988" t="s">
        <v>645</v>
      </c>
      <c r="L988" t="s">
        <v>646</v>
      </c>
      <c r="M988" t="s">
        <v>664</v>
      </c>
    </row>
    <row r="989" spans="1:13" hidden="1" x14ac:dyDescent="0.2">
      <c r="A989" s="10" t="s">
        <v>558</v>
      </c>
      <c r="B989" t="s">
        <v>56</v>
      </c>
      <c r="C989" t="s">
        <v>658</v>
      </c>
      <c r="D989" t="s">
        <v>659</v>
      </c>
      <c r="E989" s="10" t="b">
        <f>IF(ISERROR(VLOOKUP( LEFT(B989, LEN(B989) - IF(ISNUMBER(RIGHT(B989, 1) * 1), 1, 0)),metadata_testudines!B$1:B$60,1,FALSE)),FALSE,TRUE)</f>
        <v>1</v>
      </c>
      <c r="F989" t="s">
        <v>681</v>
      </c>
      <c r="G989" t="s">
        <v>685</v>
      </c>
      <c r="H989">
        <v>0.85</v>
      </c>
      <c r="I989" t="s">
        <v>667</v>
      </c>
      <c r="J989" t="s">
        <v>683</v>
      </c>
      <c r="K989" t="s">
        <v>645</v>
      </c>
      <c r="L989" t="s">
        <v>684</v>
      </c>
      <c r="M989" t="s">
        <v>664</v>
      </c>
    </row>
    <row r="990" spans="1:13" hidden="1" x14ac:dyDescent="0.2">
      <c r="A990" s="10" t="s">
        <v>558</v>
      </c>
      <c r="B990" t="s">
        <v>56</v>
      </c>
      <c r="C990" t="s">
        <v>658</v>
      </c>
      <c r="D990" t="s">
        <v>659</v>
      </c>
      <c r="E990" s="10" t="b">
        <f>IF(ISERROR(VLOOKUP( LEFT(B990, LEN(B990) - IF(ISNUMBER(RIGHT(B990, 1) * 1), 1, 0)),metadata_testudines!B$1:B$60,1,FALSE)),FALSE,TRUE)</f>
        <v>1</v>
      </c>
      <c r="F990" t="s">
        <v>681</v>
      </c>
      <c r="G990" t="s">
        <v>682</v>
      </c>
      <c r="H990">
        <v>0.56999999999999995</v>
      </c>
      <c r="I990" t="s">
        <v>667</v>
      </c>
      <c r="J990" t="s">
        <v>683</v>
      </c>
      <c r="K990" t="s">
        <v>645</v>
      </c>
      <c r="L990" t="s">
        <v>646</v>
      </c>
      <c r="M990" t="s">
        <v>664</v>
      </c>
    </row>
    <row r="991" spans="1:13" hidden="1" x14ac:dyDescent="0.2">
      <c r="A991" s="10" t="s">
        <v>558</v>
      </c>
      <c r="B991" t="s">
        <v>56</v>
      </c>
      <c r="C991" t="s">
        <v>658</v>
      </c>
      <c r="D991" t="s">
        <v>659</v>
      </c>
      <c r="E991" s="10" t="b">
        <f>IF(ISERROR(VLOOKUP( LEFT(B991, LEN(B991) - IF(ISNUMBER(RIGHT(B991, 1) * 1), 1, 0)),metadata_testudines!B$1:B$60,1,FALSE)),FALSE,TRUE)</f>
        <v>1</v>
      </c>
      <c r="F991" t="s">
        <v>681</v>
      </c>
      <c r="G991" t="s">
        <v>682</v>
      </c>
      <c r="H991">
        <v>0.56999999999999995</v>
      </c>
      <c r="I991" t="s">
        <v>667</v>
      </c>
      <c r="J991" t="s">
        <v>683</v>
      </c>
      <c r="K991" t="s">
        <v>645</v>
      </c>
      <c r="L991" t="s">
        <v>646</v>
      </c>
      <c r="M991" t="s">
        <v>664</v>
      </c>
    </row>
    <row r="992" spans="1:13" hidden="1" x14ac:dyDescent="0.2">
      <c r="A992" s="10" t="s">
        <v>558</v>
      </c>
      <c r="B992" t="s">
        <v>56</v>
      </c>
      <c r="C992" t="s">
        <v>658</v>
      </c>
      <c r="D992" t="s">
        <v>659</v>
      </c>
      <c r="E992" s="10" t="b">
        <f>IF(ISERROR(VLOOKUP( LEFT(B992, LEN(B992) - IF(ISNUMBER(RIGHT(B992, 1) * 1), 1, 0)),metadata_testudines!B$1:B$60,1,FALSE)),FALSE,TRUE)</f>
        <v>1</v>
      </c>
      <c r="F992" t="s">
        <v>681</v>
      </c>
      <c r="G992" t="s">
        <v>685</v>
      </c>
      <c r="H992">
        <v>0.85</v>
      </c>
      <c r="I992" t="s">
        <v>667</v>
      </c>
      <c r="J992" t="s">
        <v>683</v>
      </c>
      <c r="K992" t="s">
        <v>645</v>
      </c>
      <c r="L992" t="s">
        <v>684</v>
      </c>
      <c r="M992" t="s">
        <v>664</v>
      </c>
    </row>
    <row r="993" spans="1:13" hidden="1" x14ac:dyDescent="0.2">
      <c r="A993" s="10" t="s">
        <v>558</v>
      </c>
      <c r="B993" t="s">
        <v>56</v>
      </c>
      <c r="C993" t="s">
        <v>658</v>
      </c>
      <c r="D993" t="s">
        <v>659</v>
      </c>
      <c r="E993" s="10" t="b">
        <f>IF(ISERROR(VLOOKUP( LEFT(B993, LEN(B993) - IF(ISNUMBER(RIGHT(B993, 1) * 1), 1, 0)),metadata_testudines!B$1:B$60,1,FALSE)),FALSE,TRUE)</f>
        <v>1</v>
      </c>
      <c r="F993" t="s">
        <v>681</v>
      </c>
      <c r="G993" t="s">
        <v>682</v>
      </c>
      <c r="H993">
        <v>0.88</v>
      </c>
      <c r="I993" t="s">
        <v>667</v>
      </c>
      <c r="J993" t="s">
        <v>683</v>
      </c>
      <c r="K993" t="s">
        <v>645</v>
      </c>
      <c r="L993" t="s">
        <v>677</v>
      </c>
      <c r="M993" t="s">
        <v>664</v>
      </c>
    </row>
    <row r="994" spans="1:13" hidden="1" x14ac:dyDescent="0.2">
      <c r="A994" s="10" t="s">
        <v>558</v>
      </c>
      <c r="B994" t="s">
        <v>56</v>
      </c>
      <c r="C994" t="s">
        <v>658</v>
      </c>
      <c r="D994" t="s">
        <v>659</v>
      </c>
      <c r="E994" s="10" t="b">
        <f>IF(ISERROR(VLOOKUP( LEFT(B994, LEN(B994) - IF(ISNUMBER(RIGHT(B994, 1) * 1), 1, 0)),metadata_testudines!B$1:B$60,1,FALSE)),FALSE,TRUE)</f>
        <v>1</v>
      </c>
      <c r="F994" t="s">
        <v>681</v>
      </c>
      <c r="G994" t="s">
        <v>682</v>
      </c>
      <c r="H994">
        <v>0.93</v>
      </c>
      <c r="I994" t="s">
        <v>667</v>
      </c>
      <c r="J994" t="s">
        <v>683</v>
      </c>
      <c r="K994" t="s">
        <v>645</v>
      </c>
      <c r="L994" t="s">
        <v>684</v>
      </c>
      <c r="M994" t="s">
        <v>664</v>
      </c>
    </row>
    <row r="995" spans="1:13" hidden="1" x14ac:dyDescent="0.2">
      <c r="A995" s="10" t="s">
        <v>558</v>
      </c>
      <c r="B995" t="s">
        <v>56</v>
      </c>
      <c r="C995" t="s">
        <v>658</v>
      </c>
      <c r="D995" t="s">
        <v>659</v>
      </c>
      <c r="E995" s="10" t="b">
        <f>IF(ISERROR(VLOOKUP( LEFT(B995, LEN(B995) - IF(ISNUMBER(RIGHT(B995, 1) * 1), 1, 0)),metadata_testudines!B$1:B$60,1,FALSE)),FALSE,TRUE)</f>
        <v>1</v>
      </c>
      <c r="F995" t="s">
        <v>681</v>
      </c>
      <c r="G995" t="s">
        <v>685</v>
      </c>
      <c r="H995">
        <v>0.85</v>
      </c>
      <c r="I995" t="s">
        <v>667</v>
      </c>
      <c r="J995" t="s">
        <v>683</v>
      </c>
      <c r="K995" t="s">
        <v>645</v>
      </c>
      <c r="L995" t="s">
        <v>684</v>
      </c>
      <c r="M995" t="s">
        <v>664</v>
      </c>
    </row>
    <row r="996" spans="1:13" hidden="1" x14ac:dyDescent="0.2">
      <c r="A996" s="10" t="s">
        <v>558</v>
      </c>
      <c r="B996" t="s">
        <v>56</v>
      </c>
      <c r="C996" t="s">
        <v>658</v>
      </c>
      <c r="D996" t="s">
        <v>659</v>
      </c>
      <c r="E996" s="10" t="b">
        <f>IF(ISERROR(VLOOKUP( LEFT(B996, LEN(B996) - IF(ISNUMBER(RIGHT(B996, 1) * 1), 1, 0)),metadata_testudines!B$1:B$60,1,FALSE)),FALSE,TRUE)</f>
        <v>1</v>
      </c>
      <c r="F996" t="s">
        <v>681</v>
      </c>
      <c r="G996" t="s">
        <v>685</v>
      </c>
      <c r="H996">
        <v>0.85</v>
      </c>
      <c r="I996" t="s">
        <v>667</v>
      </c>
      <c r="J996" t="s">
        <v>683</v>
      </c>
      <c r="K996" t="s">
        <v>645</v>
      </c>
      <c r="L996" t="s">
        <v>684</v>
      </c>
      <c r="M996" t="s">
        <v>664</v>
      </c>
    </row>
    <row r="997" spans="1:13" hidden="1" x14ac:dyDescent="0.2">
      <c r="A997" s="10" t="s">
        <v>558</v>
      </c>
      <c r="B997" t="s">
        <v>56</v>
      </c>
      <c r="C997" t="s">
        <v>658</v>
      </c>
      <c r="D997" t="s">
        <v>659</v>
      </c>
      <c r="E997" s="10" t="b">
        <f>IF(ISERROR(VLOOKUP( LEFT(B997, LEN(B997) - IF(ISNUMBER(RIGHT(B997, 1) * 1), 1, 0)),metadata_testudines!B$1:B$60,1,FALSE)),FALSE,TRUE)</f>
        <v>1</v>
      </c>
      <c r="F997" t="s">
        <v>681</v>
      </c>
      <c r="G997" t="s">
        <v>685</v>
      </c>
      <c r="H997">
        <v>0.88</v>
      </c>
      <c r="I997" t="s">
        <v>667</v>
      </c>
      <c r="J997" t="s">
        <v>683</v>
      </c>
      <c r="K997" t="s">
        <v>645</v>
      </c>
      <c r="L997" t="s">
        <v>677</v>
      </c>
      <c r="M997" t="s">
        <v>664</v>
      </c>
    </row>
    <row r="998" spans="1:13" hidden="1" x14ac:dyDescent="0.2">
      <c r="A998" s="10" t="s">
        <v>558</v>
      </c>
      <c r="B998" t="s">
        <v>56</v>
      </c>
      <c r="C998" t="s">
        <v>658</v>
      </c>
      <c r="D998" t="s">
        <v>659</v>
      </c>
      <c r="E998" s="10" t="b">
        <f>IF(ISERROR(VLOOKUP( LEFT(B998, LEN(B998) - IF(ISNUMBER(RIGHT(B998, 1) * 1), 1, 0)),metadata_testudines!B$1:B$60,1,FALSE)),FALSE,TRUE)</f>
        <v>1</v>
      </c>
      <c r="F998" t="s">
        <v>681</v>
      </c>
      <c r="G998" t="s">
        <v>685</v>
      </c>
      <c r="H998">
        <v>0.88</v>
      </c>
      <c r="I998" t="s">
        <v>667</v>
      </c>
      <c r="J998" t="s">
        <v>683</v>
      </c>
      <c r="K998" t="s">
        <v>645</v>
      </c>
      <c r="L998" t="s">
        <v>677</v>
      </c>
      <c r="M998" t="s">
        <v>664</v>
      </c>
    </row>
    <row r="999" spans="1:13" hidden="1" x14ac:dyDescent="0.2">
      <c r="A999" s="10" t="s">
        <v>558</v>
      </c>
      <c r="B999" t="s">
        <v>56</v>
      </c>
      <c r="C999" t="s">
        <v>658</v>
      </c>
      <c r="D999" t="s">
        <v>659</v>
      </c>
      <c r="E999" s="10" t="b">
        <f>IF(ISERROR(VLOOKUP( LEFT(B999, LEN(B999) - IF(ISNUMBER(RIGHT(B999, 1) * 1), 1, 0)),metadata_testudines!B$1:B$60,1,FALSE)),FALSE,TRUE)</f>
        <v>1</v>
      </c>
      <c r="F999" t="s">
        <v>681</v>
      </c>
      <c r="G999" t="s">
        <v>685</v>
      </c>
      <c r="H999">
        <v>0.85</v>
      </c>
      <c r="I999" t="s">
        <v>667</v>
      </c>
      <c r="J999" t="s">
        <v>683</v>
      </c>
      <c r="K999" t="s">
        <v>645</v>
      </c>
      <c r="L999" t="s">
        <v>684</v>
      </c>
      <c r="M999" t="s">
        <v>664</v>
      </c>
    </row>
    <row r="1000" spans="1:13" hidden="1" x14ac:dyDescent="0.2">
      <c r="A1000" s="10" t="s">
        <v>558</v>
      </c>
      <c r="B1000" t="s">
        <v>56</v>
      </c>
      <c r="C1000" t="s">
        <v>658</v>
      </c>
      <c r="D1000" t="s">
        <v>659</v>
      </c>
      <c r="E1000" s="10" t="b">
        <f>IF(ISERROR(VLOOKUP( LEFT(B1000, LEN(B1000) - IF(ISNUMBER(RIGHT(B1000, 1) * 1), 1, 0)),metadata_testudines!B$1:B$60,1,FALSE)),FALSE,TRUE)</f>
        <v>1</v>
      </c>
      <c r="F1000" t="s">
        <v>681</v>
      </c>
      <c r="G1000" t="s">
        <v>685</v>
      </c>
      <c r="H1000">
        <v>0.7</v>
      </c>
      <c r="I1000" t="s">
        <v>667</v>
      </c>
      <c r="J1000" t="s">
        <v>683</v>
      </c>
      <c r="K1000" t="s">
        <v>645</v>
      </c>
      <c r="L1000" t="s">
        <v>684</v>
      </c>
      <c r="M1000" t="s">
        <v>664</v>
      </c>
    </row>
    <row r="1001" spans="1:13" hidden="1" x14ac:dyDescent="0.2">
      <c r="A1001" s="10" t="s">
        <v>558</v>
      </c>
      <c r="B1001" t="s">
        <v>56</v>
      </c>
      <c r="C1001" t="s">
        <v>658</v>
      </c>
      <c r="D1001" t="s">
        <v>659</v>
      </c>
      <c r="E1001" s="10" t="b">
        <f>IF(ISERROR(VLOOKUP( LEFT(B1001, LEN(B1001) - IF(ISNUMBER(RIGHT(B1001, 1) * 1), 1, 0)),metadata_testudines!B$1:B$60,1,FALSE)),FALSE,TRUE)</f>
        <v>1</v>
      </c>
      <c r="F1001" t="s">
        <v>686</v>
      </c>
      <c r="G1001" t="s">
        <v>687</v>
      </c>
      <c r="H1001">
        <v>12</v>
      </c>
      <c r="I1001" t="s">
        <v>662</v>
      </c>
      <c r="J1001" t="s">
        <v>670</v>
      </c>
      <c r="K1001" t="s">
        <v>647</v>
      </c>
      <c r="L1001" t="s">
        <v>646</v>
      </c>
      <c r="M1001" t="s">
        <v>664</v>
      </c>
    </row>
    <row r="1002" spans="1:13" hidden="1" x14ac:dyDescent="0.2">
      <c r="A1002" s="10" t="s">
        <v>558</v>
      </c>
      <c r="B1002" t="s">
        <v>56</v>
      </c>
      <c r="C1002" t="s">
        <v>658</v>
      </c>
      <c r="D1002" t="s">
        <v>659</v>
      </c>
      <c r="E1002" s="10" t="b">
        <f>IF(ISERROR(VLOOKUP( LEFT(B1002, LEN(B1002) - IF(ISNUMBER(RIGHT(B1002, 1) * 1), 1, 0)),metadata_testudines!B$1:B$60,1,FALSE)),FALSE,TRUE)</f>
        <v>1</v>
      </c>
      <c r="F1002" t="s">
        <v>681</v>
      </c>
      <c r="G1002" t="s">
        <v>682</v>
      </c>
      <c r="H1002">
        <v>0.85</v>
      </c>
      <c r="I1002" t="s">
        <v>667</v>
      </c>
      <c r="J1002" t="s">
        <v>683</v>
      </c>
      <c r="K1002" t="s">
        <v>645</v>
      </c>
      <c r="L1002" t="s">
        <v>684</v>
      </c>
      <c r="M1002" t="s">
        <v>664</v>
      </c>
    </row>
    <row r="1003" spans="1:13" hidden="1" x14ac:dyDescent="0.2">
      <c r="A1003" s="10" t="s">
        <v>558</v>
      </c>
      <c r="B1003" t="s">
        <v>56</v>
      </c>
      <c r="C1003" t="s">
        <v>658</v>
      </c>
      <c r="D1003" t="s">
        <v>659</v>
      </c>
      <c r="E1003" s="10" t="b">
        <f>IF(ISERROR(VLOOKUP( LEFT(B1003, LEN(B1003) - IF(ISNUMBER(RIGHT(B1003, 1) * 1), 1, 0)),metadata_testudines!B$1:B$60,1,FALSE)),FALSE,TRUE)</f>
        <v>1</v>
      </c>
      <c r="F1003" t="s">
        <v>681</v>
      </c>
      <c r="G1003" t="s">
        <v>685</v>
      </c>
      <c r="H1003">
        <v>0.88</v>
      </c>
      <c r="I1003" t="s">
        <v>667</v>
      </c>
      <c r="J1003" t="s">
        <v>683</v>
      </c>
      <c r="K1003" t="s">
        <v>645</v>
      </c>
      <c r="L1003" t="s">
        <v>677</v>
      </c>
      <c r="M1003" t="s">
        <v>664</v>
      </c>
    </row>
    <row r="1004" spans="1:13" hidden="1" x14ac:dyDescent="0.2">
      <c r="A1004" s="10" t="s">
        <v>558</v>
      </c>
      <c r="B1004" t="s">
        <v>56</v>
      </c>
      <c r="C1004" t="s">
        <v>658</v>
      </c>
      <c r="D1004" t="s">
        <v>659</v>
      </c>
      <c r="E1004" s="10" t="b">
        <f>IF(ISERROR(VLOOKUP( LEFT(B1004, LEN(B1004) - IF(ISNUMBER(RIGHT(B1004, 1) * 1), 1, 0)),metadata_testudines!B$1:B$60,1,FALSE)),FALSE,TRUE)</f>
        <v>1</v>
      </c>
      <c r="F1004" t="s">
        <v>681</v>
      </c>
      <c r="G1004" t="s">
        <v>685</v>
      </c>
      <c r="H1004">
        <v>0.93</v>
      </c>
      <c r="I1004" t="s">
        <v>667</v>
      </c>
      <c r="J1004" t="s">
        <v>683</v>
      </c>
      <c r="K1004" t="s">
        <v>645</v>
      </c>
      <c r="L1004" t="s">
        <v>684</v>
      </c>
      <c r="M1004" t="s">
        <v>664</v>
      </c>
    </row>
    <row r="1005" spans="1:13" hidden="1" x14ac:dyDescent="0.2">
      <c r="A1005" s="10" t="s">
        <v>558</v>
      </c>
      <c r="B1005" t="s">
        <v>56</v>
      </c>
      <c r="C1005" t="s">
        <v>658</v>
      </c>
      <c r="D1005" t="s">
        <v>659</v>
      </c>
      <c r="E1005" s="10" t="b">
        <f>IF(ISERROR(VLOOKUP( LEFT(B1005, LEN(B1005) - IF(ISNUMBER(RIGHT(B1005, 1) * 1), 1, 0)),metadata_testudines!B$1:B$60,1,FALSE)),FALSE,TRUE)</f>
        <v>1</v>
      </c>
      <c r="F1005" t="s">
        <v>681</v>
      </c>
      <c r="G1005" t="s">
        <v>682</v>
      </c>
      <c r="H1005">
        <v>0.88</v>
      </c>
      <c r="I1005" t="s">
        <v>667</v>
      </c>
      <c r="J1005" t="s">
        <v>683</v>
      </c>
      <c r="K1005" t="s">
        <v>645</v>
      </c>
      <c r="L1005" t="s">
        <v>677</v>
      </c>
      <c r="M1005" t="s">
        <v>664</v>
      </c>
    </row>
    <row r="1006" spans="1:13" hidden="1" x14ac:dyDescent="0.2">
      <c r="A1006" s="10" t="s">
        <v>558</v>
      </c>
      <c r="B1006" t="s">
        <v>116</v>
      </c>
      <c r="C1006" t="s">
        <v>658</v>
      </c>
      <c r="D1006" t="s">
        <v>659</v>
      </c>
      <c r="E1006" s="10" t="b">
        <f>IF(ISERROR(VLOOKUP( LEFT(B1006, LEN(B1006) - IF(ISNUMBER(RIGHT(B1006, 1) * 1), 1, 0)),metadata_testudines!B$1:B$60,1,FALSE)),FALSE,TRUE)</f>
        <v>1</v>
      </c>
      <c r="F1006" t="s">
        <v>681</v>
      </c>
      <c r="G1006" t="s">
        <v>685</v>
      </c>
      <c r="H1006">
        <v>0.7</v>
      </c>
      <c r="I1006" t="s">
        <v>667</v>
      </c>
      <c r="J1006" t="s">
        <v>683</v>
      </c>
      <c r="K1006" t="s">
        <v>645</v>
      </c>
      <c r="L1006" t="s">
        <v>684</v>
      </c>
      <c r="M1006" t="s">
        <v>664</v>
      </c>
    </row>
    <row r="1007" spans="1:13" hidden="1" x14ac:dyDescent="0.2">
      <c r="A1007" s="10" t="s">
        <v>558</v>
      </c>
      <c r="B1007" t="s">
        <v>116</v>
      </c>
      <c r="C1007" t="s">
        <v>658</v>
      </c>
      <c r="D1007" t="s">
        <v>659</v>
      </c>
      <c r="E1007" s="10" t="b">
        <f>IF(ISERROR(VLOOKUP( LEFT(B1007, LEN(B1007) - IF(ISNUMBER(RIGHT(B1007, 1) * 1), 1, 0)),metadata_testudines!B$1:B$60,1,FALSE)),FALSE,TRUE)</f>
        <v>1</v>
      </c>
      <c r="F1007" t="s">
        <v>701</v>
      </c>
      <c r="G1007" t="s">
        <v>703</v>
      </c>
      <c r="H1007">
        <v>6</v>
      </c>
      <c r="I1007" t="s">
        <v>662</v>
      </c>
      <c r="J1007" t="s">
        <v>670</v>
      </c>
      <c r="K1007" t="s">
        <v>647</v>
      </c>
      <c r="L1007" t="s">
        <v>677</v>
      </c>
      <c r="M1007" t="s">
        <v>664</v>
      </c>
    </row>
    <row r="1008" spans="1:13" hidden="1" x14ac:dyDescent="0.2">
      <c r="A1008" s="10" t="s">
        <v>558</v>
      </c>
      <c r="B1008" t="s">
        <v>116</v>
      </c>
      <c r="C1008" t="s">
        <v>658</v>
      </c>
      <c r="D1008" t="s">
        <v>659</v>
      </c>
      <c r="E1008" s="10" t="b">
        <f>IF(ISERROR(VLOOKUP( LEFT(B1008, LEN(B1008) - IF(ISNUMBER(RIGHT(B1008, 1) * 1), 1, 0)),metadata_testudines!B$1:B$60,1,FALSE)),FALSE,TRUE)</f>
        <v>1</v>
      </c>
      <c r="F1008" t="s">
        <v>660</v>
      </c>
      <c r="G1008" t="s">
        <v>661</v>
      </c>
      <c r="H1008">
        <v>3.6</v>
      </c>
      <c r="I1008" t="s">
        <v>662</v>
      </c>
      <c r="J1008" t="s">
        <v>663</v>
      </c>
      <c r="K1008" t="s">
        <v>647</v>
      </c>
      <c r="L1008" t="s">
        <v>664</v>
      </c>
      <c r="M1008" t="s">
        <v>664</v>
      </c>
    </row>
    <row r="1009" spans="1:13" hidden="1" x14ac:dyDescent="0.2">
      <c r="A1009" s="10" t="s">
        <v>558</v>
      </c>
      <c r="B1009" t="s">
        <v>116</v>
      </c>
      <c r="C1009" t="s">
        <v>658</v>
      </c>
      <c r="D1009" t="s">
        <v>659</v>
      </c>
      <c r="E1009" s="10" t="b">
        <f>IF(ISERROR(VLOOKUP( LEFT(B1009, LEN(B1009) - IF(ISNUMBER(RIGHT(B1009, 1) * 1), 1, 0)),metadata_testudines!B$1:B$60,1,FALSE)),FALSE,TRUE)</f>
        <v>1</v>
      </c>
      <c r="F1009" t="s">
        <v>681</v>
      </c>
      <c r="G1009" t="s">
        <v>682</v>
      </c>
      <c r="H1009">
        <v>0.88</v>
      </c>
      <c r="I1009" t="s">
        <v>667</v>
      </c>
      <c r="J1009" t="s">
        <v>683</v>
      </c>
      <c r="K1009" t="s">
        <v>645</v>
      </c>
      <c r="L1009" t="s">
        <v>677</v>
      </c>
      <c r="M1009" t="s">
        <v>664</v>
      </c>
    </row>
    <row r="1010" spans="1:13" hidden="1" x14ac:dyDescent="0.2">
      <c r="A1010" s="10" t="s">
        <v>558</v>
      </c>
      <c r="B1010" t="s">
        <v>116</v>
      </c>
      <c r="C1010" t="s">
        <v>658</v>
      </c>
      <c r="D1010" t="s">
        <v>659</v>
      </c>
      <c r="E1010" s="10" t="b">
        <f>IF(ISERROR(VLOOKUP( LEFT(B1010, LEN(B1010) - IF(ISNUMBER(RIGHT(B1010, 1) * 1), 1, 0)),metadata_testudines!B$1:B$60,1,FALSE)),FALSE,TRUE)</f>
        <v>1</v>
      </c>
      <c r="F1010" t="s">
        <v>681</v>
      </c>
      <c r="G1010" t="s">
        <v>685</v>
      </c>
      <c r="H1010">
        <v>0.7</v>
      </c>
      <c r="I1010" t="s">
        <v>667</v>
      </c>
      <c r="J1010" t="s">
        <v>683</v>
      </c>
      <c r="K1010" t="s">
        <v>645</v>
      </c>
      <c r="L1010" t="s">
        <v>684</v>
      </c>
      <c r="M1010" t="s">
        <v>664</v>
      </c>
    </row>
    <row r="1011" spans="1:13" hidden="1" x14ac:dyDescent="0.2">
      <c r="A1011" s="10" t="s">
        <v>558</v>
      </c>
      <c r="B1011" t="s">
        <v>116</v>
      </c>
      <c r="C1011" t="s">
        <v>658</v>
      </c>
      <c r="D1011" t="s">
        <v>659</v>
      </c>
      <c r="E1011" s="10" t="b">
        <f>IF(ISERROR(VLOOKUP( LEFT(B1011, LEN(B1011) - IF(ISNUMBER(RIGHT(B1011, 1) * 1), 1, 0)),metadata_testudines!B$1:B$60,1,FALSE)),FALSE,TRUE)</f>
        <v>1</v>
      </c>
      <c r="F1011" t="s">
        <v>681</v>
      </c>
      <c r="G1011" t="s">
        <v>685</v>
      </c>
      <c r="H1011">
        <v>0.56999999999999995</v>
      </c>
      <c r="I1011" t="s">
        <v>667</v>
      </c>
      <c r="J1011" t="s">
        <v>683</v>
      </c>
      <c r="K1011" t="s">
        <v>645</v>
      </c>
      <c r="L1011" t="s">
        <v>646</v>
      </c>
      <c r="M1011" t="s">
        <v>664</v>
      </c>
    </row>
    <row r="1012" spans="1:13" hidden="1" x14ac:dyDescent="0.2">
      <c r="A1012" s="10" t="s">
        <v>558</v>
      </c>
      <c r="B1012" t="s">
        <v>116</v>
      </c>
      <c r="C1012" t="s">
        <v>658</v>
      </c>
      <c r="D1012" t="s">
        <v>659</v>
      </c>
      <c r="E1012" s="10" t="b">
        <f>IF(ISERROR(VLOOKUP( LEFT(B1012, LEN(B1012) - IF(ISNUMBER(RIGHT(B1012, 1) * 1), 1, 0)),metadata_testudines!B$1:B$60,1,FALSE)),FALSE,TRUE)</f>
        <v>1</v>
      </c>
      <c r="F1012" t="s">
        <v>660</v>
      </c>
      <c r="G1012" t="s">
        <v>666</v>
      </c>
      <c r="H1012">
        <v>40</v>
      </c>
      <c r="I1012" t="s">
        <v>667</v>
      </c>
      <c r="J1012" t="s">
        <v>668</v>
      </c>
      <c r="K1012" t="s">
        <v>647</v>
      </c>
      <c r="L1012" t="s">
        <v>664</v>
      </c>
      <c r="M1012" t="s">
        <v>664</v>
      </c>
    </row>
    <row r="1013" spans="1:13" hidden="1" x14ac:dyDescent="0.2">
      <c r="A1013" s="10" t="s">
        <v>558</v>
      </c>
      <c r="B1013" t="s">
        <v>116</v>
      </c>
      <c r="C1013" t="s">
        <v>658</v>
      </c>
      <c r="D1013" t="s">
        <v>659</v>
      </c>
      <c r="E1013" s="10" t="b">
        <f>IF(ISERROR(VLOOKUP( LEFT(B1013, LEN(B1013) - IF(ISNUMBER(RIGHT(B1013, 1) * 1), 1, 0)),metadata_testudines!B$1:B$60,1,FALSE)),FALSE,TRUE)</f>
        <v>1</v>
      </c>
      <c r="F1013" t="s">
        <v>681</v>
      </c>
      <c r="G1013" t="s">
        <v>682</v>
      </c>
      <c r="H1013">
        <v>0.7</v>
      </c>
      <c r="I1013" t="s">
        <v>667</v>
      </c>
      <c r="J1013" t="s">
        <v>683</v>
      </c>
      <c r="K1013" t="s">
        <v>645</v>
      </c>
      <c r="L1013" t="s">
        <v>684</v>
      </c>
      <c r="M1013" t="s">
        <v>664</v>
      </c>
    </row>
    <row r="1014" spans="1:13" hidden="1" x14ac:dyDescent="0.2">
      <c r="A1014" s="10" t="s">
        <v>558</v>
      </c>
      <c r="B1014" t="s">
        <v>116</v>
      </c>
      <c r="C1014" t="s">
        <v>658</v>
      </c>
      <c r="D1014" t="s">
        <v>659</v>
      </c>
      <c r="E1014" s="10" t="b">
        <f>IF(ISERROR(VLOOKUP( LEFT(B1014, LEN(B1014) - IF(ISNUMBER(RIGHT(B1014, 1) * 1), 1, 0)),metadata_testudines!B$1:B$60,1,FALSE)),FALSE,TRUE)</f>
        <v>1</v>
      </c>
      <c r="F1014" t="s">
        <v>681</v>
      </c>
      <c r="G1014" t="s">
        <v>685</v>
      </c>
      <c r="H1014">
        <v>0.85</v>
      </c>
      <c r="I1014" t="s">
        <v>667</v>
      </c>
      <c r="J1014" t="s">
        <v>683</v>
      </c>
      <c r="K1014" t="s">
        <v>645</v>
      </c>
      <c r="L1014" t="s">
        <v>684</v>
      </c>
      <c r="M1014" t="s">
        <v>664</v>
      </c>
    </row>
    <row r="1015" spans="1:13" hidden="1" x14ac:dyDescent="0.2">
      <c r="A1015" s="10" t="s">
        <v>558</v>
      </c>
      <c r="B1015" t="s">
        <v>116</v>
      </c>
      <c r="C1015" t="s">
        <v>658</v>
      </c>
      <c r="D1015" t="s">
        <v>659</v>
      </c>
      <c r="E1015" s="10" t="b">
        <f>IF(ISERROR(VLOOKUP( LEFT(B1015, LEN(B1015) - IF(ISNUMBER(RIGHT(B1015, 1) * 1), 1, 0)),metadata_testudines!B$1:B$60,1,FALSE)),FALSE,TRUE)</f>
        <v>1</v>
      </c>
      <c r="F1015" t="s">
        <v>660</v>
      </c>
      <c r="G1015" t="s">
        <v>661</v>
      </c>
      <c r="H1015">
        <v>5</v>
      </c>
      <c r="I1015" t="s">
        <v>662</v>
      </c>
      <c r="J1015" t="s">
        <v>663</v>
      </c>
      <c r="K1015" t="s">
        <v>647</v>
      </c>
      <c r="L1015" t="s">
        <v>664</v>
      </c>
      <c r="M1015" t="s">
        <v>664</v>
      </c>
    </row>
    <row r="1016" spans="1:13" hidden="1" x14ac:dyDescent="0.2">
      <c r="A1016" s="10" t="s">
        <v>558</v>
      </c>
      <c r="B1016" t="s">
        <v>116</v>
      </c>
      <c r="C1016" t="s">
        <v>658</v>
      </c>
      <c r="D1016" t="s">
        <v>659</v>
      </c>
      <c r="E1016" s="10" t="b">
        <f>IF(ISERROR(VLOOKUP( LEFT(B1016, LEN(B1016) - IF(ISNUMBER(RIGHT(B1016, 1) * 1), 1, 0)),metadata_testudines!B$1:B$60,1,FALSE)),FALSE,TRUE)</f>
        <v>1</v>
      </c>
      <c r="F1016" t="s">
        <v>660</v>
      </c>
      <c r="G1016" t="s">
        <v>665</v>
      </c>
      <c r="H1016">
        <v>1</v>
      </c>
      <c r="I1016" t="s">
        <v>662</v>
      </c>
      <c r="J1016" t="s">
        <v>663</v>
      </c>
      <c r="K1016" t="s">
        <v>647</v>
      </c>
      <c r="L1016" t="s">
        <v>664</v>
      </c>
      <c r="M1016" t="s">
        <v>664</v>
      </c>
    </row>
    <row r="1017" spans="1:13" hidden="1" x14ac:dyDescent="0.2">
      <c r="A1017" s="10" t="s">
        <v>558</v>
      </c>
      <c r="B1017" t="s">
        <v>116</v>
      </c>
      <c r="C1017" t="s">
        <v>658</v>
      </c>
      <c r="D1017" t="s">
        <v>659</v>
      </c>
      <c r="E1017" s="10" t="b">
        <f>IF(ISERROR(VLOOKUP( LEFT(B1017, LEN(B1017) - IF(ISNUMBER(RIGHT(B1017, 1) * 1), 1, 0)),metadata_testudines!B$1:B$60,1,FALSE)),FALSE,TRUE)</f>
        <v>1</v>
      </c>
      <c r="F1017" t="s">
        <v>681</v>
      </c>
      <c r="G1017" t="s">
        <v>682</v>
      </c>
      <c r="H1017">
        <v>0.56999999999999995</v>
      </c>
      <c r="I1017" t="s">
        <v>667</v>
      </c>
      <c r="J1017" t="s">
        <v>683</v>
      </c>
      <c r="K1017" t="s">
        <v>645</v>
      </c>
      <c r="L1017" t="s">
        <v>646</v>
      </c>
      <c r="M1017" t="s">
        <v>664</v>
      </c>
    </row>
    <row r="1018" spans="1:13" hidden="1" x14ac:dyDescent="0.2">
      <c r="A1018" s="10" t="s">
        <v>558</v>
      </c>
      <c r="B1018" t="s">
        <v>116</v>
      </c>
      <c r="C1018" t="s">
        <v>658</v>
      </c>
      <c r="D1018" t="s">
        <v>659</v>
      </c>
      <c r="E1018" s="10" t="b">
        <f>IF(ISERROR(VLOOKUP( LEFT(B1018, LEN(B1018) - IF(ISNUMBER(RIGHT(B1018, 1) * 1), 1, 0)),metadata_testudines!B$1:B$60,1,FALSE)),FALSE,TRUE)</f>
        <v>1</v>
      </c>
      <c r="F1018" t="s">
        <v>660</v>
      </c>
      <c r="G1018" t="s">
        <v>661</v>
      </c>
      <c r="H1018">
        <v>6</v>
      </c>
      <c r="I1018" t="s">
        <v>662</v>
      </c>
      <c r="J1018" t="s">
        <v>663</v>
      </c>
      <c r="K1018" t="s">
        <v>647</v>
      </c>
      <c r="L1018" t="s">
        <v>664</v>
      </c>
      <c r="M1018" t="s">
        <v>664</v>
      </c>
    </row>
    <row r="1019" spans="1:13" hidden="1" x14ac:dyDescent="0.2">
      <c r="A1019" s="10" t="s">
        <v>558</v>
      </c>
      <c r="B1019" t="s">
        <v>116</v>
      </c>
      <c r="C1019" t="s">
        <v>658</v>
      </c>
      <c r="D1019" t="s">
        <v>659</v>
      </c>
      <c r="E1019" s="10" t="b">
        <f>IF(ISERROR(VLOOKUP( LEFT(B1019, LEN(B1019) - IF(ISNUMBER(RIGHT(B1019, 1) * 1), 1, 0)),metadata_testudines!B$1:B$60,1,FALSE)),FALSE,TRUE)</f>
        <v>1</v>
      </c>
      <c r="F1019" t="s">
        <v>681</v>
      </c>
      <c r="G1019" t="s">
        <v>685</v>
      </c>
      <c r="H1019">
        <v>0.93</v>
      </c>
      <c r="I1019" t="s">
        <v>667</v>
      </c>
      <c r="J1019" t="s">
        <v>683</v>
      </c>
      <c r="K1019" t="s">
        <v>645</v>
      </c>
      <c r="L1019" t="s">
        <v>684</v>
      </c>
      <c r="M1019" t="s">
        <v>664</v>
      </c>
    </row>
    <row r="1020" spans="1:13" hidden="1" x14ac:dyDescent="0.2">
      <c r="A1020" s="10" t="s">
        <v>558</v>
      </c>
      <c r="B1020" t="s">
        <v>116</v>
      </c>
      <c r="C1020" t="s">
        <v>658</v>
      </c>
      <c r="D1020" t="s">
        <v>659</v>
      </c>
      <c r="E1020" s="10" t="b">
        <f>IF(ISERROR(VLOOKUP( LEFT(B1020, LEN(B1020) - IF(ISNUMBER(RIGHT(B1020, 1) * 1), 1, 0)),metadata_testudines!B$1:B$60,1,FALSE)),FALSE,TRUE)</f>
        <v>1</v>
      </c>
      <c r="F1020" t="s">
        <v>681</v>
      </c>
      <c r="G1020" t="s">
        <v>685</v>
      </c>
      <c r="H1020">
        <v>0.56999999999999995</v>
      </c>
      <c r="I1020" t="s">
        <v>667</v>
      </c>
      <c r="J1020" t="s">
        <v>683</v>
      </c>
      <c r="K1020" t="s">
        <v>645</v>
      </c>
      <c r="L1020" t="s">
        <v>646</v>
      </c>
      <c r="M1020" t="s">
        <v>664</v>
      </c>
    </row>
    <row r="1021" spans="1:13" hidden="1" x14ac:dyDescent="0.2">
      <c r="A1021" s="10" t="s">
        <v>558</v>
      </c>
      <c r="B1021" t="s">
        <v>116</v>
      </c>
      <c r="C1021" t="s">
        <v>658</v>
      </c>
      <c r="D1021" t="s">
        <v>659</v>
      </c>
      <c r="E1021" s="10" t="b">
        <f>IF(ISERROR(VLOOKUP( LEFT(B1021, LEN(B1021) - IF(ISNUMBER(RIGHT(B1021, 1) * 1), 1, 0)),metadata_testudines!B$1:B$60,1,FALSE)),FALSE,TRUE)</f>
        <v>1</v>
      </c>
      <c r="F1021" t="s">
        <v>681</v>
      </c>
      <c r="G1021" t="s">
        <v>682</v>
      </c>
      <c r="H1021">
        <v>0.93</v>
      </c>
      <c r="I1021" t="s">
        <v>667</v>
      </c>
      <c r="J1021" t="s">
        <v>683</v>
      </c>
      <c r="K1021" t="s">
        <v>645</v>
      </c>
      <c r="L1021" t="s">
        <v>684</v>
      </c>
      <c r="M1021" t="s">
        <v>664</v>
      </c>
    </row>
    <row r="1022" spans="1:13" hidden="1" x14ac:dyDescent="0.2">
      <c r="A1022" s="10" t="s">
        <v>558</v>
      </c>
      <c r="B1022" t="s">
        <v>116</v>
      </c>
      <c r="C1022" t="s">
        <v>658</v>
      </c>
      <c r="D1022" t="s">
        <v>659</v>
      </c>
      <c r="E1022" s="10" t="b">
        <f>IF(ISERROR(VLOOKUP( LEFT(B1022, LEN(B1022) - IF(ISNUMBER(RIGHT(B1022, 1) * 1), 1, 0)),metadata_testudines!B$1:B$60,1,FALSE)),FALSE,TRUE)</f>
        <v>1</v>
      </c>
      <c r="F1022" t="s">
        <v>681</v>
      </c>
      <c r="G1022" t="s">
        <v>682</v>
      </c>
      <c r="H1022">
        <v>0.93</v>
      </c>
      <c r="I1022" t="s">
        <v>667</v>
      </c>
      <c r="J1022" t="s">
        <v>683</v>
      </c>
      <c r="K1022" t="s">
        <v>645</v>
      </c>
      <c r="L1022" t="s">
        <v>684</v>
      </c>
      <c r="M1022" t="s">
        <v>664</v>
      </c>
    </row>
    <row r="1023" spans="1:13" hidden="1" x14ac:dyDescent="0.2">
      <c r="A1023" s="10" t="s">
        <v>558</v>
      </c>
      <c r="B1023" t="s">
        <v>116</v>
      </c>
      <c r="C1023" t="s">
        <v>658</v>
      </c>
      <c r="D1023" t="s">
        <v>659</v>
      </c>
      <c r="E1023" s="10" t="b">
        <f>IF(ISERROR(VLOOKUP( LEFT(B1023, LEN(B1023) - IF(ISNUMBER(RIGHT(B1023, 1) * 1), 1, 0)),metadata_testudines!B$1:B$60,1,FALSE)),FALSE,TRUE)</f>
        <v>1</v>
      </c>
      <c r="F1023" t="s">
        <v>681</v>
      </c>
      <c r="G1023" t="s">
        <v>685</v>
      </c>
      <c r="H1023">
        <v>0.7</v>
      </c>
      <c r="I1023" t="s">
        <v>667</v>
      </c>
      <c r="J1023" t="s">
        <v>683</v>
      </c>
      <c r="K1023" t="s">
        <v>645</v>
      </c>
      <c r="L1023" t="s">
        <v>684</v>
      </c>
      <c r="M1023" t="s">
        <v>664</v>
      </c>
    </row>
    <row r="1024" spans="1:13" hidden="1" x14ac:dyDescent="0.2">
      <c r="A1024" s="10" t="s">
        <v>558</v>
      </c>
      <c r="B1024" t="s">
        <v>116</v>
      </c>
      <c r="C1024" t="s">
        <v>658</v>
      </c>
      <c r="D1024" t="s">
        <v>659</v>
      </c>
      <c r="E1024" s="10" t="b">
        <f>IF(ISERROR(VLOOKUP( LEFT(B1024, LEN(B1024) - IF(ISNUMBER(RIGHT(B1024, 1) * 1), 1, 0)),metadata_testudines!B$1:B$60,1,FALSE)),FALSE,TRUE)</f>
        <v>1</v>
      </c>
      <c r="F1024" t="s">
        <v>660</v>
      </c>
      <c r="G1024" t="s">
        <v>661</v>
      </c>
      <c r="H1024">
        <v>12</v>
      </c>
      <c r="I1024" t="s">
        <v>662</v>
      </c>
      <c r="J1024" t="s">
        <v>663</v>
      </c>
      <c r="K1024" t="s">
        <v>647</v>
      </c>
      <c r="L1024" t="s">
        <v>664</v>
      </c>
      <c r="M1024" t="s">
        <v>664</v>
      </c>
    </row>
    <row r="1025" spans="1:13" hidden="1" x14ac:dyDescent="0.2">
      <c r="A1025" s="10" t="s">
        <v>558</v>
      </c>
      <c r="B1025" t="s">
        <v>116</v>
      </c>
      <c r="C1025" t="s">
        <v>658</v>
      </c>
      <c r="D1025" t="s">
        <v>659</v>
      </c>
      <c r="E1025" s="10" t="b">
        <f>IF(ISERROR(VLOOKUP( LEFT(B1025, LEN(B1025) - IF(ISNUMBER(RIGHT(B1025, 1) * 1), 1, 0)),metadata_testudines!B$1:B$60,1,FALSE)),FALSE,TRUE)</f>
        <v>1</v>
      </c>
      <c r="F1025" t="s">
        <v>660</v>
      </c>
      <c r="G1025" t="s">
        <v>661</v>
      </c>
      <c r="H1025">
        <v>4</v>
      </c>
      <c r="I1025" t="s">
        <v>662</v>
      </c>
      <c r="J1025" t="s">
        <v>663</v>
      </c>
      <c r="K1025" t="s">
        <v>647</v>
      </c>
      <c r="L1025" t="s">
        <v>664</v>
      </c>
      <c r="M1025" t="s">
        <v>664</v>
      </c>
    </row>
    <row r="1026" spans="1:13" hidden="1" x14ac:dyDescent="0.2">
      <c r="A1026" s="10" t="s">
        <v>558</v>
      </c>
      <c r="B1026" t="s">
        <v>116</v>
      </c>
      <c r="C1026" t="s">
        <v>658</v>
      </c>
      <c r="D1026" t="s">
        <v>659</v>
      </c>
      <c r="E1026" s="10" t="b">
        <f>IF(ISERROR(VLOOKUP( LEFT(B1026, LEN(B1026) - IF(ISNUMBER(RIGHT(B1026, 1) * 1), 1, 0)),metadata_testudines!B$1:B$60,1,FALSE)),FALSE,TRUE)</f>
        <v>1</v>
      </c>
      <c r="F1026" t="s">
        <v>660</v>
      </c>
      <c r="G1026" t="s">
        <v>669</v>
      </c>
      <c r="H1026">
        <v>4383</v>
      </c>
      <c r="I1026" t="s">
        <v>662</v>
      </c>
      <c r="J1026" t="s">
        <v>670</v>
      </c>
      <c r="K1026" t="s">
        <v>647</v>
      </c>
      <c r="L1026" t="s">
        <v>647</v>
      </c>
      <c r="M1026" t="s">
        <v>664</v>
      </c>
    </row>
    <row r="1027" spans="1:13" hidden="1" x14ac:dyDescent="0.2">
      <c r="A1027" s="10" t="s">
        <v>558</v>
      </c>
      <c r="B1027" t="s">
        <v>116</v>
      </c>
      <c r="C1027" t="s">
        <v>658</v>
      </c>
      <c r="D1027" t="s">
        <v>659</v>
      </c>
      <c r="E1027" s="10" t="b">
        <f>IF(ISERROR(VLOOKUP( LEFT(B1027, LEN(B1027) - IF(ISNUMBER(RIGHT(B1027, 1) * 1), 1, 0)),metadata_testudines!B$1:B$60,1,FALSE)),FALSE,TRUE)</f>
        <v>1</v>
      </c>
      <c r="F1027" t="s">
        <v>681</v>
      </c>
      <c r="G1027" t="s">
        <v>682</v>
      </c>
      <c r="H1027">
        <v>0.56999999999999995</v>
      </c>
      <c r="I1027" t="s">
        <v>667</v>
      </c>
      <c r="J1027" t="s">
        <v>683</v>
      </c>
      <c r="K1027" t="s">
        <v>645</v>
      </c>
      <c r="L1027" t="s">
        <v>646</v>
      </c>
      <c r="M1027" t="s">
        <v>664</v>
      </c>
    </row>
    <row r="1028" spans="1:13" hidden="1" x14ac:dyDescent="0.2">
      <c r="A1028" s="10" t="s">
        <v>558</v>
      </c>
      <c r="B1028" t="s">
        <v>116</v>
      </c>
      <c r="C1028" t="s">
        <v>658</v>
      </c>
      <c r="D1028" t="s">
        <v>659</v>
      </c>
      <c r="E1028" s="10" t="b">
        <f>IF(ISERROR(VLOOKUP( LEFT(B1028, LEN(B1028) - IF(ISNUMBER(RIGHT(B1028, 1) * 1), 1, 0)),metadata_testudines!B$1:B$60,1,FALSE)),FALSE,TRUE)</f>
        <v>1</v>
      </c>
      <c r="F1028" t="s">
        <v>681</v>
      </c>
      <c r="G1028" t="s">
        <v>682</v>
      </c>
      <c r="H1028">
        <v>0.88</v>
      </c>
      <c r="I1028" t="s">
        <v>667</v>
      </c>
      <c r="J1028" t="s">
        <v>683</v>
      </c>
      <c r="K1028" t="s">
        <v>645</v>
      </c>
      <c r="L1028" t="s">
        <v>677</v>
      </c>
      <c r="M1028" t="s">
        <v>664</v>
      </c>
    </row>
    <row r="1029" spans="1:13" hidden="1" x14ac:dyDescent="0.2">
      <c r="A1029" s="10" t="s">
        <v>558</v>
      </c>
      <c r="B1029" t="s">
        <v>116</v>
      </c>
      <c r="C1029" t="s">
        <v>658</v>
      </c>
      <c r="D1029" t="s">
        <v>659</v>
      </c>
      <c r="E1029" s="10" t="b">
        <f>IF(ISERROR(VLOOKUP( LEFT(B1029, LEN(B1029) - IF(ISNUMBER(RIGHT(B1029, 1) * 1), 1, 0)),metadata_testudines!B$1:B$60,1,FALSE)),FALSE,TRUE)</f>
        <v>1</v>
      </c>
      <c r="F1029" t="s">
        <v>660</v>
      </c>
      <c r="G1029" t="s">
        <v>661</v>
      </c>
      <c r="H1029">
        <v>10</v>
      </c>
      <c r="I1029" t="s">
        <v>662</v>
      </c>
      <c r="J1029" t="s">
        <v>663</v>
      </c>
      <c r="K1029" t="s">
        <v>647</v>
      </c>
      <c r="L1029" t="s">
        <v>664</v>
      </c>
      <c r="M1029" t="s">
        <v>664</v>
      </c>
    </row>
    <row r="1030" spans="1:13" hidden="1" x14ac:dyDescent="0.2">
      <c r="A1030" s="10" t="s">
        <v>558</v>
      </c>
      <c r="B1030" t="s">
        <v>116</v>
      </c>
      <c r="C1030" t="s">
        <v>658</v>
      </c>
      <c r="D1030" t="s">
        <v>659</v>
      </c>
      <c r="E1030" s="10" t="b">
        <f>IF(ISERROR(VLOOKUP( LEFT(B1030, LEN(B1030) - IF(ISNUMBER(RIGHT(B1030, 1) * 1), 1, 0)),metadata_testudines!B$1:B$60,1,FALSE)),FALSE,TRUE)</f>
        <v>1</v>
      </c>
      <c r="F1030" t="s">
        <v>681</v>
      </c>
      <c r="G1030" t="s">
        <v>685</v>
      </c>
      <c r="H1030">
        <v>0.85</v>
      </c>
      <c r="I1030" t="s">
        <v>667</v>
      </c>
      <c r="J1030" t="s">
        <v>683</v>
      </c>
      <c r="K1030" t="s">
        <v>645</v>
      </c>
      <c r="L1030" t="s">
        <v>684</v>
      </c>
      <c r="M1030" t="s">
        <v>664</v>
      </c>
    </row>
    <row r="1031" spans="1:13" hidden="1" x14ac:dyDescent="0.2">
      <c r="A1031" s="10" t="s">
        <v>558</v>
      </c>
      <c r="B1031" t="s">
        <v>116</v>
      </c>
      <c r="C1031" t="s">
        <v>658</v>
      </c>
      <c r="D1031" t="s">
        <v>659</v>
      </c>
      <c r="E1031" s="10" t="b">
        <f>IF(ISERROR(VLOOKUP( LEFT(B1031, LEN(B1031) - IF(ISNUMBER(RIGHT(B1031, 1) * 1), 1, 0)),metadata_testudines!B$1:B$60,1,FALSE)),FALSE,TRUE)</f>
        <v>1</v>
      </c>
      <c r="F1031" t="s">
        <v>681</v>
      </c>
      <c r="G1031" t="s">
        <v>685</v>
      </c>
      <c r="H1031">
        <v>0.85</v>
      </c>
      <c r="I1031" t="s">
        <v>667</v>
      </c>
      <c r="J1031" t="s">
        <v>683</v>
      </c>
      <c r="K1031" t="s">
        <v>645</v>
      </c>
      <c r="L1031" t="s">
        <v>684</v>
      </c>
      <c r="M1031" t="s">
        <v>664</v>
      </c>
    </row>
    <row r="1032" spans="1:13" hidden="1" x14ac:dyDescent="0.2">
      <c r="A1032" s="10" t="s">
        <v>558</v>
      </c>
      <c r="B1032" t="s">
        <v>116</v>
      </c>
      <c r="C1032" t="s">
        <v>658</v>
      </c>
      <c r="D1032" t="s">
        <v>659</v>
      </c>
      <c r="E1032" s="10" t="b">
        <f>IF(ISERROR(VLOOKUP( LEFT(B1032, LEN(B1032) - IF(ISNUMBER(RIGHT(B1032, 1) * 1), 1, 0)),metadata_testudines!B$1:B$60,1,FALSE)),FALSE,TRUE)</f>
        <v>1</v>
      </c>
      <c r="F1032" t="s">
        <v>660</v>
      </c>
      <c r="G1032" t="s">
        <v>676</v>
      </c>
      <c r="H1032">
        <v>4560</v>
      </c>
      <c r="I1032" t="s">
        <v>662</v>
      </c>
      <c r="J1032" t="s">
        <v>670</v>
      </c>
      <c r="K1032" t="s">
        <v>647</v>
      </c>
      <c r="L1032" t="s">
        <v>677</v>
      </c>
      <c r="M1032" t="s">
        <v>664</v>
      </c>
    </row>
    <row r="1033" spans="1:13" hidden="1" x14ac:dyDescent="0.2">
      <c r="A1033" s="10" t="s">
        <v>558</v>
      </c>
      <c r="B1033" t="s">
        <v>116</v>
      </c>
      <c r="C1033" t="s">
        <v>658</v>
      </c>
      <c r="D1033" t="s">
        <v>659</v>
      </c>
      <c r="E1033" s="10" t="b">
        <f>IF(ISERROR(VLOOKUP( LEFT(B1033, LEN(B1033) - IF(ISNUMBER(RIGHT(B1033, 1) * 1), 1, 0)),metadata_testudines!B$1:B$60,1,FALSE)),FALSE,TRUE)</f>
        <v>1</v>
      </c>
      <c r="F1033" t="s">
        <v>660</v>
      </c>
      <c r="G1033" t="s">
        <v>665</v>
      </c>
      <c r="H1033">
        <v>4</v>
      </c>
      <c r="I1033" t="s">
        <v>662</v>
      </c>
      <c r="J1033" t="s">
        <v>663</v>
      </c>
      <c r="K1033" t="s">
        <v>647</v>
      </c>
      <c r="L1033" t="s">
        <v>664</v>
      </c>
      <c r="M1033" t="s">
        <v>664</v>
      </c>
    </row>
    <row r="1034" spans="1:13" hidden="1" x14ac:dyDescent="0.2">
      <c r="A1034" s="10" t="s">
        <v>558</v>
      </c>
      <c r="B1034" t="s">
        <v>116</v>
      </c>
      <c r="C1034" t="s">
        <v>658</v>
      </c>
      <c r="D1034" t="s">
        <v>659</v>
      </c>
      <c r="E1034" s="10" t="b">
        <f>IF(ISERROR(VLOOKUP( LEFT(B1034, LEN(B1034) - IF(ISNUMBER(RIGHT(B1034, 1) * 1), 1, 0)),metadata_testudines!B$1:B$60,1,FALSE)),FALSE,TRUE)</f>
        <v>1</v>
      </c>
      <c r="F1034" t="s">
        <v>681</v>
      </c>
      <c r="G1034" t="s">
        <v>685</v>
      </c>
      <c r="H1034">
        <v>0.88</v>
      </c>
      <c r="I1034" t="s">
        <v>667</v>
      </c>
      <c r="J1034" t="s">
        <v>683</v>
      </c>
      <c r="K1034" t="s">
        <v>645</v>
      </c>
      <c r="L1034" t="s">
        <v>677</v>
      </c>
      <c r="M1034" t="s">
        <v>664</v>
      </c>
    </row>
    <row r="1035" spans="1:13" hidden="1" x14ac:dyDescent="0.2">
      <c r="A1035" s="10" t="s">
        <v>558</v>
      </c>
      <c r="B1035" t="s">
        <v>116</v>
      </c>
      <c r="C1035" t="s">
        <v>658</v>
      </c>
      <c r="D1035" t="s">
        <v>659</v>
      </c>
      <c r="E1035" s="10" t="b">
        <f>IF(ISERROR(VLOOKUP( LEFT(B1035, LEN(B1035) - IF(ISNUMBER(RIGHT(B1035, 1) * 1), 1, 0)),metadata_testudines!B$1:B$60,1,FALSE)),FALSE,TRUE)</f>
        <v>1</v>
      </c>
      <c r="F1035" t="s">
        <v>701</v>
      </c>
      <c r="G1035" t="s">
        <v>702</v>
      </c>
      <c r="H1035">
        <v>12</v>
      </c>
      <c r="I1035" t="s">
        <v>662</v>
      </c>
      <c r="J1035" t="s">
        <v>670</v>
      </c>
      <c r="K1035" t="s">
        <v>647</v>
      </c>
      <c r="L1035" t="s">
        <v>646</v>
      </c>
      <c r="M1035" t="s">
        <v>664</v>
      </c>
    </row>
    <row r="1036" spans="1:13" hidden="1" x14ac:dyDescent="0.2">
      <c r="A1036" s="10" t="s">
        <v>558</v>
      </c>
      <c r="B1036" t="s">
        <v>116</v>
      </c>
      <c r="C1036" t="s">
        <v>658</v>
      </c>
      <c r="D1036" t="s">
        <v>659</v>
      </c>
      <c r="E1036" s="10" t="b">
        <f>IF(ISERROR(VLOOKUP( LEFT(B1036, LEN(B1036) - IF(ISNUMBER(RIGHT(B1036, 1) * 1), 1, 0)),metadata_testudines!B$1:B$60,1,FALSE)),FALSE,TRUE)</f>
        <v>1</v>
      </c>
      <c r="F1036" t="s">
        <v>681</v>
      </c>
      <c r="G1036" t="s">
        <v>682</v>
      </c>
      <c r="H1036">
        <v>0.85</v>
      </c>
      <c r="I1036" t="s">
        <v>667</v>
      </c>
      <c r="J1036" t="s">
        <v>683</v>
      </c>
      <c r="K1036" t="s">
        <v>645</v>
      </c>
      <c r="L1036" t="s">
        <v>684</v>
      </c>
      <c r="M1036" t="s">
        <v>664</v>
      </c>
    </row>
    <row r="1037" spans="1:13" hidden="1" x14ac:dyDescent="0.2">
      <c r="A1037" s="10" t="s">
        <v>558</v>
      </c>
      <c r="B1037" t="s">
        <v>116</v>
      </c>
      <c r="C1037" t="s">
        <v>658</v>
      </c>
      <c r="D1037" t="s">
        <v>659</v>
      </c>
      <c r="E1037" s="10" t="b">
        <f>IF(ISERROR(VLOOKUP( LEFT(B1037, LEN(B1037) - IF(ISNUMBER(RIGHT(B1037, 1) * 1), 1, 0)),metadata_testudines!B$1:B$60,1,FALSE)),FALSE,TRUE)</f>
        <v>1</v>
      </c>
      <c r="F1037" t="s">
        <v>681</v>
      </c>
      <c r="G1037" t="s">
        <v>685</v>
      </c>
      <c r="H1037">
        <v>0.88</v>
      </c>
      <c r="I1037" t="s">
        <v>667</v>
      </c>
      <c r="J1037" t="s">
        <v>683</v>
      </c>
      <c r="K1037" t="s">
        <v>645</v>
      </c>
      <c r="L1037" t="s">
        <v>677</v>
      </c>
      <c r="M1037" t="s">
        <v>664</v>
      </c>
    </row>
    <row r="1038" spans="1:13" hidden="1" x14ac:dyDescent="0.2">
      <c r="A1038" s="10" t="s">
        <v>558</v>
      </c>
      <c r="B1038" t="s">
        <v>116</v>
      </c>
      <c r="C1038" t="s">
        <v>658</v>
      </c>
      <c r="D1038" t="s">
        <v>659</v>
      </c>
      <c r="E1038" s="10" t="b">
        <f>IF(ISERROR(VLOOKUP( LEFT(B1038, LEN(B1038) - IF(ISNUMBER(RIGHT(B1038, 1) * 1), 1, 0)),metadata_testudines!B$1:B$60,1,FALSE)),FALSE,TRUE)</f>
        <v>1</v>
      </c>
      <c r="F1038" t="s">
        <v>681</v>
      </c>
      <c r="G1038" t="s">
        <v>682</v>
      </c>
      <c r="H1038">
        <v>0.85</v>
      </c>
      <c r="I1038" t="s">
        <v>667</v>
      </c>
      <c r="J1038" t="s">
        <v>683</v>
      </c>
      <c r="K1038" t="s">
        <v>645</v>
      </c>
      <c r="L1038" t="s">
        <v>684</v>
      </c>
      <c r="M1038" t="s">
        <v>664</v>
      </c>
    </row>
    <row r="1039" spans="1:13" hidden="1" x14ac:dyDescent="0.2">
      <c r="A1039" s="10" t="s">
        <v>558</v>
      </c>
      <c r="B1039" t="s">
        <v>116</v>
      </c>
      <c r="C1039" t="s">
        <v>658</v>
      </c>
      <c r="D1039" t="s">
        <v>659</v>
      </c>
      <c r="E1039" s="10" t="b">
        <f>IF(ISERROR(VLOOKUP( LEFT(B1039, LEN(B1039) - IF(ISNUMBER(RIGHT(B1039, 1) * 1), 1, 0)),metadata_testudines!B$1:B$60,1,FALSE)),FALSE,TRUE)</f>
        <v>1</v>
      </c>
      <c r="F1039" t="s">
        <v>681</v>
      </c>
      <c r="G1039" t="s">
        <v>685</v>
      </c>
      <c r="H1039">
        <v>0.7</v>
      </c>
      <c r="I1039" t="s">
        <v>667</v>
      </c>
      <c r="J1039" t="s">
        <v>683</v>
      </c>
      <c r="K1039" t="s">
        <v>645</v>
      </c>
      <c r="L1039" t="s">
        <v>684</v>
      </c>
      <c r="M1039" t="s">
        <v>664</v>
      </c>
    </row>
    <row r="1040" spans="1:13" hidden="1" x14ac:dyDescent="0.2">
      <c r="A1040" s="10" t="s">
        <v>558</v>
      </c>
      <c r="B1040" t="s">
        <v>116</v>
      </c>
      <c r="C1040" t="s">
        <v>658</v>
      </c>
      <c r="D1040" t="s">
        <v>659</v>
      </c>
      <c r="E1040" s="10" t="b">
        <f>IF(ISERROR(VLOOKUP( LEFT(B1040, LEN(B1040) - IF(ISNUMBER(RIGHT(B1040, 1) * 1), 1, 0)),metadata_testudines!B$1:B$60,1,FALSE)),FALSE,TRUE)</f>
        <v>1</v>
      </c>
      <c r="F1040" t="s">
        <v>681</v>
      </c>
      <c r="G1040" t="s">
        <v>685</v>
      </c>
      <c r="H1040">
        <v>0.93</v>
      </c>
      <c r="I1040" t="s">
        <v>667</v>
      </c>
      <c r="J1040" t="s">
        <v>683</v>
      </c>
      <c r="K1040" t="s">
        <v>645</v>
      </c>
      <c r="L1040" t="s">
        <v>684</v>
      </c>
      <c r="M1040" t="s">
        <v>664</v>
      </c>
    </row>
    <row r="1041" spans="1:13" hidden="1" x14ac:dyDescent="0.2">
      <c r="A1041" s="10" t="s">
        <v>558</v>
      </c>
      <c r="B1041" t="s">
        <v>116</v>
      </c>
      <c r="C1041" t="s">
        <v>658</v>
      </c>
      <c r="D1041" t="s">
        <v>659</v>
      </c>
      <c r="E1041" s="10" t="b">
        <f>IF(ISERROR(VLOOKUP( LEFT(B1041, LEN(B1041) - IF(ISNUMBER(RIGHT(B1041, 1) * 1), 1, 0)),metadata_testudines!B$1:B$60,1,FALSE)),FALSE,TRUE)</f>
        <v>1</v>
      </c>
      <c r="F1041" t="s">
        <v>660</v>
      </c>
      <c r="G1041" t="s">
        <v>661</v>
      </c>
      <c r="H1041">
        <v>17</v>
      </c>
      <c r="I1041" t="s">
        <v>662</v>
      </c>
      <c r="J1041" t="s">
        <v>663</v>
      </c>
      <c r="K1041" t="s">
        <v>647</v>
      </c>
      <c r="L1041" t="s">
        <v>664</v>
      </c>
      <c r="M1041" t="s">
        <v>664</v>
      </c>
    </row>
    <row r="1042" spans="1:13" hidden="1" x14ac:dyDescent="0.2">
      <c r="A1042" s="10" t="s">
        <v>558</v>
      </c>
      <c r="B1042" t="s">
        <v>116</v>
      </c>
      <c r="C1042" t="s">
        <v>658</v>
      </c>
      <c r="D1042" t="s">
        <v>659</v>
      </c>
      <c r="E1042" s="10" t="b">
        <f>IF(ISERROR(VLOOKUP( LEFT(B1042, LEN(B1042) - IF(ISNUMBER(RIGHT(B1042, 1) * 1), 1, 0)),metadata_testudines!B$1:B$60,1,FALSE)),FALSE,TRUE)</f>
        <v>1</v>
      </c>
      <c r="F1042" t="s">
        <v>681</v>
      </c>
      <c r="G1042" t="s">
        <v>685</v>
      </c>
      <c r="H1042">
        <v>0.56999999999999995</v>
      </c>
      <c r="I1042" t="s">
        <v>667</v>
      </c>
      <c r="J1042" t="s">
        <v>683</v>
      </c>
      <c r="K1042" t="s">
        <v>645</v>
      </c>
      <c r="L1042" t="s">
        <v>646</v>
      </c>
      <c r="M1042" t="s">
        <v>664</v>
      </c>
    </row>
    <row r="1043" spans="1:13" hidden="1" x14ac:dyDescent="0.2">
      <c r="A1043" s="10" t="s">
        <v>558</v>
      </c>
      <c r="B1043" t="s">
        <v>116</v>
      </c>
      <c r="C1043" t="s">
        <v>658</v>
      </c>
      <c r="D1043" t="s">
        <v>659</v>
      </c>
      <c r="E1043" s="10" t="b">
        <f>IF(ISERROR(VLOOKUP( LEFT(B1043, LEN(B1043) - IF(ISNUMBER(RIGHT(B1043, 1) * 1), 1, 0)),metadata_testudines!B$1:B$60,1,FALSE)),FALSE,TRUE)</f>
        <v>1</v>
      </c>
      <c r="F1043" t="s">
        <v>681</v>
      </c>
      <c r="G1043" t="s">
        <v>685</v>
      </c>
      <c r="H1043">
        <v>0.88</v>
      </c>
      <c r="I1043" t="s">
        <v>667</v>
      </c>
      <c r="J1043" t="s">
        <v>683</v>
      </c>
      <c r="K1043" t="s">
        <v>645</v>
      </c>
      <c r="L1043" t="s">
        <v>677</v>
      </c>
      <c r="M1043" t="s">
        <v>664</v>
      </c>
    </row>
    <row r="1044" spans="1:13" hidden="1" x14ac:dyDescent="0.2">
      <c r="A1044" s="10" t="s">
        <v>558</v>
      </c>
      <c r="B1044" t="s">
        <v>116</v>
      </c>
      <c r="C1044" t="s">
        <v>658</v>
      </c>
      <c r="D1044" t="s">
        <v>659</v>
      </c>
      <c r="E1044" s="10" t="b">
        <f>IF(ISERROR(VLOOKUP( LEFT(B1044, LEN(B1044) - IF(ISNUMBER(RIGHT(B1044, 1) * 1), 1, 0)),metadata_testudines!B$1:B$60,1,FALSE)),FALSE,TRUE)</f>
        <v>1</v>
      </c>
      <c r="F1044" t="s">
        <v>681</v>
      </c>
      <c r="G1044" t="s">
        <v>682</v>
      </c>
      <c r="H1044">
        <v>0.85</v>
      </c>
      <c r="I1044" t="s">
        <v>667</v>
      </c>
      <c r="J1044" t="s">
        <v>683</v>
      </c>
      <c r="K1044" t="s">
        <v>645</v>
      </c>
      <c r="L1044" t="s">
        <v>684</v>
      </c>
      <c r="M1044" t="s">
        <v>664</v>
      </c>
    </row>
    <row r="1045" spans="1:13" hidden="1" x14ac:dyDescent="0.2">
      <c r="A1045" s="10" t="s">
        <v>558</v>
      </c>
      <c r="B1045" t="s">
        <v>116</v>
      </c>
      <c r="C1045" t="s">
        <v>658</v>
      </c>
      <c r="D1045" t="s">
        <v>659</v>
      </c>
      <c r="E1045" s="10" t="b">
        <f>IF(ISERROR(VLOOKUP( LEFT(B1045, LEN(B1045) - IF(ISNUMBER(RIGHT(B1045, 1) * 1), 1, 0)),metadata_testudines!B$1:B$60,1,FALSE)),FALSE,TRUE)</f>
        <v>1</v>
      </c>
      <c r="F1045" t="s">
        <v>681</v>
      </c>
      <c r="G1045" t="s">
        <v>682</v>
      </c>
      <c r="H1045">
        <v>0.88</v>
      </c>
      <c r="I1045" t="s">
        <v>667</v>
      </c>
      <c r="J1045" t="s">
        <v>683</v>
      </c>
      <c r="K1045" t="s">
        <v>645</v>
      </c>
      <c r="L1045" t="s">
        <v>677</v>
      </c>
      <c r="M1045" t="s">
        <v>664</v>
      </c>
    </row>
    <row r="1046" spans="1:13" hidden="1" x14ac:dyDescent="0.2">
      <c r="A1046" s="10" t="s">
        <v>558</v>
      </c>
      <c r="B1046" t="s">
        <v>116</v>
      </c>
      <c r="C1046" t="s">
        <v>658</v>
      </c>
      <c r="D1046" t="s">
        <v>659</v>
      </c>
      <c r="E1046" s="10" t="b">
        <f>IF(ISERROR(VLOOKUP( LEFT(B1046, LEN(B1046) - IF(ISNUMBER(RIGHT(B1046, 1) * 1), 1, 0)),metadata_testudines!B$1:B$60,1,FALSE)),FALSE,TRUE)</f>
        <v>1</v>
      </c>
      <c r="F1046" t="s">
        <v>660</v>
      </c>
      <c r="G1046" t="s">
        <v>675</v>
      </c>
      <c r="H1046">
        <v>4650</v>
      </c>
      <c r="I1046" t="s">
        <v>662</v>
      </c>
      <c r="J1046" t="s">
        <v>670</v>
      </c>
      <c r="K1046" t="s">
        <v>647</v>
      </c>
      <c r="L1046" t="s">
        <v>646</v>
      </c>
      <c r="M1046" t="s">
        <v>664</v>
      </c>
    </row>
    <row r="1047" spans="1:13" hidden="1" x14ac:dyDescent="0.2">
      <c r="A1047" s="10" t="s">
        <v>558</v>
      </c>
      <c r="B1047" t="s">
        <v>116</v>
      </c>
      <c r="C1047" t="s">
        <v>658</v>
      </c>
      <c r="D1047" t="s">
        <v>659</v>
      </c>
      <c r="E1047" s="10" t="b">
        <f>IF(ISERROR(VLOOKUP( LEFT(B1047, LEN(B1047) - IF(ISNUMBER(RIGHT(B1047, 1) * 1), 1, 0)),metadata_testudines!B$1:B$60,1,FALSE)),FALSE,TRUE)</f>
        <v>1</v>
      </c>
      <c r="F1047" t="s">
        <v>681</v>
      </c>
      <c r="G1047" t="s">
        <v>682</v>
      </c>
      <c r="H1047">
        <v>0.88</v>
      </c>
      <c r="I1047" t="s">
        <v>667</v>
      </c>
      <c r="J1047" t="s">
        <v>683</v>
      </c>
      <c r="K1047" t="s">
        <v>645</v>
      </c>
      <c r="L1047" t="s">
        <v>677</v>
      </c>
      <c r="M1047" t="s">
        <v>664</v>
      </c>
    </row>
    <row r="1048" spans="1:13" hidden="1" x14ac:dyDescent="0.2">
      <c r="A1048" s="10" t="s">
        <v>558</v>
      </c>
      <c r="B1048" t="s">
        <v>116</v>
      </c>
      <c r="C1048" t="s">
        <v>658</v>
      </c>
      <c r="D1048" t="s">
        <v>659</v>
      </c>
      <c r="E1048" s="10" t="b">
        <f>IF(ISERROR(VLOOKUP( LEFT(B1048, LEN(B1048) - IF(ISNUMBER(RIGHT(B1048, 1) * 1), 1, 0)),metadata_testudines!B$1:B$60,1,FALSE)),FALSE,TRUE)</f>
        <v>1</v>
      </c>
      <c r="F1048" t="s">
        <v>660</v>
      </c>
      <c r="G1048" t="s">
        <v>661</v>
      </c>
      <c r="H1048">
        <v>6</v>
      </c>
      <c r="I1048" t="s">
        <v>662</v>
      </c>
      <c r="J1048" t="s">
        <v>663</v>
      </c>
      <c r="K1048" t="s">
        <v>647</v>
      </c>
      <c r="L1048" t="s">
        <v>664</v>
      </c>
      <c r="M1048" t="s">
        <v>664</v>
      </c>
    </row>
    <row r="1049" spans="1:13" hidden="1" x14ac:dyDescent="0.2">
      <c r="A1049" s="10" t="s">
        <v>558</v>
      </c>
      <c r="B1049" t="s">
        <v>116</v>
      </c>
      <c r="C1049" t="s">
        <v>658</v>
      </c>
      <c r="D1049" t="s">
        <v>659</v>
      </c>
      <c r="E1049" s="10" t="b">
        <f>IF(ISERROR(VLOOKUP( LEFT(B1049, LEN(B1049) - IF(ISNUMBER(RIGHT(B1049, 1) * 1), 1, 0)),metadata_testudines!B$1:B$60,1,FALSE)),FALSE,TRUE)</f>
        <v>1</v>
      </c>
      <c r="F1049" t="s">
        <v>681</v>
      </c>
      <c r="G1049" t="s">
        <v>682</v>
      </c>
      <c r="H1049">
        <v>0.93</v>
      </c>
      <c r="I1049" t="s">
        <v>667</v>
      </c>
      <c r="J1049" t="s">
        <v>683</v>
      </c>
      <c r="K1049" t="s">
        <v>645</v>
      </c>
      <c r="L1049" t="s">
        <v>684</v>
      </c>
      <c r="M1049" t="s">
        <v>664</v>
      </c>
    </row>
    <row r="1050" spans="1:13" hidden="1" x14ac:dyDescent="0.2">
      <c r="A1050" s="10" t="s">
        <v>558</v>
      </c>
      <c r="B1050" t="s">
        <v>116</v>
      </c>
      <c r="C1050" t="s">
        <v>658</v>
      </c>
      <c r="D1050" t="s">
        <v>659</v>
      </c>
      <c r="E1050" s="10" t="b">
        <f>IF(ISERROR(VLOOKUP( LEFT(B1050, LEN(B1050) - IF(ISNUMBER(RIGHT(B1050, 1) * 1), 1, 0)),metadata_testudines!B$1:B$60,1,FALSE)),FALSE,TRUE)</f>
        <v>1</v>
      </c>
      <c r="F1050" t="s">
        <v>681</v>
      </c>
      <c r="G1050" t="s">
        <v>685</v>
      </c>
      <c r="H1050">
        <v>0.56999999999999995</v>
      </c>
      <c r="I1050" t="s">
        <v>667</v>
      </c>
      <c r="J1050" t="s">
        <v>683</v>
      </c>
      <c r="K1050" t="s">
        <v>645</v>
      </c>
      <c r="L1050" t="s">
        <v>646</v>
      </c>
      <c r="M1050" t="s">
        <v>664</v>
      </c>
    </row>
    <row r="1051" spans="1:13" hidden="1" x14ac:dyDescent="0.2">
      <c r="A1051" s="10" t="s">
        <v>558</v>
      </c>
      <c r="B1051" t="s">
        <v>116</v>
      </c>
      <c r="C1051" t="s">
        <v>658</v>
      </c>
      <c r="D1051" t="s">
        <v>659</v>
      </c>
      <c r="E1051" s="10" t="b">
        <f>IF(ISERROR(VLOOKUP( LEFT(B1051, LEN(B1051) - IF(ISNUMBER(RIGHT(B1051, 1) * 1), 1, 0)),metadata_testudines!B$1:B$60,1,FALSE)),FALSE,TRUE)</f>
        <v>1</v>
      </c>
      <c r="F1051" t="s">
        <v>681</v>
      </c>
      <c r="G1051" t="s">
        <v>685</v>
      </c>
      <c r="H1051">
        <v>0.56999999999999995</v>
      </c>
      <c r="I1051" t="s">
        <v>667</v>
      </c>
      <c r="J1051" t="s">
        <v>683</v>
      </c>
      <c r="K1051" t="s">
        <v>645</v>
      </c>
      <c r="L1051" t="s">
        <v>646</v>
      </c>
      <c r="M1051" t="s">
        <v>664</v>
      </c>
    </row>
    <row r="1052" spans="1:13" hidden="1" x14ac:dyDescent="0.2">
      <c r="A1052" s="10" t="s">
        <v>558</v>
      </c>
      <c r="B1052" t="s">
        <v>116</v>
      </c>
      <c r="C1052" t="s">
        <v>658</v>
      </c>
      <c r="D1052" t="s">
        <v>659</v>
      </c>
      <c r="E1052" s="10" t="b">
        <f>IF(ISERROR(VLOOKUP( LEFT(B1052, LEN(B1052) - IF(ISNUMBER(RIGHT(B1052, 1) * 1), 1, 0)),metadata_testudines!B$1:B$60,1,FALSE)),FALSE,TRUE)</f>
        <v>1</v>
      </c>
      <c r="F1052" t="s">
        <v>660</v>
      </c>
      <c r="G1052" t="s">
        <v>666</v>
      </c>
      <c r="H1052">
        <v>127</v>
      </c>
      <c r="I1052" t="s">
        <v>667</v>
      </c>
      <c r="J1052" t="s">
        <v>668</v>
      </c>
      <c r="K1052" t="s">
        <v>647</v>
      </c>
      <c r="L1052" t="s">
        <v>664</v>
      </c>
      <c r="M1052" t="s">
        <v>664</v>
      </c>
    </row>
    <row r="1053" spans="1:13" hidden="1" x14ac:dyDescent="0.2">
      <c r="A1053" s="10" t="s">
        <v>558</v>
      </c>
      <c r="B1053" t="s">
        <v>116</v>
      </c>
      <c r="C1053" t="s">
        <v>658</v>
      </c>
      <c r="D1053" t="s">
        <v>659</v>
      </c>
      <c r="E1053" s="10" t="b">
        <f>IF(ISERROR(VLOOKUP( LEFT(B1053, LEN(B1053) - IF(ISNUMBER(RIGHT(B1053, 1) * 1), 1, 0)),metadata_testudines!B$1:B$60,1,FALSE)),FALSE,TRUE)</f>
        <v>1</v>
      </c>
      <c r="F1053" t="s">
        <v>681</v>
      </c>
      <c r="G1053" t="s">
        <v>685</v>
      </c>
      <c r="H1053">
        <v>0.85</v>
      </c>
      <c r="I1053" t="s">
        <v>667</v>
      </c>
      <c r="J1053" t="s">
        <v>683</v>
      </c>
      <c r="K1053" t="s">
        <v>645</v>
      </c>
      <c r="L1053" t="s">
        <v>684</v>
      </c>
      <c r="M1053" t="s">
        <v>664</v>
      </c>
    </row>
    <row r="1054" spans="1:13" hidden="1" x14ac:dyDescent="0.2">
      <c r="A1054" s="10" t="s">
        <v>558</v>
      </c>
      <c r="B1054" t="s">
        <v>116</v>
      </c>
      <c r="C1054" t="s">
        <v>658</v>
      </c>
      <c r="D1054" t="s">
        <v>659</v>
      </c>
      <c r="E1054" s="10" t="b">
        <f>IF(ISERROR(VLOOKUP( LEFT(B1054, LEN(B1054) - IF(ISNUMBER(RIGHT(B1054, 1) * 1), 1, 0)),metadata_testudines!B$1:B$60,1,FALSE)),FALSE,TRUE)</f>
        <v>1</v>
      </c>
      <c r="F1054" t="s">
        <v>681</v>
      </c>
      <c r="G1054" t="s">
        <v>682</v>
      </c>
      <c r="H1054">
        <v>0.7</v>
      </c>
      <c r="I1054" t="s">
        <v>667</v>
      </c>
      <c r="J1054" t="s">
        <v>683</v>
      </c>
      <c r="K1054" t="s">
        <v>645</v>
      </c>
      <c r="L1054" t="s">
        <v>684</v>
      </c>
      <c r="M1054" t="s">
        <v>664</v>
      </c>
    </row>
    <row r="1055" spans="1:13" hidden="1" x14ac:dyDescent="0.2">
      <c r="A1055" s="10" t="s">
        <v>558</v>
      </c>
      <c r="B1055" t="s">
        <v>116</v>
      </c>
      <c r="C1055" t="s">
        <v>658</v>
      </c>
      <c r="D1055" t="s">
        <v>659</v>
      </c>
      <c r="E1055" s="10" t="b">
        <f>IF(ISERROR(VLOOKUP( LEFT(B1055, LEN(B1055) - IF(ISNUMBER(RIGHT(B1055, 1) * 1), 1, 0)),metadata_testudines!B$1:B$60,1,FALSE)),FALSE,TRUE)</f>
        <v>1</v>
      </c>
      <c r="F1055" t="s">
        <v>681</v>
      </c>
      <c r="G1055" t="s">
        <v>682</v>
      </c>
      <c r="H1055">
        <v>0.7</v>
      </c>
      <c r="I1055" t="s">
        <v>667</v>
      </c>
      <c r="J1055" t="s">
        <v>683</v>
      </c>
      <c r="K1055" t="s">
        <v>645</v>
      </c>
      <c r="L1055" t="s">
        <v>684</v>
      </c>
      <c r="M1055" t="s">
        <v>664</v>
      </c>
    </row>
    <row r="1056" spans="1:13" hidden="1" x14ac:dyDescent="0.2">
      <c r="A1056" s="10" t="s">
        <v>558</v>
      </c>
      <c r="B1056" t="s">
        <v>116</v>
      </c>
      <c r="C1056" t="s">
        <v>658</v>
      </c>
      <c r="D1056" t="s">
        <v>659</v>
      </c>
      <c r="E1056" s="10" t="b">
        <f>IF(ISERROR(VLOOKUP( LEFT(B1056, LEN(B1056) - IF(ISNUMBER(RIGHT(B1056, 1) * 1), 1, 0)),metadata_testudines!B$1:B$60,1,FALSE)),FALSE,TRUE)</f>
        <v>1</v>
      </c>
      <c r="F1056" t="s">
        <v>660</v>
      </c>
      <c r="G1056" t="s">
        <v>661</v>
      </c>
      <c r="H1056">
        <v>3.5</v>
      </c>
      <c r="I1056" t="s">
        <v>662</v>
      </c>
      <c r="J1056" t="s">
        <v>663</v>
      </c>
      <c r="K1056" t="s">
        <v>647</v>
      </c>
      <c r="L1056" t="s">
        <v>664</v>
      </c>
      <c r="M1056" t="s">
        <v>664</v>
      </c>
    </row>
    <row r="1057" spans="1:13" hidden="1" x14ac:dyDescent="0.2">
      <c r="A1057" s="10" t="s">
        <v>558</v>
      </c>
      <c r="B1057" t="s">
        <v>116</v>
      </c>
      <c r="C1057" t="s">
        <v>658</v>
      </c>
      <c r="D1057" t="s">
        <v>659</v>
      </c>
      <c r="E1057" s="10" t="b">
        <f>IF(ISERROR(VLOOKUP( LEFT(B1057, LEN(B1057) - IF(ISNUMBER(RIGHT(B1057, 1) * 1), 1, 0)),metadata_testudines!B$1:B$60,1,FALSE)),FALSE,TRUE)</f>
        <v>1</v>
      </c>
      <c r="F1057" t="s">
        <v>681</v>
      </c>
      <c r="G1057" t="s">
        <v>685</v>
      </c>
      <c r="H1057">
        <v>0.93</v>
      </c>
      <c r="I1057" t="s">
        <v>667</v>
      </c>
      <c r="J1057" t="s">
        <v>683</v>
      </c>
      <c r="K1057" t="s">
        <v>645</v>
      </c>
      <c r="L1057" t="s">
        <v>684</v>
      </c>
      <c r="M1057" t="s">
        <v>664</v>
      </c>
    </row>
    <row r="1058" spans="1:13" hidden="1" x14ac:dyDescent="0.2">
      <c r="A1058" s="10" t="s">
        <v>558</v>
      </c>
      <c r="B1058" t="s">
        <v>116</v>
      </c>
      <c r="C1058" t="s">
        <v>658</v>
      </c>
      <c r="D1058" t="s">
        <v>659</v>
      </c>
      <c r="E1058" s="10" t="b">
        <f>IF(ISERROR(VLOOKUP( LEFT(B1058, LEN(B1058) - IF(ISNUMBER(RIGHT(B1058, 1) * 1), 1, 0)),metadata_testudines!B$1:B$60,1,FALSE)),FALSE,TRUE)</f>
        <v>1</v>
      </c>
      <c r="F1058" t="s">
        <v>660</v>
      </c>
      <c r="G1058" t="s">
        <v>675</v>
      </c>
      <c r="H1058">
        <v>4560</v>
      </c>
      <c r="I1058" t="s">
        <v>662</v>
      </c>
      <c r="J1058" t="s">
        <v>670</v>
      </c>
      <c r="K1058" t="s">
        <v>647</v>
      </c>
      <c r="L1058" t="s">
        <v>646</v>
      </c>
      <c r="M1058" t="s">
        <v>664</v>
      </c>
    </row>
    <row r="1059" spans="1:13" hidden="1" x14ac:dyDescent="0.2">
      <c r="A1059" s="10" t="s">
        <v>558</v>
      </c>
      <c r="B1059" t="s">
        <v>116</v>
      </c>
      <c r="C1059" t="s">
        <v>658</v>
      </c>
      <c r="D1059" t="s">
        <v>659</v>
      </c>
      <c r="E1059" s="10" t="b">
        <f>IF(ISERROR(VLOOKUP( LEFT(B1059, LEN(B1059) - IF(ISNUMBER(RIGHT(B1059, 1) * 1), 1, 0)),metadata_testudines!B$1:B$60,1,FALSE)),FALSE,TRUE)</f>
        <v>1</v>
      </c>
      <c r="F1059" t="s">
        <v>671</v>
      </c>
      <c r="G1059" t="s">
        <v>699</v>
      </c>
      <c r="H1059">
        <v>4560</v>
      </c>
      <c r="I1059" t="s">
        <v>662</v>
      </c>
      <c r="J1059" t="s">
        <v>670</v>
      </c>
      <c r="K1059" t="s">
        <v>647</v>
      </c>
      <c r="L1059" t="s">
        <v>677</v>
      </c>
      <c r="M1059" t="s">
        <v>664</v>
      </c>
    </row>
    <row r="1060" spans="1:13" hidden="1" x14ac:dyDescent="0.2">
      <c r="A1060" s="10" t="s">
        <v>558</v>
      </c>
      <c r="B1060" t="s">
        <v>116</v>
      </c>
      <c r="C1060" t="s">
        <v>658</v>
      </c>
      <c r="D1060" t="s">
        <v>659</v>
      </c>
      <c r="E1060" s="10" t="b">
        <f>IF(ISERROR(VLOOKUP( LEFT(B1060, LEN(B1060) - IF(ISNUMBER(RIGHT(B1060, 1) * 1), 1, 0)),metadata_testudines!B$1:B$60,1,FALSE)),FALSE,TRUE)</f>
        <v>1</v>
      </c>
      <c r="F1060" t="s">
        <v>681</v>
      </c>
      <c r="G1060" t="s">
        <v>682</v>
      </c>
      <c r="H1060">
        <v>0.88</v>
      </c>
      <c r="I1060" t="s">
        <v>667</v>
      </c>
      <c r="J1060" t="s">
        <v>683</v>
      </c>
      <c r="K1060" t="s">
        <v>645</v>
      </c>
      <c r="L1060" t="s">
        <v>677</v>
      </c>
      <c r="M1060" t="s">
        <v>664</v>
      </c>
    </row>
    <row r="1061" spans="1:13" hidden="1" x14ac:dyDescent="0.2">
      <c r="A1061" s="10" t="s">
        <v>558</v>
      </c>
      <c r="B1061" t="s">
        <v>116</v>
      </c>
      <c r="C1061" t="s">
        <v>658</v>
      </c>
      <c r="D1061" t="s">
        <v>659</v>
      </c>
      <c r="E1061" s="10" t="b">
        <f>IF(ISERROR(VLOOKUP( LEFT(B1061, LEN(B1061) - IF(ISNUMBER(RIGHT(B1061, 1) * 1), 1, 0)),metadata_testudines!B$1:B$60,1,FALSE)),FALSE,TRUE)</f>
        <v>1</v>
      </c>
      <c r="F1061" t="s">
        <v>671</v>
      </c>
      <c r="G1061" t="s">
        <v>698</v>
      </c>
      <c r="H1061">
        <v>4560</v>
      </c>
      <c r="I1061" t="s">
        <v>662</v>
      </c>
      <c r="J1061" t="s">
        <v>670</v>
      </c>
      <c r="K1061" t="s">
        <v>647</v>
      </c>
      <c r="L1061" t="s">
        <v>646</v>
      </c>
      <c r="M1061" t="s">
        <v>664</v>
      </c>
    </row>
    <row r="1062" spans="1:13" hidden="1" x14ac:dyDescent="0.2">
      <c r="A1062" s="10" t="s">
        <v>558</v>
      </c>
      <c r="B1062" t="s">
        <v>116</v>
      </c>
      <c r="C1062" t="s">
        <v>658</v>
      </c>
      <c r="D1062" t="s">
        <v>659</v>
      </c>
      <c r="E1062" s="10" t="b">
        <f>IF(ISERROR(VLOOKUP( LEFT(B1062, LEN(B1062) - IF(ISNUMBER(RIGHT(B1062, 1) * 1), 1, 0)),metadata_testudines!B$1:B$60,1,FALSE)),FALSE,TRUE)</f>
        <v>1</v>
      </c>
      <c r="F1062" t="s">
        <v>681</v>
      </c>
      <c r="G1062" t="s">
        <v>685</v>
      </c>
      <c r="H1062">
        <v>0.85</v>
      </c>
      <c r="I1062" t="s">
        <v>667</v>
      </c>
      <c r="J1062" t="s">
        <v>683</v>
      </c>
      <c r="K1062" t="s">
        <v>645</v>
      </c>
      <c r="L1062" t="s">
        <v>684</v>
      </c>
      <c r="M1062" t="s">
        <v>664</v>
      </c>
    </row>
    <row r="1063" spans="1:13" hidden="1" x14ac:dyDescent="0.2">
      <c r="A1063" s="10" t="s">
        <v>558</v>
      </c>
      <c r="B1063" t="s">
        <v>116</v>
      </c>
      <c r="C1063" t="s">
        <v>658</v>
      </c>
      <c r="D1063" t="s">
        <v>659</v>
      </c>
      <c r="E1063" s="10" t="b">
        <f>IF(ISERROR(VLOOKUP( LEFT(B1063, LEN(B1063) - IF(ISNUMBER(RIGHT(B1063, 1) * 1), 1, 0)),metadata_testudines!B$1:B$60,1,FALSE)),FALSE,TRUE)</f>
        <v>1</v>
      </c>
      <c r="F1063" t="s">
        <v>701</v>
      </c>
      <c r="G1063" t="s">
        <v>704</v>
      </c>
      <c r="H1063">
        <v>10</v>
      </c>
      <c r="I1063" t="s">
        <v>662</v>
      </c>
      <c r="J1063" t="s">
        <v>670</v>
      </c>
      <c r="K1063" t="s">
        <v>647</v>
      </c>
      <c r="L1063" t="s">
        <v>677</v>
      </c>
      <c r="M1063" t="s">
        <v>664</v>
      </c>
    </row>
    <row r="1064" spans="1:13" hidden="1" x14ac:dyDescent="0.2">
      <c r="A1064" s="10" t="s">
        <v>558</v>
      </c>
      <c r="B1064" t="s">
        <v>116</v>
      </c>
      <c r="C1064" t="s">
        <v>658</v>
      </c>
      <c r="D1064" t="s">
        <v>659</v>
      </c>
      <c r="E1064" s="10" t="b">
        <f>IF(ISERROR(VLOOKUP( LEFT(B1064, LEN(B1064) - IF(ISNUMBER(RIGHT(B1064, 1) * 1), 1, 0)),metadata_testudines!B$1:B$60,1,FALSE)),FALSE,TRUE)</f>
        <v>1</v>
      </c>
      <c r="F1064" t="s">
        <v>660</v>
      </c>
      <c r="G1064" t="s">
        <v>665</v>
      </c>
      <c r="H1064">
        <v>1</v>
      </c>
      <c r="I1064" t="s">
        <v>662</v>
      </c>
      <c r="J1064" t="s">
        <v>663</v>
      </c>
      <c r="K1064" t="s">
        <v>647</v>
      </c>
      <c r="L1064" t="s">
        <v>664</v>
      </c>
      <c r="M1064" t="s">
        <v>664</v>
      </c>
    </row>
    <row r="1065" spans="1:13" hidden="1" x14ac:dyDescent="0.2">
      <c r="A1065" s="10" t="s">
        <v>558</v>
      </c>
      <c r="B1065" t="s">
        <v>116</v>
      </c>
      <c r="C1065" t="s">
        <v>658</v>
      </c>
      <c r="D1065" t="s">
        <v>659</v>
      </c>
      <c r="E1065" s="10" t="b">
        <f>IF(ISERROR(VLOOKUP( LEFT(B1065, LEN(B1065) - IF(ISNUMBER(RIGHT(B1065, 1) * 1), 1, 0)),metadata_testudines!B$1:B$60,1,FALSE)),FALSE,TRUE)</f>
        <v>1</v>
      </c>
      <c r="F1065" t="s">
        <v>681</v>
      </c>
      <c r="G1065" t="s">
        <v>682</v>
      </c>
      <c r="H1065">
        <v>0.85</v>
      </c>
      <c r="I1065" t="s">
        <v>667</v>
      </c>
      <c r="J1065" t="s">
        <v>683</v>
      </c>
      <c r="K1065" t="s">
        <v>645</v>
      </c>
      <c r="L1065" t="s">
        <v>684</v>
      </c>
      <c r="M1065" t="s">
        <v>664</v>
      </c>
    </row>
    <row r="1066" spans="1:13" hidden="1" x14ac:dyDescent="0.2">
      <c r="A1066" s="10" t="s">
        <v>558</v>
      </c>
      <c r="B1066" t="s">
        <v>116</v>
      </c>
      <c r="C1066" t="s">
        <v>658</v>
      </c>
      <c r="D1066" t="s">
        <v>659</v>
      </c>
      <c r="E1066" s="10" t="b">
        <f>IF(ISERROR(VLOOKUP( LEFT(B1066, LEN(B1066) - IF(ISNUMBER(RIGHT(B1066, 1) * 1), 1, 0)),metadata_testudines!B$1:B$60,1,FALSE)),FALSE,TRUE)</f>
        <v>1</v>
      </c>
      <c r="F1066" t="s">
        <v>681</v>
      </c>
      <c r="G1066" t="s">
        <v>682</v>
      </c>
      <c r="H1066">
        <v>0.93</v>
      </c>
      <c r="I1066" t="s">
        <v>667</v>
      </c>
      <c r="J1066" t="s">
        <v>683</v>
      </c>
      <c r="K1066" t="s">
        <v>645</v>
      </c>
      <c r="L1066" t="s">
        <v>684</v>
      </c>
      <c r="M1066" t="s">
        <v>664</v>
      </c>
    </row>
    <row r="1067" spans="1:13" hidden="1" x14ac:dyDescent="0.2">
      <c r="A1067" s="10" t="s">
        <v>558</v>
      </c>
      <c r="B1067" t="s">
        <v>116</v>
      </c>
      <c r="C1067" t="s">
        <v>658</v>
      </c>
      <c r="D1067" t="s">
        <v>659</v>
      </c>
      <c r="E1067" s="10" t="b">
        <f>IF(ISERROR(VLOOKUP( LEFT(B1067, LEN(B1067) - IF(ISNUMBER(RIGHT(B1067, 1) * 1), 1, 0)),metadata_testudines!B$1:B$60,1,FALSE)),FALSE,TRUE)</f>
        <v>1</v>
      </c>
      <c r="F1067" t="s">
        <v>681</v>
      </c>
      <c r="G1067" t="s">
        <v>682</v>
      </c>
      <c r="H1067">
        <v>0.85</v>
      </c>
      <c r="I1067" t="s">
        <v>667</v>
      </c>
      <c r="J1067" t="s">
        <v>683</v>
      </c>
      <c r="K1067" t="s">
        <v>645</v>
      </c>
      <c r="L1067" t="s">
        <v>684</v>
      </c>
      <c r="M1067" t="s">
        <v>664</v>
      </c>
    </row>
    <row r="1068" spans="1:13" hidden="1" x14ac:dyDescent="0.2">
      <c r="A1068" s="10" t="s">
        <v>558</v>
      </c>
      <c r="B1068" t="s">
        <v>116</v>
      </c>
      <c r="C1068" t="s">
        <v>658</v>
      </c>
      <c r="D1068" t="s">
        <v>659</v>
      </c>
      <c r="E1068" s="10" t="b">
        <f>IF(ISERROR(VLOOKUP( LEFT(B1068, LEN(B1068) - IF(ISNUMBER(RIGHT(B1068, 1) * 1), 1, 0)),metadata_testudines!B$1:B$60,1,FALSE)),FALSE,TRUE)</f>
        <v>1</v>
      </c>
      <c r="F1068" t="s">
        <v>660</v>
      </c>
      <c r="G1068" t="s">
        <v>661</v>
      </c>
      <c r="H1068">
        <v>5</v>
      </c>
      <c r="I1068" t="s">
        <v>662</v>
      </c>
      <c r="J1068" t="s">
        <v>663</v>
      </c>
      <c r="K1068" t="s">
        <v>647</v>
      </c>
      <c r="L1068" t="s">
        <v>664</v>
      </c>
      <c r="M1068" t="s">
        <v>664</v>
      </c>
    </row>
    <row r="1069" spans="1:13" hidden="1" x14ac:dyDescent="0.2">
      <c r="A1069" s="10" t="s">
        <v>558</v>
      </c>
      <c r="B1069" t="s">
        <v>116</v>
      </c>
      <c r="C1069" t="s">
        <v>658</v>
      </c>
      <c r="D1069" t="s">
        <v>659</v>
      </c>
      <c r="E1069" s="10" t="b">
        <f>IF(ISERROR(VLOOKUP( LEFT(B1069, LEN(B1069) - IF(ISNUMBER(RIGHT(B1069, 1) * 1), 1, 0)),metadata_testudines!B$1:B$60,1,FALSE)),FALSE,TRUE)</f>
        <v>1</v>
      </c>
      <c r="F1069" t="s">
        <v>681</v>
      </c>
      <c r="G1069" t="s">
        <v>682</v>
      </c>
      <c r="H1069">
        <v>0.56999999999999995</v>
      </c>
      <c r="I1069" t="s">
        <v>667</v>
      </c>
      <c r="J1069" t="s">
        <v>683</v>
      </c>
      <c r="K1069" t="s">
        <v>645</v>
      </c>
      <c r="L1069" t="s">
        <v>646</v>
      </c>
      <c r="M1069" t="s">
        <v>664</v>
      </c>
    </row>
    <row r="1070" spans="1:13" hidden="1" x14ac:dyDescent="0.2">
      <c r="A1070" s="10" t="s">
        <v>558</v>
      </c>
      <c r="B1070" t="s">
        <v>116</v>
      </c>
      <c r="C1070" t="s">
        <v>658</v>
      </c>
      <c r="D1070" t="s">
        <v>659</v>
      </c>
      <c r="E1070" s="10" t="b">
        <f>IF(ISERROR(VLOOKUP( LEFT(B1070, LEN(B1070) - IF(ISNUMBER(RIGHT(B1070, 1) * 1), 1, 0)),metadata_testudines!B$1:B$60,1,FALSE)),FALSE,TRUE)</f>
        <v>1</v>
      </c>
      <c r="F1070" t="s">
        <v>660</v>
      </c>
      <c r="G1070" t="s">
        <v>666</v>
      </c>
      <c r="H1070">
        <v>127</v>
      </c>
      <c r="I1070" t="s">
        <v>667</v>
      </c>
      <c r="J1070" t="s">
        <v>668</v>
      </c>
      <c r="K1070" t="s">
        <v>647</v>
      </c>
      <c r="L1070" t="s">
        <v>664</v>
      </c>
      <c r="M1070" t="s">
        <v>664</v>
      </c>
    </row>
    <row r="1071" spans="1:13" hidden="1" x14ac:dyDescent="0.2">
      <c r="A1071" s="10" t="s">
        <v>558</v>
      </c>
      <c r="B1071" t="s">
        <v>116</v>
      </c>
      <c r="C1071" t="s">
        <v>658</v>
      </c>
      <c r="D1071" t="s">
        <v>659</v>
      </c>
      <c r="E1071" s="10" t="b">
        <f>IF(ISERROR(VLOOKUP( LEFT(B1071, LEN(B1071) - IF(ISNUMBER(RIGHT(B1071, 1) * 1), 1, 0)),metadata_testudines!B$1:B$60,1,FALSE)),FALSE,TRUE)</f>
        <v>1</v>
      </c>
      <c r="F1071" t="s">
        <v>681</v>
      </c>
      <c r="G1071" t="s">
        <v>682</v>
      </c>
      <c r="H1071">
        <v>0.7</v>
      </c>
      <c r="I1071" t="s">
        <v>667</v>
      </c>
      <c r="J1071" t="s">
        <v>683</v>
      </c>
      <c r="K1071" t="s">
        <v>645</v>
      </c>
      <c r="L1071" t="s">
        <v>684</v>
      </c>
      <c r="M1071" t="s">
        <v>664</v>
      </c>
    </row>
    <row r="1072" spans="1:13" hidden="1" x14ac:dyDescent="0.2">
      <c r="A1072" s="10" t="s">
        <v>558</v>
      </c>
      <c r="B1072" t="s">
        <v>116</v>
      </c>
      <c r="C1072" t="s">
        <v>658</v>
      </c>
      <c r="D1072" t="s">
        <v>659</v>
      </c>
      <c r="E1072" s="10" t="b">
        <f>IF(ISERROR(VLOOKUP( LEFT(B1072, LEN(B1072) - IF(ISNUMBER(RIGHT(B1072, 1) * 1), 1, 0)),metadata_testudines!B$1:B$60,1,FALSE)),FALSE,TRUE)</f>
        <v>1</v>
      </c>
      <c r="F1072" t="s">
        <v>660</v>
      </c>
      <c r="G1072" t="s">
        <v>675</v>
      </c>
      <c r="H1072">
        <v>4650</v>
      </c>
      <c r="I1072" t="s">
        <v>662</v>
      </c>
      <c r="J1072" t="s">
        <v>670</v>
      </c>
      <c r="K1072" t="s">
        <v>647</v>
      </c>
      <c r="L1072" t="s">
        <v>646</v>
      </c>
      <c r="M1072" t="s">
        <v>664</v>
      </c>
    </row>
    <row r="1073" spans="1:13" hidden="1" x14ac:dyDescent="0.2">
      <c r="A1073" s="10" t="s">
        <v>558</v>
      </c>
      <c r="B1073" t="s">
        <v>116</v>
      </c>
      <c r="C1073" t="s">
        <v>658</v>
      </c>
      <c r="D1073" t="s">
        <v>659</v>
      </c>
      <c r="E1073" s="10" t="b">
        <f>IF(ISERROR(VLOOKUP( LEFT(B1073, LEN(B1073) - IF(ISNUMBER(RIGHT(B1073, 1) * 1), 1, 0)),metadata_testudines!B$1:B$60,1,FALSE)),FALSE,TRUE)</f>
        <v>1</v>
      </c>
      <c r="F1073" t="s">
        <v>681</v>
      </c>
      <c r="G1073" t="s">
        <v>685</v>
      </c>
      <c r="H1073">
        <v>0.88</v>
      </c>
      <c r="I1073" t="s">
        <v>667</v>
      </c>
      <c r="J1073" t="s">
        <v>683</v>
      </c>
      <c r="K1073" t="s">
        <v>645</v>
      </c>
      <c r="L1073" t="s">
        <v>677</v>
      </c>
      <c r="M1073" t="s">
        <v>664</v>
      </c>
    </row>
    <row r="1074" spans="1:13" hidden="1" x14ac:dyDescent="0.2">
      <c r="A1074" s="10" t="s">
        <v>558</v>
      </c>
      <c r="B1074" t="s">
        <v>116</v>
      </c>
      <c r="C1074" t="s">
        <v>658</v>
      </c>
      <c r="D1074" t="s">
        <v>659</v>
      </c>
      <c r="E1074" s="10" t="b">
        <f>IF(ISERROR(VLOOKUP( LEFT(B1074, LEN(B1074) - IF(ISNUMBER(RIGHT(B1074, 1) * 1), 1, 0)),metadata_testudines!B$1:B$60,1,FALSE)),FALSE,TRUE)</f>
        <v>1</v>
      </c>
      <c r="F1074" t="s">
        <v>681</v>
      </c>
      <c r="G1074" t="s">
        <v>682</v>
      </c>
      <c r="H1074">
        <v>0.88</v>
      </c>
      <c r="I1074" t="s">
        <v>667</v>
      </c>
      <c r="J1074" t="s">
        <v>683</v>
      </c>
      <c r="K1074" t="s">
        <v>645</v>
      </c>
      <c r="L1074" t="s">
        <v>677</v>
      </c>
      <c r="M1074" t="s">
        <v>664</v>
      </c>
    </row>
    <row r="1075" spans="1:13" hidden="1" x14ac:dyDescent="0.2">
      <c r="A1075" s="10" t="s">
        <v>558</v>
      </c>
      <c r="B1075" t="s">
        <v>116</v>
      </c>
      <c r="C1075" t="s">
        <v>658</v>
      </c>
      <c r="D1075" t="s">
        <v>659</v>
      </c>
      <c r="E1075" s="10" t="b">
        <f>IF(ISERROR(VLOOKUP( LEFT(B1075, LEN(B1075) - IF(ISNUMBER(RIGHT(B1075, 1) * 1), 1, 0)),metadata_testudines!B$1:B$60,1,FALSE)),FALSE,TRUE)</f>
        <v>1</v>
      </c>
      <c r="F1075" t="s">
        <v>681</v>
      </c>
      <c r="G1075" t="s">
        <v>682</v>
      </c>
      <c r="H1075">
        <v>0.56999999999999995</v>
      </c>
      <c r="I1075" t="s">
        <v>667</v>
      </c>
      <c r="J1075" t="s">
        <v>683</v>
      </c>
      <c r="K1075" t="s">
        <v>645</v>
      </c>
      <c r="L1075" t="s">
        <v>646</v>
      </c>
      <c r="M1075" t="s">
        <v>664</v>
      </c>
    </row>
    <row r="1076" spans="1:13" hidden="1" x14ac:dyDescent="0.2">
      <c r="A1076" s="10" t="s">
        <v>558</v>
      </c>
      <c r="B1076" t="s">
        <v>116</v>
      </c>
      <c r="C1076" t="s">
        <v>658</v>
      </c>
      <c r="D1076" t="s">
        <v>659</v>
      </c>
      <c r="E1076" s="10" t="b">
        <f>IF(ISERROR(VLOOKUP( LEFT(B1076, LEN(B1076) - IF(ISNUMBER(RIGHT(B1076, 1) * 1), 1, 0)),metadata_testudines!B$1:B$60,1,FALSE)),FALSE,TRUE)</f>
        <v>1</v>
      </c>
      <c r="F1076" t="s">
        <v>681</v>
      </c>
      <c r="G1076" t="s">
        <v>682</v>
      </c>
      <c r="H1076">
        <v>0.85</v>
      </c>
      <c r="I1076" t="s">
        <v>667</v>
      </c>
      <c r="J1076" t="s">
        <v>683</v>
      </c>
      <c r="K1076" t="s">
        <v>645</v>
      </c>
      <c r="L1076" t="s">
        <v>684</v>
      </c>
      <c r="M1076" t="s">
        <v>664</v>
      </c>
    </row>
    <row r="1077" spans="1:13" hidden="1" x14ac:dyDescent="0.2">
      <c r="A1077" s="10" t="s">
        <v>558</v>
      </c>
      <c r="B1077" t="s">
        <v>116</v>
      </c>
      <c r="C1077" t="s">
        <v>658</v>
      </c>
      <c r="D1077" t="s">
        <v>659</v>
      </c>
      <c r="E1077" s="10" t="b">
        <f>IF(ISERROR(VLOOKUP( LEFT(B1077, LEN(B1077) - IF(ISNUMBER(RIGHT(B1077, 1) * 1), 1, 0)),metadata_testudines!B$1:B$60,1,FALSE)),FALSE,TRUE)</f>
        <v>1</v>
      </c>
      <c r="F1077" t="s">
        <v>681</v>
      </c>
      <c r="G1077" t="s">
        <v>685</v>
      </c>
      <c r="H1077">
        <v>0.7</v>
      </c>
      <c r="I1077" t="s">
        <v>667</v>
      </c>
      <c r="J1077" t="s">
        <v>683</v>
      </c>
      <c r="K1077" t="s">
        <v>645</v>
      </c>
      <c r="L1077" t="s">
        <v>684</v>
      </c>
      <c r="M1077" t="s">
        <v>664</v>
      </c>
    </row>
    <row r="1078" spans="1:13" hidden="1" x14ac:dyDescent="0.2">
      <c r="A1078" s="10" t="s">
        <v>558</v>
      </c>
      <c r="B1078" t="s">
        <v>116</v>
      </c>
      <c r="C1078" t="s">
        <v>658</v>
      </c>
      <c r="D1078" t="s">
        <v>659</v>
      </c>
      <c r="E1078" s="10" t="b">
        <f>IF(ISERROR(VLOOKUP( LEFT(B1078, LEN(B1078) - IF(ISNUMBER(RIGHT(B1078, 1) * 1), 1, 0)),metadata_testudines!B$1:B$60,1,FALSE)),FALSE,TRUE)</f>
        <v>1</v>
      </c>
      <c r="F1078" t="s">
        <v>681</v>
      </c>
      <c r="G1078" t="s">
        <v>682</v>
      </c>
      <c r="H1078">
        <v>0.88</v>
      </c>
      <c r="I1078" t="s">
        <v>667</v>
      </c>
      <c r="J1078" t="s">
        <v>683</v>
      </c>
      <c r="K1078" t="s">
        <v>645</v>
      </c>
      <c r="L1078" t="s">
        <v>677</v>
      </c>
      <c r="M1078" t="s">
        <v>664</v>
      </c>
    </row>
    <row r="1079" spans="1:13" hidden="1" x14ac:dyDescent="0.2">
      <c r="A1079" s="10" t="s">
        <v>558</v>
      </c>
      <c r="B1079" t="s">
        <v>116</v>
      </c>
      <c r="C1079" t="s">
        <v>658</v>
      </c>
      <c r="D1079" t="s">
        <v>659</v>
      </c>
      <c r="E1079" s="10" t="b">
        <f>IF(ISERROR(VLOOKUP( LEFT(B1079, LEN(B1079) - IF(ISNUMBER(RIGHT(B1079, 1) * 1), 1, 0)),metadata_testudines!B$1:B$60,1,FALSE)),FALSE,TRUE)</f>
        <v>1</v>
      </c>
      <c r="F1079" t="s">
        <v>660</v>
      </c>
      <c r="G1079" t="s">
        <v>661</v>
      </c>
      <c r="H1079">
        <v>3</v>
      </c>
      <c r="I1079" t="s">
        <v>662</v>
      </c>
      <c r="J1079" t="s">
        <v>663</v>
      </c>
      <c r="K1079" t="s">
        <v>647</v>
      </c>
      <c r="L1079" t="s">
        <v>664</v>
      </c>
      <c r="M1079" t="s">
        <v>664</v>
      </c>
    </row>
    <row r="1080" spans="1:13" hidden="1" x14ac:dyDescent="0.2">
      <c r="A1080" s="10" t="s">
        <v>558</v>
      </c>
      <c r="B1080" t="s">
        <v>116</v>
      </c>
      <c r="C1080" t="s">
        <v>658</v>
      </c>
      <c r="D1080" t="s">
        <v>659</v>
      </c>
      <c r="E1080" s="10" t="b">
        <f>IF(ISERROR(VLOOKUP( LEFT(B1080, LEN(B1080) - IF(ISNUMBER(RIGHT(B1080, 1) * 1), 1, 0)),metadata_testudines!B$1:B$60,1,FALSE)),FALSE,TRUE)</f>
        <v>1</v>
      </c>
      <c r="F1080" t="s">
        <v>681</v>
      </c>
      <c r="G1080" t="s">
        <v>682</v>
      </c>
      <c r="H1080">
        <v>0.56999999999999995</v>
      </c>
      <c r="I1080" t="s">
        <v>667</v>
      </c>
      <c r="J1080" t="s">
        <v>683</v>
      </c>
      <c r="K1080" t="s">
        <v>645</v>
      </c>
      <c r="L1080" t="s">
        <v>646</v>
      </c>
      <c r="M1080" t="s">
        <v>664</v>
      </c>
    </row>
    <row r="1081" spans="1:13" hidden="1" x14ac:dyDescent="0.2">
      <c r="A1081" s="10" t="s">
        <v>558</v>
      </c>
      <c r="B1081" t="s">
        <v>116</v>
      </c>
      <c r="C1081" t="s">
        <v>658</v>
      </c>
      <c r="D1081" t="s">
        <v>659</v>
      </c>
      <c r="E1081" s="10" t="b">
        <f>IF(ISERROR(VLOOKUP( LEFT(B1081, LEN(B1081) - IF(ISNUMBER(RIGHT(B1081, 1) * 1), 1, 0)),metadata_testudines!B$1:B$60,1,FALSE)),FALSE,TRUE)</f>
        <v>1</v>
      </c>
      <c r="F1081" t="s">
        <v>681</v>
      </c>
      <c r="G1081" t="s">
        <v>682</v>
      </c>
      <c r="H1081">
        <v>0.85</v>
      </c>
      <c r="I1081" t="s">
        <v>667</v>
      </c>
      <c r="J1081" t="s">
        <v>683</v>
      </c>
      <c r="K1081" t="s">
        <v>645</v>
      </c>
      <c r="L1081" t="s">
        <v>684</v>
      </c>
      <c r="M1081" t="s">
        <v>664</v>
      </c>
    </row>
    <row r="1082" spans="1:13" hidden="1" x14ac:dyDescent="0.2">
      <c r="A1082" s="10" t="s">
        <v>558</v>
      </c>
      <c r="B1082" t="s">
        <v>116</v>
      </c>
      <c r="C1082" t="s">
        <v>658</v>
      </c>
      <c r="D1082" t="s">
        <v>659</v>
      </c>
      <c r="E1082" s="10" t="b">
        <f>IF(ISERROR(VLOOKUP( LEFT(B1082, LEN(B1082) - IF(ISNUMBER(RIGHT(B1082, 1) * 1), 1, 0)),metadata_testudines!B$1:B$60,1,FALSE)),FALSE,TRUE)</f>
        <v>1</v>
      </c>
      <c r="F1082" t="s">
        <v>660</v>
      </c>
      <c r="G1082" t="s">
        <v>661</v>
      </c>
      <c r="H1082">
        <v>5.8832116790000004</v>
      </c>
      <c r="I1082" t="s">
        <v>662</v>
      </c>
      <c r="J1082" t="s">
        <v>663</v>
      </c>
      <c r="K1082" t="s">
        <v>647</v>
      </c>
      <c r="L1082" t="s">
        <v>664</v>
      </c>
      <c r="M1082" t="s">
        <v>664</v>
      </c>
    </row>
    <row r="1083" spans="1:13" hidden="1" x14ac:dyDescent="0.2">
      <c r="A1083" s="10" t="s">
        <v>558</v>
      </c>
      <c r="B1083" t="s">
        <v>116</v>
      </c>
      <c r="C1083" t="s">
        <v>658</v>
      </c>
      <c r="D1083" t="s">
        <v>659</v>
      </c>
      <c r="E1083" s="10" t="b">
        <f>IF(ISERROR(VLOOKUP( LEFT(B1083, LEN(B1083) - IF(ISNUMBER(RIGHT(B1083, 1) * 1), 1, 0)),metadata_testudines!B$1:B$60,1,FALSE)),FALSE,TRUE)</f>
        <v>1</v>
      </c>
      <c r="F1083" t="s">
        <v>681</v>
      </c>
      <c r="G1083" t="s">
        <v>682</v>
      </c>
      <c r="H1083">
        <v>0.93</v>
      </c>
      <c r="I1083" t="s">
        <v>667</v>
      </c>
      <c r="J1083" t="s">
        <v>683</v>
      </c>
      <c r="K1083" t="s">
        <v>645</v>
      </c>
      <c r="L1083" t="s">
        <v>684</v>
      </c>
      <c r="M1083" t="s">
        <v>664</v>
      </c>
    </row>
    <row r="1084" spans="1:13" hidden="1" x14ac:dyDescent="0.2">
      <c r="A1084" s="10" t="s">
        <v>558</v>
      </c>
      <c r="B1084" t="s">
        <v>116</v>
      </c>
      <c r="C1084" t="s">
        <v>658</v>
      </c>
      <c r="D1084" t="s">
        <v>659</v>
      </c>
      <c r="E1084" s="10" t="b">
        <f>IF(ISERROR(VLOOKUP( LEFT(B1084, LEN(B1084) - IF(ISNUMBER(RIGHT(B1084, 1) * 1), 1, 0)),metadata_testudines!B$1:B$60,1,FALSE)),FALSE,TRUE)</f>
        <v>1</v>
      </c>
      <c r="F1084" t="s">
        <v>660</v>
      </c>
      <c r="G1084" t="s">
        <v>661</v>
      </c>
      <c r="H1084">
        <v>2</v>
      </c>
      <c r="I1084" t="s">
        <v>662</v>
      </c>
      <c r="J1084" t="s">
        <v>663</v>
      </c>
      <c r="K1084" t="s">
        <v>647</v>
      </c>
      <c r="L1084" t="s">
        <v>664</v>
      </c>
      <c r="M1084" t="s">
        <v>664</v>
      </c>
    </row>
    <row r="1085" spans="1:13" hidden="1" x14ac:dyDescent="0.2">
      <c r="A1085" s="10" t="s">
        <v>558</v>
      </c>
      <c r="B1085" t="s">
        <v>116</v>
      </c>
      <c r="C1085" t="s">
        <v>658</v>
      </c>
      <c r="D1085" t="s">
        <v>659</v>
      </c>
      <c r="E1085" s="10" t="b">
        <f>IF(ISERROR(VLOOKUP( LEFT(B1085, LEN(B1085) - IF(ISNUMBER(RIGHT(B1085, 1) * 1), 1, 0)),metadata_testudines!B$1:B$60,1,FALSE)),FALSE,TRUE)</f>
        <v>1</v>
      </c>
      <c r="F1085" t="s">
        <v>681</v>
      </c>
      <c r="G1085" t="s">
        <v>682</v>
      </c>
      <c r="H1085">
        <v>0.7</v>
      </c>
      <c r="I1085" t="s">
        <v>667</v>
      </c>
      <c r="J1085" t="s">
        <v>683</v>
      </c>
      <c r="K1085" t="s">
        <v>645</v>
      </c>
      <c r="L1085" t="s">
        <v>684</v>
      </c>
      <c r="M1085" t="s">
        <v>664</v>
      </c>
    </row>
    <row r="1086" spans="1:13" hidden="1" x14ac:dyDescent="0.2">
      <c r="A1086" s="10" t="s">
        <v>558</v>
      </c>
      <c r="B1086" t="s">
        <v>116</v>
      </c>
      <c r="C1086" t="s">
        <v>658</v>
      </c>
      <c r="D1086" t="s">
        <v>659</v>
      </c>
      <c r="E1086" s="10" t="b">
        <f>IF(ISERROR(VLOOKUP( LEFT(B1086, LEN(B1086) - IF(ISNUMBER(RIGHT(B1086, 1) * 1), 1, 0)),metadata_testudines!B$1:B$60,1,FALSE)),FALSE,TRUE)</f>
        <v>1</v>
      </c>
      <c r="F1086" t="s">
        <v>660</v>
      </c>
      <c r="G1086" t="s">
        <v>661</v>
      </c>
      <c r="H1086">
        <v>4.4705882350000001</v>
      </c>
      <c r="I1086" t="s">
        <v>662</v>
      </c>
      <c r="J1086" t="s">
        <v>663</v>
      </c>
      <c r="K1086" t="s">
        <v>647</v>
      </c>
      <c r="L1086" t="s">
        <v>664</v>
      </c>
      <c r="M1086" t="s">
        <v>664</v>
      </c>
    </row>
    <row r="1087" spans="1:13" hidden="1" x14ac:dyDescent="0.2">
      <c r="A1087" s="10" t="s">
        <v>558</v>
      </c>
      <c r="B1087" t="s">
        <v>116</v>
      </c>
      <c r="C1087" t="s">
        <v>658</v>
      </c>
      <c r="D1087" t="s">
        <v>659</v>
      </c>
      <c r="E1087" s="10" t="b">
        <f>IF(ISERROR(VLOOKUP( LEFT(B1087, LEN(B1087) - IF(ISNUMBER(RIGHT(B1087, 1) * 1), 1, 0)),metadata_testudines!B$1:B$60,1,FALSE)),FALSE,TRUE)</f>
        <v>1</v>
      </c>
      <c r="F1087" t="s">
        <v>681</v>
      </c>
      <c r="G1087" t="s">
        <v>685</v>
      </c>
      <c r="H1087">
        <v>0.56999999999999995</v>
      </c>
      <c r="I1087" t="s">
        <v>667</v>
      </c>
      <c r="J1087" t="s">
        <v>683</v>
      </c>
      <c r="K1087" t="s">
        <v>645</v>
      </c>
      <c r="L1087" t="s">
        <v>646</v>
      </c>
      <c r="M1087" t="s">
        <v>664</v>
      </c>
    </row>
    <row r="1088" spans="1:13" hidden="1" x14ac:dyDescent="0.2">
      <c r="A1088" s="10" t="s">
        <v>558</v>
      </c>
      <c r="B1088" t="s">
        <v>116</v>
      </c>
      <c r="C1088" t="s">
        <v>658</v>
      </c>
      <c r="D1088" t="s">
        <v>659</v>
      </c>
      <c r="E1088" s="10" t="b">
        <f>IF(ISERROR(VLOOKUP( LEFT(B1088, LEN(B1088) - IF(ISNUMBER(RIGHT(B1088, 1) * 1), 1, 0)),metadata_testudines!B$1:B$60,1,FALSE)),FALSE,TRUE)</f>
        <v>1</v>
      </c>
      <c r="F1088" t="s">
        <v>660</v>
      </c>
      <c r="G1088" t="s">
        <v>669</v>
      </c>
      <c r="H1088">
        <v>3287.16</v>
      </c>
      <c r="I1088" t="s">
        <v>662</v>
      </c>
      <c r="J1088" t="s">
        <v>670</v>
      </c>
      <c r="K1088" t="s">
        <v>647</v>
      </c>
      <c r="L1088" t="s">
        <v>647</v>
      </c>
      <c r="M1088" t="s">
        <v>664</v>
      </c>
    </row>
    <row r="1089" spans="1:13" hidden="1" x14ac:dyDescent="0.2">
      <c r="A1089" s="10" t="s">
        <v>558</v>
      </c>
      <c r="B1089" t="s">
        <v>116</v>
      </c>
      <c r="C1089" t="s">
        <v>658</v>
      </c>
      <c r="D1089" t="s">
        <v>659</v>
      </c>
      <c r="E1089" s="10" t="b">
        <f>IF(ISERROR(VLOOKUP( LEFT(B1089, LEN(B1089) - IF(ISNUMBER(RIGHT(B1089, 1) * 1), 1, 0)),metadata_testudines!B$1:B$60,1,FALSE)),FALSE,TRUE)</f>
        <v>1</v>
      </c>
      <c r="F1089" t="s">
        <v>660</v>
      </c>
      <c r="G1089" t="s">
        <v>669</v>
      </c>
      <c r="H1089">
        <v>4382.88</v>
      </c>
      <c r="I1089" t="s">
        <v>662</v>
      </c>
      <c r="J1089" t="s">
        <v>670</v>
      </c>
      <c r="K1089" t="s">
        <v>647</v>
      </c>
      <c r="L1089" t="s">
        <v>647</v>
      </c>
      <c r="M1089" t="s">
        <v>664</v>
      </c>
    </row>
    <row r="1090" spans="1:13" hidden="1" x14ac:dyDescent="0.2">
      <c r="A1090" s="10" t="s">
        <v>558</v>
      </c>
      <c r="B1090" t="s">
        <v>116</v>
      </c>
      <c r="C1090" t="s">
        <v>658</v>
      </c>
      <c r="D1090" t="s">
        <v>659</v>
      </c>
      <c r="E1090" s="10" t="b">
        <f>IF(ISERROR(VLOOKUP( LEFT(B1090, LEN(B1090) - IF(ISNUMBER(RIGHT(B1090, 1) * 1), 1, 0)),metadata_testudines!B$1:B$60,1,FALSE)),FALSE,TRUE)</f>
        <v>1</v>
      </c>
      <c r="F1090" t="s">
        <v>660</v>
      </c>
      <c r="G1090" t="s">
        <v>661</v>
      </c>
      <c r="H1090">
        <v>5</v>
      </c>
      <c r="I1090" t="s">
        <v>662</v>
      </c>
      <c r="J1090" t="s">
        <v>663</v>
      </c>
      <c r="K1090" t="s">
        <v>647</v>
      </c>
      <c r="L1090" t="s">
        <v>664</v>
      </c>
      <c r="M1090" t="s">
        <v>664</v>
      </c>
    </row>
    <row r="1091" spans="1:13" hidden="1" x14ac:dyDescent="0.2">
      <c r="A1091" s="10" t="s">
        <v>558</v>
      </c>
      <c r="B1091" t="s">
        <v>116</v>
      </c>
      <c r="C1091" t="s">
        <v>658</v>
      </c>
      <c r="D1091" t="s">
        <v>659</v>
      </c>
      <c r="E1091" s="10" t="b">
        <f>IF(ISERROR(VLOOKUP( LEFT(B1091, LEN(B1091) - IF(ISNUMBER(RIGHT(B1091, 1) * 1), 1, 0)),metadata_testudines!B$1:B$60,1,FALSE)),FALSE,TRUE)</f>
        <v>1</v>
      </c>
      <c r="F1091" t="s">
        <v>681</v>
      </c>
      <c r="G1091" t="s">
        <v>685</v>
      </c>
      <c r="H1091">
        <v>0.93</v>
      </c>
      <c r="I1091" t="s">
        <v>667</v>
      </c>
      <c r="J1091" t="s">
        <v>683</v>
      </c>
      <c r="K1091" t="s">
        <v>645</v>
      </c>
      <c r="L1091" t="s">
        <v>684</v>
      </c>
      <c r="M1091" t="s">
        <v>664</v>
      </c>
    </row>
    <row r="1092" spans="1:13" hidden="1" x14ac:dyDescent="0.2">
      <c r="A1092" s="10" t="s">
        <v>558</v>
      </c>
      <c r="B1092" t="s">
        <v>116</v>
      </c>
      <c r="C1092" t="s">
        <v>658</v>
      </c>
      <c r="D1092" t="s">
        <v>659</v>
      </c>
      <c r="E1092" s="10" t="b">
        <f>IF(ISERROR(VLOOKUP( LEFT(B1092, LEN(B1092) - IF(ISNUMBER(RIGHT(B1092, 1) * 1), 1, 0)),metadata_testudines!B$1:B$60,1,FALSE)),FALSE,TRUE)</f>
        <v>1</v>
      </c>
      <c r="F1092" t="s">
        <v>681</v>
      </c>
      <c r="G1092" t="s">
        <v>682</v>
      </c>
      <c r="H1092">
        <v>0.7</v>
      </c>
      <c r="I1092" t="s">
        <v>667</v>
      </c>
      <c r="J1092" t="s">
        <v>683</v>
      </c>
      <c r="K1092" t="s">
        <v>645</v>
      </c>
      <c r="L1092" t="s">
        <v>684</v>
      </c>
      <c r="M1092" t="s">
        <v>664</v>
      </c>
    </row>
    <row r="1093" spans="1:13" hidden="1" x14ac:dyDescent="0.2">
      <c r="A1093" s="10" t="s">
        <v>558</v>
      </c>
      <c r="B1093" t="s">
        <v>116</v>
      </c>
      <c r="C1093" t="s">
        <v>658</v>
      </c>
      <c r="D1093" t="s">
        <v>659</v>
      </c>
      <c r="E1093" s="10" t="b">
        <f>IF(ISERROR(VLOOKUP( LEFT(B1093, LEN(B1093) - IF(ISNUMBER(RIGHT(B1093, 1) * 1), 1, 0)),metadata_testudines!B$1:B$60,1,FALSE)),FALSE,TRUE)</f>
        <v>1</v>
      </c>
      <c r="F1093" t="s">
        <v>681</v>
      </c>
      <c r="G1093" t="s">
        <v>685</v>
      </c>
      <c r="H1093">
        <v>0.85</v>
      </c>
      <c r="I1093" t="s">
        <v>667</v>
      </c>
      <c r="J1093" t="s">
        <v>683</v>
      </c>
      <c r="K1093" t="s">
        <v>645</v>
      </c>
      <c r="L1093" t="s">
        <v>684</v>
      </c>
      <c r="M1093" t="s">
        <v>664</v>
      </c>
    </row>
    <row r="1094" spans="1:13" hidden="1" x14ac:dyDescent="0.2">
      <c r="A1094" s="10" t="s">
        <v>558</v>
      </c>
      <c r="B1094" t="s">
        <v>116</v>
      </c>
      <c r="C1094" t="s">
        <v>658</v>
      </c>
      <c r="D1094" t="s">
        <v>659</v>
      </c>
      <c r="E1094" s="10" t="b">
        <f>IF(ISERROR(VLOOKUP( LEFT(B1094, LEN(B1094) - IF(ISNUMBER(RIGHT(B1094, 1) * 1), 1, 0)),metadata_testudines!B$1:B$60,1,FALSE)),FALSE,TRUE)</f>
        <v>1</v>
      </c>
      <c r="F1094" t="s">
        <v>681</v>
      </c>
      <c r="G1094" t="s">
        <v>685</v>
      </c>
      <c r="H1094">
        <v>0.56999999999999995</v>
      </c>
      <c r="I1094" t="s">
        <v>667</v>
      </c>
      <c r="J1094" t="s">
        <v>683</v>
      </c>
      <c r="K1094" t="s">
        <v>645</v>
      </c>
      <c r="L1094" t="s">
        <v>646</v>
      </c>
      <c r="M1094" t="s">
        <v>664</v>
      </c>
    </row>
    <row r="1095" spans="1:13" hidden="1" x14ac:dyDescent="0.2">
      <c r="A1095" s="10" t="s">
        <v>558</v>
      </c>
      <c r="B1095" t="s">
        <v>116</v>
      </c>
      <c r="C1095" t="s">
        <v>658</v>
      </c>
      <c r="D1095" t="s">
        <v>659</v>
      </c>
      <c r="E1095" s="10" t="b">
        <f>IF(ISERROR(VLOOKUP( LEFT(B1095, LEN(B1095) - IF(ISNUMBER(RIGHT(B1095, 1) * 1), 1, 0)),metadata_testudines!B$1:B$60,1,FALSE)),FALSE,TRUE)</f>
        <v>1</v>
      </c>
      <c r="F1095" t="s">
        <v>681</v>
      </c>
      <c r="G1095" t="s">
        <v>685</v>
      </c>
      <c r="H1095">
        <v>0.93</v>
      </c>
      <c r="I1095" t="s">
        <v>667</v>
      </c>
      <c r="J1095" t="s">
        <v>683</v>
      </c>
      <c r="K1095" t="s">
        <v>645</v>
      </c>
      <c r="L1095" t="s">
        <v>684</v>
      </c>
      <c r="M1095" t="s">
        <v>664</v>
      </c>
    </row>
    <row r="1096" spans="1:13" hidden="1" x14ac:dyDescent="0.2">
      <c r="A1096" s="10" t="s">
        <v>558</v>
      </c>
      <c r="B1096" t="s">
        <v>116</v>
      </c>
      <c r="C1096" t="s">
        <v>658</v>
      </c>
      <c r="D1096" t="s">
        <v>659</v>
      </c>
      <c r="E1096" s="10" t="b">
        <f>IF(ISERROR(VLOOKUP( LEFT(B1096, LEN(B1096) - IF(ISNUMBER(RIGHT(B1096, 1) * 1), 1, 0)),metadata_testudines!B$1:B$60,1,FALSE)),FALSE,TRUE)</f>
        <v>1</v>
      </c>
      <c r="F1096" t="s">
        <v>681</v>
      </c>
      <c r="G1096" t="s">
        <v>682</v>
      </c>
      <c r="H1096">
        <v>0.7</v>
      </c>
      <c r="I1096" t="s">
        <v>667</v>
      </c>
      <c r="J1096" t="s">
        <v>683</v>
      </c>
      <c r="K1096" t="s">
        <v>645</v>
      </c>
      <c r="L1096" t="s">
        <v>684</v>
      </c>
      <c r="M1096" t="s">
        <v>664</v>
      </c>
    </row>
    <row r="1097" spans="1:13" hidden="1" x14ac:dyDescent="0.2">
      <c r="A1097" s="10" t="s">
        <v>558</v>
      </c>
      <c r="B1097" t="s">
        <v>116</v>
      </c>
      <c r="C1097" t="s">
        <v>658</v>
      </c>
      <c r="D1097" t="s">
        <v>659</v>
      </c>
      <c r="E1097" s="10" t="b">
        <f>IF(ISERROR(VLOOKUP( LEFT(B1097, LEN(B1097) - IF(ISNUMBER(RIGHT(B1097, 1) * 1), 1, 0)),metadata_testudines!B$1:B$60,1,FALSE)),FALSE,TRUE)</f>
        <v>1</v>
      </c>
      <c r="F1097" t="s">
        <v>681</v>
      </c>
      <c r="G1097" t="s">
        <v>685</v>
      </c>
      <c r="H1097">
        <v>0.85</v>
      </c>
      <c r="I1097" t="s">
        <v>667</v>
      </c>
      <c r="J1097" t="s">
        <v>683</v>
      </c>
      <c r="K1097" t="s">
        <v>645</v>
      </c>
      <c r="L1097" t="s">
        <v>684</v>
      </c>
      <c r="M1097" t="s">
        <v>664</v>
      </c>
    </row>
    <row r="1098" spans="1:13" hidden="1" x14ac:dyDescent="0.2">
      <c r="A1098" s="10" t="s">
        <v>558</v>
      </c>
      <c r="B1098" t="s">
        <v>116</v>
      </c>
      <c r="C1098" t="s">
        <v>658</v>
      </c>
      <c r="D1098" t="s">
        <v>659</v>
      </c>
      <c r="E1098" s="10" t="b">
        <f>IF(ISERROR(VLOOKUP( LEFT(B1098, LEN(B1098) - IF(ISNUMBER(RIGHT(B1098, 1) * 1), 1, 0)),metadata_testudines!B$1:B$60,1,FALSE)),FALSE,TRUE)</f>
        <v>1</v>
      </c>
      <c r="F1098" t="s">
        <v>681</v>
      </c>
      <c r="G1098" t="s">
        <v>682</v>
      </c>
      <c r="H1098">
        <v>0.56999999999999995</v>
      </c>
      <c r="I1098" t="s">
        <v>667</v>
      </c>
      <c r="J1098" t="s">
        <v>683</v>
      </c>
      <c r="K1098" t="s">
        <v>645</v>
      </c>
      <c r="L1098" t="s">
        <v>646</v>
      </c>
      <c r="M1098" t="s">
        <v>664</v>
      </c>
    </row>
    <row r="1099" spans="1:13" hidden="1" x14ac:dyDescent="0.2">
      <c r="A1099" s="10" t="s">
        <v>558</v>
      </c>
      <c r="B1099" t="s">
        <v>116</v>
      </c>
      <c r="C1099" t="s">
        <v>658</v>
      </c>
      <c r="D1099" t="s">
        <v>659</v>
      </c>
      <c r="E1099" s="10" t="b">
        <f>IF(ISERROR(VLOOKUP( LEFT(B1099, LEN(B1099) - IF(ISNUMBER(RIGHT(B1099, 1) * 1), 1, 0)),metadata_testudines!B$1:B$60,1,FALSE)),FALSE,TRUE)</f>
        <v>1</v>
      </c>
      <c r="F1099" t="s">
        <v>681</v>
      </c>
      <c r="G1099" t="s">
        <v>682</v>
      </c>
      <c r="H1099">
        <v>0.93</v>
      </c>
      <c r="I1099" t="s">
        <v>667</v>
      </c>
      <c r="J1099" t="s">
        <v>683</v>
      </c>
      <c r="K1099" t="s">
        <v>645</v>
      </c>
      <c r="L1099" t="s">
        <v>684</v>
      </c>
      <c r="M1099" t="s">
        <v>664</v>
      </c>
    </row>
    <row r="1100" spans="1:13" hidden="1" x14ac:dyDescent="0.2">
      <c r="A1100" s="10" t="s">
        <v>558</v>
      </c>
      <c r="B1100" t="s">
        <v>116</v>
      </c>
      <c r="C1100" t="s">
        <v>658</v>
      </c>
      <c r="D1100" t="s">
        <v>659</v>
      </c>
      <c r="E1100" s="10" t="b">
        <f>IF(ISERROR(VLOOKUP( LEFT(B1100, LEN(B1100) - IF(ISNUMBER(RIGHT(B1100, 1) * 1), 1, 0)),metadata_testudines!B$1:B$60,1,FALSE)),FALSE,TRUE)</f>
        <v>1</v>
      </c>
      <c r="F1100" t="s">
        <v>681</v>
      </c>
      <c r="G1100" t="s">
        <v>685</v>
      </c>
      <c r="H1100">
        <v>0.93</v>
      </c>
      <c r="I1100" t="s">
        <v>667</v>
      </c>
      <c r="J1100" t="s">
        <v>683</v>
      </c>
      <c r="K1100" t="s">
        <v>645</v>
      </c>
      <c r="L1100" t="s">
        <v>684</v>
      </c>
      <c r="M1100" t="s">
        <v>664</v>
      </c>
    </row>
    <row r="1101" spans="1:13" hidden="1" x14ac:dyDescent="0.2">
      <c r="A1101" s="10" t="s">
        <v>558</v>
      </c>
      <c r="B1101" t="s">
        <v>116</v>
      </c>
      <c r="C1101" t="s">
        <v>658</v>
      </c>
      <c r="D1101" t="s">
        <v>659</v>
      </c>
      <c r="E1101" s="10" t="b">
        <f>IF(ISERROR(VLOOKUP( LEFT(B1101, LEN(B1101) - IF(ISNUMBER(RIGHT(B1101, 1) * 1), 1, 0)),metadata_testudines!B$1:B$60,1,FALSE)),FALSE,TRUE)</f>
        <v>1</v>
      </c>
      <c r="F1101" t="s">
        <v>681</v>
      </c>
      <c r="G1101" t="s">
        <v>682</v>
      </c>
      <c r="H1101">
        <v>0.85</v>
      </c>
      <c r="I1101" t="s">
        <v>667</v>
      </c>
      <c r="J1101" t="s">
        <v>683</v>
      </c>
      <c r="K1101" t="s">
        <v>645</v>
      </c>
      <c r="L1101" t="s">
        <v>684</v>
      </c>
      <c r="M1101" t="s">
        <v>664</v>
      </c>
    </row>
    <row r="1102" spans="1:13" hidden="1" x14ac:dyDescent="0.2">
      <c r="A1102" s="10" t="s">
        <v>558</v>
      </c>
      <c r="B1102" t="s">
        <v>116</v>
      </c>
      <c r="C1102" t="s">
        <v>658</v>
      </c>
      <c r="D1102" t="s">
        <v>659</v>
      </c>
      <c r="E1102" s="10" t="b">
        <f>IF(ISERROR(VLOOKUP( LEFT(B1102, LEN(B1102) - IF(ISNUMBER(RIGHT(B1102, 1) * 1), 1, 0)),metadata_testudines!B$1:B$60,1,FALSE)),FALSE,TRUE)</f>
        <v>1</v>
      </c>
      <c r="F1102" t="s">
        <v>701</v>
      </c>
      <c r="G1102" t="s">
        <v>705</v>
      </c>
      <c r="H1102">
        <v>7</v>
      </c>
      <c r="I1102" t="s">
        <v>662</v>
      </c>
      <c r="J1102" t="s">
        <v>670</v>
      </c>
      <c r="K1102" t="s">
        <v>647</v>
      </c>
      <c r="L1102" t="s">
        <v>646</v>
      </c>
      <c r="M1102" t="s">
        <v>664</v>
      </c>
    </row>
    <row r="1103" spans="1:13" hidden="1" x14ac:dyDescent="0.2">
      <c r="A1103" s="10" t="s">
        <v>558</v>
      </c>
      <c r="B1103" t="s">
        <v>116</v>
      </c>
      <c r="C1103" t="s">
        <v>658</v>
      </c>
      <c r="D1103" t="s">
        <v>659</v>
      </c>
      <c r="E1103" s="10" t="b">
        <f>IF(ISERROR(VLOOKUP( LEFT(B1103, LEN(B1103) - IF(ISNUMBER(RIGHT(B1103, 1) * 1), 1, 0)),metadata_testudines!B$1:B$60,1,FALSE)),FALSE,TRUE)</f>
        <v>1</v>
      </c>
      <c r="F1103" t="s">
        <v>681</v>
      </c>
      <c r="G1103" t="s">
        <v>682</v>
      </c>
      <c r="H1103">
        <v>0.93</v>
      </c>
      <c r="I1103" t="s">
        <v>667</v>
      </c>
      <c r="J1103" t="s">
        <v>683</v>
      </c>
      <c r="K1103" t="s">
        <v>645</v>
      </c>
      <c r="L1103" t="s">
        <v>684</v>
      </c>
      <c r="M1103" t="s">
        <v>664</v>
      </c>
    </row>
    <row r="1104" spans="1:13" hidden="1" x14ac:dyDescent="0.2">
      <c r="A1104" s="10" t="s">
        <v>558</v>
      </c>
      <c r="B1104" t="s">
        <v>116</v>
      </c>
      <c r="C1104" t="s">
        <v>658</v>
      </c>
      <c r="D1104" t="s">
        <v>659</v>
      </c>
      <c r="E1104" s="10" t="b">
        <f>IF(ISERROR(VLOOKUP( LEFT(B1104, LEN(B1104) - IF(ISNUMBER(RIGHT(B1104, 1) * 1), 1, 0)),metadata_testudines!B$1:B$60,1,FALSE)),FALSE,TRUE)</f>
        <v>1</v>
      </c>
      <c r="F1104" t="s">
        <v>681</v>
      </c>
      <c r="G1104" t="s">
        <v>685</v>
      </c>
      <c r="H1104">
        <v>0.93</v>
      </c>
      <c r="I1104" t="s">
        <v>667</v>
      </c>
      <c r="J1104" t="s">
        <v>683</v>
      </c>
      <c r="K1104" t="s">
        <v>645</v>
      </c>
      <c r="L1104" t="s">
        <v>684</v>
      </c>
      <c r="M1104" t="s">
        <v>664</v>
      </c>
    </row>
    <row r="1105" spans="1:13" hidden="1" x14ac:dyDescent="0.2">
      <c r="A1105" s="10" t="s">
        <v>558</v>
      </c>
      <c r="B1105" t="s">
        <v>116</v>
      </c>
      <c r="C1105" t="s">
        <v>658</v>
      </c>
      <c r="D1105" t="s">
        <v>659</v>
      </c>
      <c r="E1105" s="10" t="b">
        <f>IF(ISERROR(VLOOKUP( LEFT(B1105, LEN(B1105) - IF(ISNUMBER(RIGHT(B1105, 1) * 1), 1, 0)),metadata_testudines!B$1:B$60,1,FALSE)),FALSE,TRUE)</f>
        <v>1</v>
      </c>
      <c r="F1105" t="s">
        <v>681</v>
      </c>
      <c r="G1105" t="s">
        <v>685</v>
      </c>
      <c r="H1105">
        <v>0.88</v>
      </c>
      <c r="I1105" t="s">
        <v>667</v>
      </c>
      <c r="J1105" t="s">
        <v>683</v>
      </c>
      <c r="K1105" t="s">
        <v>645</v>
      </c>
      <c r="L1105" t="s">
        <v>677</v>
      </c>
      <c r="M1105" t="s">
        <v>664</v>
      </c>
    </row>
    <row r="1106" spans="1:13" hidden="1" x14ac:dyDescent="0.2">
      <c r="A1106" s="10" t="s">
        <v>558</v>
      </c>
      <c r="B1106" t="s">
        <v>116</v>
      </c>
      <c r="C1106" t="s">
        <v>658</v>
      </c>
      <c r="D1106" t="s">
        <v>659</v>
      </c>
      <c r="E1106" s="10" t="b">
        <f>IF(ISERROR(VLOOKUP( LEFT(B1106, LEN(B1106) - IF(ISNUMBER(RIGHT(B1106, 1) * 1), 1, 0)),metadata_testudines!B$1:B$60,1,FALSE)),FALSE,TRUE)</f>
        <v>1</v>
      </c>
      <c r="F1106" t="s">
        <v>681</v>
      </c>
      <c r="G1106" t="s">
        <v>685</v>
      </c>
      <c r="H1106">
        <v>0.7</v>
      </c>
      <c r="I1106" t="s">
        <v>667</v>
      </c>
      <c r="J1106" t="s">
        <v>683</v>
      </c>
      <c r="K1106" t="s">
        <v>645</v>
      </c>
      <c r="L1106" t="s">
        <v>684</v>
      </c>
      <c r="M1106" t="s">
        <v>664</v>
      </c>
    </row>
    <row r="1107" spans="1:13" hidden="1" x14ac:dyDescent="0.2">
      <c r="A1107" s="10" t="s">
        <v>558</v>
      </c>
      <c r="B1107" t="s">
        <v>116</v>
      </c>
      <c r="C1107" t="s">
        <v>658</v>
      </c>
      <c r="D1107" t="s">
        <v>659</v>
      </c>
      <c r="E1107" s="10" t="b">
        <f>IF(ISERROR(VLOOKUP( LEFT(B1107, LEN(B1107) - IF(ISNUMBER(RIGHT(B1107, 1) * 1), 1, 0)),metadata_testudines!B$1:B$60,1,FALSE)),FALSE,TRUE)</f>
        <v>1</v>
      </c>
      <c r="F1107" t="s">
        <v>681</v>
      </c>
      <c r="G1107" t="s">
        <v>685</v>
      </c>
      <c r="H1107">
        <v>0.93</v>
      </c>
      <c r="I1107" t="s">
        <v>667</v>
      </c>
      <c r="J1107" t="s">
        <v>683</v>
      </c>
      <c r="K1107" t="s">
        <v>645</v>
      </c>
      <c r="L1107" t="s">
        <v>684</v>
      </c>
      <c r="M1107" t="s">
        <v>664</v>
      </c>
    </row>
    <row r="1108" spans="1:13" hidden="1" x14ac:dyDescent="0.2">
      <c r="A1108" s="10" t="s">
        <v>558</v>
      </c>
      <c r="B1108" t="s">
        <v>116</v>
      </c>
      <c r="C1108" t="s">
        <v>658</v>
      </c>
      <c r="D1108" t="s">
        <v>659</v>
      </c>
      <c r="E1108" s="10" t="b">
        <f>IF(ISERROR(VLOOKUP( LEFT(B1108, LEN(B1108) - IF(ISNUMBER(RIGHT(B1108, 1) * 1), 1, 0)),metadata_testudines!B$1:B$60,1,FALSE)),FALSE,TRUE)</f>
        <v>1</v>
      </c>
      <c r="F1108" t="s">
        <v>660</v>
      </c>
      <c r="G1108" t="s">
        <v>661</v>
      </c>
      <c r="H1108">
        <v>3</v>
      </c>
      <c r="I1108" t="s">
        <v>662</v>
      </c>
      <c r="J1108" t="s">
        <v>663</v>
      </c>
      <c r="K1108" t="s">
        <v>647</v>
      </c>
      <c r="L1108" t="s">
        <v>664</v>
      </c>
      <c r="M1108" t="s">
        <v>664</v>
      </c>
    </row>
    <row r="1109" spans="1:13" hidden="1" x14ac:dyDescent="0.2">
      <c r="A1109" s="10" t="s">
        <v>558</v>
      </c>
      <c r="B1109" t="s">
        <v>116</v>
      </c>
      <c r="C1109" t="s">
        <v>658</v>
      </c>
      <c r="D1109" t="s">
        <v>659</v>
      </c>
      <c r="E1109" s="10" t="b">
        <f>IF(ISERROR(VLOOKUP( LEFT(B1109, LEN(B1109) - IF(ISNUMBER(RIGHT(B1109, 1) * 1), 1, 0)),metadata_testudines!B$1:B$60,1,FALSE)),FALSE,TRUE)</f>
        <v>1</v>
      </c>
      <c r="F1109" t="s">
        <v>681</v>
      </c>
      <c r="G1109" t="s">
        <v>685</v>
      </c>
      <c r="H1109">
        <v>0.88</v>
      </c>
      <c r="I1109" t="s">
        <v>667</v>
      </c>
      <c r="J1109" t="s">
        <v>683</v>
      </c>
      <c r="K1109" t="s">
        <v>645</v>
      </c>
      <c r="L1109" t="s">
        <v>677</v>
      </c>
      <c r="M1109" t="s">
        <v>664</v>
      </c>
    </row>
    <row r="1110" spans="1:13" hidden="1" x14ac:dyDescent="0.2">
      <c r="A1110" s="10" t="s">
        <v>558</v>
      </c>
      <c r="B1110" t="s">
        <v>116</v>
      </c>
      <c r="C1110" t="s">
        <v>658</v>
      </c>
      <c r="D1110" t="s">
        <v>659</v>
      </c>
      <c r="E1110" s="10" t="b">
        <f>IF(ISERROR(VLOOKUP( LEFT(B1110, LEN(B1110) - IF(ISNUMBER(RIGHT(B1110, 1) * 1), 1, 0)),metadata_testudines!B$1:B$60,1,FALSE)),FALSE,TRUE)</f>
        <v>1</v>
      </c>
      <c r="F1110" t="s">
        <v>660</v>
      </c>
      <c r="G1110" t="s">
        <v>665</v>
      </c>
      <c r="H1110">
        <v>3.2009925560000001</v>
      </c>
      <c r="I1110" t="s">
        <v>662</v>
      </c>
      <c r="J1110" t="s">
        <v>663</v>
      </c>
      <c r="K1110" t="s">
        <v>647</v>
      </c>
      <c r="L1110" t="s">
        <v>664</v>
      </c>
      <c r="M1110" t="s">
        <v>664</v>
      </c>
    </row>
    <row r="1111" spans="1:13" hidden="1" x14ac:dyDescent="0.2">
      <c r="A1111" s="10" t="s">
        <v>558</v>
      </c>
      <c r="B1111" t="s">
        <v>116</v>
      </c>
      <c r="C1111" t="s">
        <v>658</v>
      </c>
      <c r="D1111" t="s">
        <v>659</v>
      </c>
      <c r="E1111" s="10" t="b">
        <f>IF(ISERROR(VLOOKUP( LEFT(B1111, LEN(B1111) - IF(ISNUMBER(RIGHT(B1111, 1) * 1), 1, 0)),metadata_testudines!B$1:B$60,1,FALSE)),FALSE,TRUE)</f>
        <v>1</v>
      </c>
      <c r="F1111" t="s">
        <v>660</v>
      </c>
      <c r="G1111" t="s">
        <v>661</v>
      </c>
      <c r="H1111">
        <v>4.5</v>
      </c>
      <c r="I1111" t="s">
        <v>662</v>
      </c>
      <c r="J1111" t="s">
        <v>663</v>
      </c>
      <c r="K1111" t="s">
        <v>647</v>
      </c>
      <c r="L1111" t="s">
        <v>664</v>
      </c>
      <c r="M1111" t="s">
        <v>664</v>
      </c>
    </row>
    <row r="1112" spans="1:13" hidden="1" x14ac:dyDescent="0.2">
      <c r="A1112" s="10" t="s">
        <v>558</v>
      </c>
      <c r="B1112" t="s">
        <v>116</v>
      </c>
      <c r="C1112" t="s">
        <v>658</v>
      </c>
      <c r="D1112" t="s">
        <v>659</v>
      </c>
      <c r="E1112" s="10" t="b">
        <f>IF(ISERROR(VLOOKUP( LEFT(B1112, LEN(B1112) - IF(ISNUMBER(RIGHT(B1112, 1) * 1), 1, 0)),metadata_testudines!B$1:B$60,1,FALSE)),FALSE,TRUE)</f>
        <v>1</v>
      </c>
      <c r="F1112" t="s">
        <v>681</v>
      </c>
      <c r="G1112" t="s">
        <v>685</v>
      </c>
      <c r="H1112">
        <v>0.7</v>
      </c>
      <c r="I1112" t="s">
        <v>667</v>
      </c>
      <c r="J1112" t="s">
        <v>683</v>
      </c>
      <c r="K1112" t="s">
        <v>645</v>
      </c>
      <c r="L1112" t="s">
        <v>684</v>
      </c>
      <c r="M1112" t="s">
        <v>664</v>
      </c>
    </row>
    <row r="1113" spans="1:13" hidden="1" x14ac:dyDescent="0.2">
      <c r="A1113" s="10" t="s">
        <v>558</v>
      </c>
      <c r="B1113" t="s">
        <v>116</v>
      </c>
      <c r="C1113" t="s">
        <v>658</v>
      </c>
      <c r="D1113" t="s">
        <v>659</v>
      </c>
      <c r="E1113" s="10" t="b">
        <f>IF(ISERROR(VLOOKUP( LEFT(B1113, LEN(B1113) - IF(ISNUMBER(RIGHT(B1113, 1) * 1), 1, 0)),metadata_testudines!B$1:B$60,1,FALSE)),FALSE,TRUE)</f>
        <v>1</v>
      </c>
      <c r="F1113" t="s">
        <v>660</v>
      </c>
      <c r="G1113" t="s">
        <v>661</v>
      </c>
      <c r="H1113">
        <v>4.0999999999999996</v>
      </c>
      <c r="I1113" t="s">
        <v>662</v>
      </c>
      <c r="J1113" t="s">
        <v>663</v>
      </c>
      <c r="K1113" t="s">
        <v>647</v>
      </c>
      <c r="L1113" t="s">
        <v>664</v>
      </c>
      <c r="M1113" t="s">
        <v>664</v>
      </c>
    </row>
    <row r="1114" spans="1:13" hidden="1" x14ac:dyDescent="0.2">
      <c r="A1114" s="10" t="s">
        <v>558</v>
      </c>
      <c r="B1114" t="s">
        <v>116</v>
      </c>
      <c r="C1114" t="s">
        <v>658</v>
      </c>
      <c r="D1114" t="s">
        <v>659</v>
      </c>
      <c r="E1114" s="10" t="b">
        <f>IF(ISERROR(VLOOKUP( LEFT(B1114, LEN(B1114) - IF(ISNUMBER(RIGHT(B1114, 1) * 1), 1, 0)),metadata_testudines!B$1:B$60,1,FALSE)),FALSE,TRUE)</f>
        <v>1</v>
      </c>
      <c r="F1114" t="s">
        <v>681</v>
      </c>
      <c r="G1114" t="s">
        <v>685</v>
      </c>
      <c r="H1114">
        <v>0.56999999999999995</v>
      </c>
      <c r="I1114" t="s">
        <v>667</v>
      </c>
      <c r="J1114" t="s">
        <v>683</v>
      </c>
      <c r="K1114" t="s">
        <v>645</v>
      </c>
      <c r="L1114" t="s">
        <v>646</v>
      </c>
      <c r="M1114" t="s">
        <v>664</v>
      </c>
    </row>
    <row r="1115" spans="1:13" hidden="1" x14ac:dyDescent="0.2">
      <c r="A1115" s="10" t="s">
        <v>558</v>
      </c>
      <c r="B1115" t="s">
        <v>116</v>
      </c>
      <c r="C1115" t="s">
        <v>658</v>
      </c>
      <c r="D1115" t="s">
        <v>659</v>
      </c>
      <c r="E1115" s="10" t="b">
        <f>IF(ISERROR(VLOOKUP( LEFT(B1115, LEN(B1115) - IF(ISNUMBER(RIGHT(B1115, 1) * 1), 1, 0)),metadata_testudines!B$1:B$60,1,FALSE)),FALSE,TRUE)</f>
        <v>1</v>
      </c>
      <c r="F1115" t="s">
        <v>660</v>
      </c>
      <c r="G1115" t="s">
        <v>661</v>
      </c>
      <c r="H1115">
        <v>1</v>
      </c>
      <c r="I1115" t="s">
        <v>662</v>
      </c>
      <c r="J1115" t="s">
        <v>663</v>
      </c>
      <c r="K1115" t="s">
        <v>647</v>
      </c>
      <c r="L1115" t="s">
        <v>664</v>
      </c>
      <c r="M1115" t="s">
        <v>664</v>
      </c>
    </row>
    <row r="1116" spans="1:13" hidden="1" x14ac:dyDescent="0.2">
      <c r="A1116" s="10" t="s">
        <v>558</v>
      </c>
      <c r="B1116" t="s">
        <v>116</v>
      </c>
      <c r="C1116" t="s">
        <v>658</v>
      </c>
      <c r="D1116" t="s">
        <v>659</v>
      </c>
      <c r="E1116" s="10" t="b">
        <f>IF(ISERROR(VLOOKUP( LEFT(B1116, LEN(B1116) - IF(ISNUMBER(RIGHT(B1116, 1) * 1), 1, 0)),metadata_testudines!B$1:B$60,1,FALSE)),FALSE,TRUE)</f>
        <v>1</v>
      </c>
      <c r="F1116" t="s">
        <v>681</v>
      </c>
      <c r="G1116" t="s">
        <v>685</v>
      </c>
      <c r="H1116">
        <v>0.88</v>
      </c>
      <c r="I1116" t="s">
        <v>667</v>
      </c>
      <c r="J1116" t="s">
        <v>683</v>
      </c>
      <c r="K1116" t="s">
        <v>645</v>
      </c>
      <c r="L1116" t="s">
        <v>677</v>
      </c>
      <c r="M1116" t="s">
        <v>664</v>
      </c>
    </row>
    <row r="1117" spans="1:13" hidden="1" x14ac:dyDescent="0.2">
      <c r="A1117" s="10" t="s">
        <v>558</v>
      </c>
      <c r="B1117" t="s">
        <v>116</v>
      </c>
      <c r="C1117" t="s">
        <v>658</v>
      </c>
      <c r="D1117" t="s">
        <v>659</v>
      </c>
      <c r="E1117" s="10" t="b">
        <f>IF(ISERROR(VLOOKUP( LEFT(B1117, LEN(B1117) - IF(ISNUMBER(RIGHT(B1117, 1) * 1), 1, 0)),metadata_testudines!B$1:B$60,1,FALSE)),FALSE,TRUE)</f>
        <v>1</v>
      </c>
      <c r="F1117" t="s">
        <v>681</v>
      </c>
      <c r="G1117" t="s">
        <v>682</v>
      </c>
      <c r="H1117">
        <v>0.93</v>
      </c>
      <c r="I1117" t="s">
        <v>667</v>
      </c>
      <c r="J1117" t="s">
        <v>683</v>
      </c>
      <c r="K1117" t="s">
        <v>645</v>
      </c>
      <c r="L1117" t="s">
        <v>684</v>
      </c>
      <c r="M1117" t="s">
        <v>664</v>
      </c>
    </row>
    <row r="1118" spans="1:13" hidden="1" x14ac:dyDescent="0.2">
      <c r="A1118" s="10" t="s">
        <v>558</v>
      </c>
      <c r="B1118" t="s">
        <v>116</v>
      </c>
      <c r="C1118" t="s">
        <v>658</v>
      </c>
      <c r="D1118" t="s">
        <v>659</v>
      </c>
      <c r="E1118" s="10" t="b">
        <f>IF(ISERROR(VLOOKUP( LEFT(B1118, LEN(B1118) - IF(ISNUMBER(RIGHT(B1118, 1) * 1), 1, 0)),metadata_testudines!B$1:B$60,1,FALSE)),FALSE,TRUE)</f>
        <v>1</v>
      </c>
      <c r="F1118" t="s">
        <v>660</v>
      </c>
      <c r="G1118" t="s">
        <v>665</v>
      </c>
      <c r="H1118">
        <v>1.666118421</v>
      </c>
      <c r="I1118" t="s">
        <v>662</v>
      </c>
      <c r="J1118" t="s">
        <v>663</v>
      </c>
      <c r="K1118" t="s">
        <v>647</v>
      </c>
      <c r="L1118" t="s">
        <v>664</v>
      </c>
      <c r="M1118" t="s">
        <v>664</v>
      </c>
    </row>
    <row r="1119" spans="1:13" hidden="1" x14ac:dyDescent="0.2">
      <c r="A1119" s="10" t="s">
        <v>558</v>
      </c>
      <c r="B1119" t="s">
        <v>116</v>
      </c>
      <c r="C1119" t="s">
        <v>658</v>
      </c>
      <c r="D1119" t="s">
        <v>659</v>
      </c>
      <c r="E1119" s="10" t="b">
        <f>IF(ISERROR(VLOOKUP( LEFT(B1119, LEN(B1119) - IF(ISNUMBER(RIGHT(B1119, 1) * 1), 1, 0)),metadata_testudines!B$1:B$60,1,FALSE)),FALSE,TRUE)</f>
        <v>1</v>
      </c>
      <c r="F1119" t="s">
        <v>681</v>
      </c>
      <c r="G1119" t="s">
        <v>682</v>
      </c>
      <c r="H1119">
        <v>0.56999999999999995</v>
      </c>
      <c r="I1119" t="s">
        <v>667</v>
      </c>
      <c r="J1119" t="s">
        <v>683</v>
      </c>
      <c r="K1119" t="s">
        <v>645</v>
      </c>
      <c r="L1119" t="s">
        <v>646</v>
      </c>
      <c r="M1119" t="s">
        <v>664</v>
      </c>
    </row>
    <row r="1120" spans="1:13" hidden="1" x14ac:dyDescent="0.2">
      <c r="A1120" s="10" t="s">
        <v>558</v>
      </c>
      <c r="B1120" t="s">
        <v>116</v>
      </c>
      <c r="C1120" t="s">
        <v>658</v>
      </c>
      <c r="D1120" t="s">
        <v>659</v>
      </c>
      <c r="E1120" s="10" t="b">
        <f>IF(ISERROR(VLOOKUP( LEFT(B1120, LEN(B1120) - IF(ISNUMBER(RIGHT(B1120, 1) * 1), 1, 0)),metadata_testudines!B$1:B$60,1,FALSE)),FALSE,TRUE)</f>
        <v>1</v>
      </c>
      <c r="F1120" t="s">
        <v>681</v>
      </c>
      <c r="G1120" t="s">
        <v>682</v>
      </c>
      <c r="H1120">
        <v>0.56999999999999995</v>
      </c>
      <c r="I1120" t="s">
        <v>667</v>
      </c>
      <c r="J1120" t="s">
        <v>683</v>
      </c>
      <c r="K1120" t="s">
        <v>645</v>
      </c>
      <c r="L1120" t="s">
        <v>646</v>
      </c>
      <c r="M1120" t="s">
        <v>664</v>
      </c>
    </row>
    <row r="1121" spans="1:13" hidden="1" x14ac:dyDescent="0.2">
      <c r="A1121" s="10" t="s">
        <v>558</v>
      </c>
      <c r="B1121" t="s">
        <v>116</v>
      </c>
      <c r="C1121" t="s">
        <v>658</v>
      </c>
      <c r="D1121" t="s">
        <v>659</v>
      </c>
      <c r="E1121" s="10" t="b">
        <f>IF(ISERROR(VLOOKUP( LEFT(B1121, LEN(B1121) - IF(ISNUMBER(RIGHT(B1121, 1) * 1), 1, 0)),metadata_testudines!B$1:B$60,1,FALSE)),FALSE,TRUE)</f>
        <v>1</v>
      </c>
      <c r="F1121" t="s">
        <v>681</v>
      </c>
      <c r="G1121" t="s">
        <v>682</v>
      </c>
      <c r="H1121">
        <v>0.88</v>
      </c>
      <c r="I1121" t="s">
        <v>667</v>
      </c>
      <c r="J1121" t="s">
        <v>683</v>
      </c>
      <c r="K1121" t="s">
        <v>645</v>
      </c>
      <c r="L1121" t="s">
        <v>677</v>
      </c>
      <c r="M1121" t="s">
        <v>664</v>
      </c>
    </row>
    <row r="1122" spans="1:13" hidden="1" x14ac:dyDescent="0.2">
      <c r="A1122" s="10" t="s">
        <v>558</v>
      </c>
      <c r="B1122" t="s">
        <v>116</v>
      </c>
      <c r="C1122" t="s">
        <v>658</v>
      </c>
      <c r="D1122" t="s">
        <v>659</v>
      </c>
      <c r="E1122" s="10" t="b">
        <f>IF(ISERROR(VLOOKUP( LEFT(B1122, LEN(B1122) - IF(ISNUMBER(RIGHT(B1122, 1) * 1), 1, 0)),metadata_testudines!B$1:B$60,1,FALSE)),FALSE,TRUE)</f>
        <v>1</v>
      </c>
      <c r="F1122" t="s">
        <v>681</v>
      </c>
      <c r="G1122" t="s">
        <v>682</v>
      </c>
      <c r="H1122">
        <v>0.7</v>
      </c>
      <c r="I1122" t="s">
        <v>667</v>
      </c>
      <c r="J1122" t="s">
        <v>683</v>
      </c>
      <c r="K1122" t="s">
        <v>645</v>
      </c>
      <c r="L1122" t="s">
        <v>684</v>
      </c>
      <c r="M1122" t="s">
        <v>664</v>
      </c>
    </row>
    <row r="1123" spans="1:13" hidden="1" x14ac:dyDescent="0.2">
      <c r="A1123" s="10" t="s">
        <v>558</v>
      </c>
      <c r="B1123" t="s">
        <v>116</v>
      </c>
      <c r="C1123" t="s">
        <v>658</v>
      </c>
      <c r="D1123" t="s">
        <v>659</v>
      </c>
      <c r="E1123" s="10" t="b">
        <f>IF(ISERROR(VLOOKUP( LEFT(B1123, LEN(B1123) - IF(ISNUMBER(RIGHT(B1123, 1) * 1), 1, 0)),metadata_testudines!B$1:B$60,1,FALSE)),FALSE,TRUE)</f>
        <v>1</v>
      </c>
      <c r="F1123" t="s">
        <v>681</v>
      </c>
      <c r="G1123" t="s">
        <v>685</v>
      </c>
      <c r="H1123">
        <v>0.7</v>
      </c>
      <c r="I1123" t="s">
        <v>667</v>
      </c>
      <c r="J1123" t="s">
        <v>683</v>
      </c>
      <c r="K1123" t="s">
        <v>645</v>
      </c>
      <c r="L1123" t="s">
        <v>684</v>
      </c>
      <c r="M1123" t="s">
        <v>664</v>
      </c>
    </row>
    <row r="1124" spans="1:13" hidden="1" x14ac:dyDescent="0.2">
      <c r="A1124" s="10" t="s">
        <v>558</v>
      </c>
      <c r="B1124" t="s">
        <v>116</v>
      </c>
      <c r="C1124" t="s">
        <v>658</v>
      </c>
      <c r="D1124" t="s">
        <v>659</v>
      </c>
      <c r="E1124" s="10" t="b">
        <f>IF(ISERROR(VLOOKUP( LEFT(B1124, LEN(B1124) - IF(ISNUMBER(RIGHT(B1124, 1) * 1), 1, 0)),metadata_testudines!B$1:B$60,1,FALSE)),FALSE,TRUE)</f>
        <v>1</v>
      </c>
      <c r="F1124" t="s">
        <v>681</v>
      </c>
      <c r="G1124" t="s">
        <v>685</v>
      </c>
      <c r="H1124">
        <v>0.88</v>
      </c>
      <c r="I1124" t="s">
        <v>667</v>
      </c>
      <c r="J1124" t="s">
        <v>683</v>
      </c>
      <c r="K1124" t="s">
        <v>645</v>
      </c>
      <c r="L1124" t="s">
        <v>677</v>
      </c>
      <c r="M1124" t="s">
        <v>664</v>
      </c>
    </row>
    <row r="1125" spans="1:13" hidden="1" x14ac:dyDescent="0.2">
      <c r="A1125" s="10" t="s">
        <v>558</v>
      </c>
      <c r="B1125" t="s">
        <v>116</v>
      </c>
      <c r="C1125" t="s">
        <v>658</v>
      </c>
      <c r="D1125" t="s">
        <v>659</v>
      </c>
      <c r="E1125" s="10" t="b">
        <f>IF(ISERROR(VLOOKUP( LEFT(B1125, LEN(B1125) - IF(ISNUMBER(RIGHT(B1125, 1) * 1), 1, 0)),metadata_testudines!B$1:B$60,1,FALSE)),FALSE,TRUE)</f>
        <v>1</v>
      </c>
      <c r="F1125" t="s">
        <v>681</v>
      </c>
      <c r="G1125" t="s">
        <v>685</v>
      </c>
      <c r="H1125">
        <v>0.85</v>
      </c>
      <c r="I1125" t="s">
        <v>667</v>
      </c>
      <c r="J1125" t="s">
        <v>683</v>
      </c>
      <c r="K1125" t="s">
        <v>645</v>
      </c>
      <c r="L1125" t="s">
        <v>684</v>
      </c>
      <c r="M1125" t="s">
        <v>664</v>
      </c>
    </row>
    <row r="1126" spans="1:13" hidden="1" x14ac:dyDescent="0.2">
      <c r="A1126" s="10" t="s">
        <v>558</v>
      </c>
      <c r="B1126" t="s">
        <v>57</v>
      </c>
      <c r="C1126" t="s">
        <v>658</v>
      </c>
      <c r="D1126" t="s">
        <v>659</v>
      </c>
      <c r="E1126" s="10" t="b">
        <f>IF(ISERROR(VLOOKUP( LEFT(B1126, LEN(B1126) - IF(ISNUMBER(RIGHT(B1126, 1) * 1), 1, 0)),metadata_testudines!B$1:B$60,1,FALSE)),FALSE,TRUE)</f>
        <v>1</v>
      </c>
      <c r="F1126" t="s">
        <v>660</v>
      </c>
      <c r="G1126" t="s">
        <v>665</v>
      </c>
      <c r="H1126">
        <v>3</v>
      </c>
      <c r="I1126" t="s">
        <v>662</v>
      </c>
      <c r="J1126" t="s">
        <v>663</v>
      </c>
      <c r="K1126" t="s">
        <v>647</v>
      </c>
      <c r="L1126" t="s">
        <v>664</v>
      </c>
      <c r="M1126" t="s">
        <v>664</v>
      </c>
    </row>
    <row r="1127" spans="1:13" hidden="1" x14ac:dyDescent="0.2">
      <c r="A1127" s="10" t="s">
        <v>558</v>
      </c>
      <c r="B1127" t="s">
        <v>57</v>
      </c>
      <c r="C1127" t="s">
        <v>658</v>
      </c>
      <c r="D1127" t="s">
        <v>659</v>
      </c>
      <c r="E1127" s="10" t="b">
        <f>IF(ISERROR(VLOOKUP( LEFT(B1127, LEN(B1127) - IF(ISNUMBER(RIGHT(B1127, 1) * 1), 1, 0)),metadata_testudines!B$1:B$60,1,FALSE)),FALSE,TRUE)</f>
        <v>1</v>
      </c>
      <c r="F1127" t="s">
        <v>660</v>
      </c>
      <c r="G1127" t="s">
        <v>661</v>
      </c>
      <c r="H1127">
        <v>7</v>
      </c>
      <c r="I1127" t="s">
        <v>662</v>
      </c>
      <c r="J1127" t="s">
        <v>663</v>
      </c>
      <c r="K1127" t="s">
        <v>647</v>
      </c>
      <c r="L1127" t="s">
        <v>664</v>
      </c>
      <c r="M1127" t="s">
        <v>664</v>
      </c>
    </row>
    <row r="1128" spans="1:13" hidden="1" x14ac:dyDescent="0.2">
      <c r="A1128" s="10" t="s">
        <v>558</v>
      </c>
      <c r="B1128" t="s">
        <v>57</v>
      </c>
      <c r="C1128" t="s">
        <v>658</v>
      </c>
      <c r="D1128" t="s">
        <v>659</v>
      </c>
      <c r="E1128" s="10" t="b">
        <f>IF(ISERROR(VLOOKUP( LEFT(B1128, LEN(B1128) - IF(ISNUMBER(RIGHT(B1128, 1) * 1), 1, 0)),metadata_testudines!B$1:B$60,1,FALSE)),FALSE,TRUE)</f>
        <v>1</v>
      </c>
      <c r="F1128" t="s">
        <v>660</v>
      </c>
      <c r="G1128" t="s">
        <v>661</v>
      </c>
      <c r="H1128">
        <v>1</v>
      </c>
      <c r="I1128" t="s">
        <v>662</v>
      </c>
      <c r="J1128" t="s">
        <v>663</v>
      </c>
      <c r="K1128" t="s">
        <v>647</v>
      </c>
      <c r="L1128" t="s">
        <v>664</v>
      </c>
      <c r="M1128" t="s">
        <v>664</v>
      </c>
    </row>
    <row r="1129" spans="1:13" hidden="1" x14ac:dyDescent="0.2">
      <c r="A1129" s="10" t="s">
        <v>558</v>
      </c>
      <c r="B1129" t="s">
        <v>57</v>
      </c>
      <c r="C1129" t="s">
        <v>658</v>
      </c>
      <c r="D1129" t="s">
        <v>659</v>
      </c>
      <c r="E1129" s="10" t="b">
        <f>IF(ISERROR(VLOOKUP( LEFT(B1129, LEN(B1129) - IF(ISNUMBER(RIGHT(B1129, 1) * 1), 1, 0)),metadata_testudines!B$1:B$60,1,FALSE)),FALSE,TRUE)</f>
        <v>1</v>
      </c>
      <c r="F1129" t="s">
        <v>660</v>
      </c>
      <c r="G1129" t="s">
        <v>661</v>
      </c>
      <c r="H1129">
        <v>4</v>
      </c>
      <c r="I1129" t="s">
        <v>662</v>
      </c>
      <c r="J1129" t="s">
        <v>663</v>
      </c>
      <c r="K1129" t="s">
        <v>647</v>
      </c>
      <c r="L1129" t="s">
        <v>664</v>
      </c>
      <c r="M1129" t="s">
        <v>664</v>
      </c>
    </row>
    <row r="1130" spans="1:13" hidden="1" x14ac:dyDescent="0.2">
      <c r="A1130" s="10" t="s">
        <v>558</v>
      </c>
      <c r="B1130" t="s">
        <v>57</v>
      </c>
      <c r="C1130" t="s">
        <v>658</v>
      </c>
      <c r="D1130" t="s">
        <v>659</v>
      </c>
      <c r="E1130" s="10" t="b">
        <f>IF(ISERROR(VLOOKUP( LEFT(B1130, LEN(B1130) - IF(ISNUMBER(RIGHT(B1130, 1) * 1), 1, 0)),metadata_testudines!B$1:B$60,1,FALSE)),FALSE,TRUE)</f>
        <v>1</v>
      </c>
      <c r="F1130" t="s">
        <v>660</v>
      </c>
      <c r="G1130" t="s">
        <v>665</v>
      </c>
      <c r="H1130">
        <v>3</v>
      </c>
      <c r="I1130" t="s">
        <v>662</v>
      </c>
      <c r="J1130" t="s">
        <v>663</v>
      </c>
      <c r="K1130" t="s">
        <v>647</v>
      </c>
      <c r="L1130" t="s">
        <v>664</v>
      </c>
      <c r="M1130" t="s">
        <v>664</v>
      </c>
    </row>
    <row r="1131" spans="1:13" hidden="1" x14ac:dyDescent="0.2">
      <c r="A1131" s="10" t="s">
        <v>558</v>
      </c>
      <c r="B1131" t="s">
        <v>57</v>
      </c>
      <c r="C1131" t="s">
        <v>658</v>
      </c>
      <c r="D1131" t="s">
        <v>659</v>
      </c>
      <c r="E1131" s="10" t="b">
        <f>IF(ISERROR(VLOOKUP( LEFT(B1131, LEN(B1131) - IF(ISNUMBER(RIGHT(B1131, 1) * 1), 1, 0)),metadata_testudines!B$1:B$60,1,FALSE)),FALSE,TRUE)</f>
        <v>1</v>
      </c>
      <c r="F1131" t="s">
        <v>660</v>
      </c>
      <c r="G1131" t="s">
        <v>661</v>
      </c>
      <c r="H1131">
        <v>6</v>
      </c>
      <c r="I1131" t="s">
        <v>662</v>
      </c>
      <c r="J1131" t="s">
        <v>663</v>
      </c>
      <c r="K1131" t="s">
        <v>647</v>
      </c>
      <c r="L1131" t="s">
        <v>664</v>
      </c>
      <c r="M1131" t="s">
        <v>664</v>
      </c>
    </row>
    <row r="1132" spans="1:13" hidden="1" x14ac:dyDescent="0.2">
      <c r="A1132" s="10" t="s">
        <v>558</v>
      </c>
      <c r="B1132" t="s">
        <v>57</v>
      </c>
      <c r="C1132" t="s">
        <v>658</v>
      </c>
      <c r="D1132" t="s">
        <v>659</v>
      </c>
      <c r="E1132" s="10" t="b">
        <f>IF(ISERROR(VLOOKUP( LEFT(B1132, LEN(B1132) - IF(ISNUMBER(RIGHT(B1132, 1) * 1), 1, 0)),metadata_testudines!B$1:B$60,1,FALSE)),FALSE,TRUE)</f>
        <v>1</v>
      </c>
      <c r="F1132" t="s">
        <v>660</v>
      </c>
      <c r="G1132" t="s">
        <v>661</v>
      </c>
      <c r="H1132">
        <v>2</v>
      </c>
      <c r="I1132" t="s">
        <v>662</v>
      </c>
      <c r="J1132" t="s">
        <v>663</v>
      </c>
      <c r="K1132" t="s">
        <v>647</v>
      </c>
      <c r="L1132" t="s">
        <v>664</v>
      </c>
      <c r="M1132" t="s">
        <v>664</v>
      </c>
    </row>
    <row r="1133" spans="1:13" hidden="1" x14ac:dyDescent="0.2">
      <c r="A1133" s="10" t="s">
        <v>558</v>
      </c>
      <c r="B1133" t="s">
        <v>57</v>
      </c>
      <c r="C1133" t="s">
        <v>658</v>
      </c>
      <c r="D1133" t="s">
        <v>659</v>
      </c>
      <c r="E1133" s="10" t="b">
        <f>IF(ISERROR(VLOOKUP( LEFT(B1133, LEN(B1133) - IF(ISNUMBER(RIGHT(B1133, 1) * 1), 1, 0)),metadata_testudines!B$1:B$60,1,FALSE)),FALSE,TRUE)</f>
        <v>1</v>
      </c>
      <c r="F1133" t="s">
        <v>660</v>
      </c>
      <c r="G1133" t="s">
        <v>669</v>
      </c>
      <c r="H1133">
        <v>3652.5</v>
      </c>
      <c r="I1133" t="s">
        <v>662</v>
      </c>
      <c r="J1133" t="s">
        <v>670</v>
      </c>
      <c r="K1133" t="s">
        <v>647</v>
      </c>
      <c r="L1133" t="s">
        <v>647</v>
      </c>
      <c r="M1133" t="s">
        <v>664</v>
      </c>
    </row>
    <row r="1134" spans="1:13" hidden="1" x14ac:dyDescent="0.2">
      <c r="A1134" s="10" t="s">
        <v>558</v>
      </c>
      <c r="B1134" t="s">
        <v>57</v>
      </c>
      <c r="C1134" t="s">
        <v>658</v>
      </c>
      <c r="D1134" t="s">
        <v>659</v>
      </c>
      <c r="E1134" s="10" t="b">
        <f>IF(ISERROR(VLOOKUP( LEFT(B1134, LEN(B1134) - IF(ISNUMBER(RIGHT(B1134, 1) * 1), 1, 0)),metadata_testudines!B$1:B$60,1,FALSE)),FALSE,TRUE)</f>
        <v>1</v>
      </c>
      <c r="F1134" t="s">
        <v>660</v>
      </c>
      <c r="G1134" t="s">
        <v>665</v>
      </c>
      <c r="H1134">
        <v>4</v>
      </c>
      <c r="I1134" t="s">
        <v>662</v>
      </c>
      <c r="J1134" t="s">
        <v>663</v>
      </c>
      <c r="K1134" t="s">
        <v>647</v>
      </c>
      <c r="L1134" t="s">
        <v>664</v>
      </c>
      <c r="M1134" t="s">
        <v>664</v>
      </c>
    </row>
    <row r="1135" spans="1:13" hidden="1" x14ac:dyDescent="0.2">
      <c r="A1135" s="10" t="s">
        <v>558</v>
      </c>
      <c r="B1135" t="s">
        <v>55</v>
      </c>
      <c r="C1135" t="s">
        <v>658</v>
      </c>
      <c r="D1135" t="s">
        <v>659</v>
      </c>
      <c r="E1135" s="10" t="b">
        <f>IF(ISERROR(VLOOKUP( LEFT(B1135, LEN(B1135) - IF(ISNUMBER(RIGHT(B1135, 1) * 1), 1, 0)),metadata_testudines!B$1:B$60,1,FALSE)),FALSE,TRUE)</f>
        <v>1</v>
      </c>
      <c r="F1135" t="s">
        <v>660</v>
      </c>
      <c r="G1135" t="s">
        <v>666</v>
      </c>
      <c r="H1135">
        <v>40</v>
      </c>
      <c r="I1135" t="s">
        <v>667</v>
      </c>
      <c r="J1135" t="s">
        <v>668</v>
      </c>
      <c r="K1135" t="s">
        <v>647</v>
      </c>
      <c r="L1135" t="s">
        <v>664</v>
      </c>
      <c r="M1135" t="s">
        <v>664</v>
      </c>
    </row>
    <row r="1136" spans="1:13" hidden="1" x14ac:dyDescent="0.2">
      <c r="A1136" s="10" t="s">
        <v>558</v>
      </c>
      <c r="B1136" t="s">
        <v>55</v>
      </c>
      <c r="C1136" t="s">
        <v>658</v>
      </c>
      <c r="D1136" t="s">
        <v>659</v>
      </c>
      <c r="E1136" s="10" t="b">
        <f>IF(ISERROR(VLOOKUP( LEFT(B1136, LEN(B1136) - IF(ISNUMBER(RIGHT(B1136, 1) * 1), 1, 0)),metadata_testudines!B$1:B$60,1,FALSE)),FALSE,TRUE)</f>
        <v>1</v>
      </c>
      <c r="F1136" t="s">
        <v>660</v>
      </c>
      <c r="G1136" t="s">
        <v>661</v>
      </c>
      <c r="H1136">
        <v>1</v>
      </c>
      <c r="I1136" t="s">
        <v>662</v>
      </c>
      <c r="J1136" t="s">
        <v>663</v>
      </c>
      <c r="K1136" t="s">
        <v>647</v>
      </c>
      <c r="L1136" t="s">
        <v>664</v>
      </c>
      <c r="M1136" t="s">
        <v>664</v>
      </c>
    </row>
    <row r="1137" spans="1:13" hidden="1" x14ac:dyDescent="0.2">
      <c r="A1137" s="10" t="s">
        <v>558</v>
      </c>
      <c r="B1137" t="s">
        <v>55</v>
      </c>
      <c r="C1137" t="s">
        <v>658</v>
      </c>
      <c r="D1137" t="s">
        <v>659</v>
      </c>
      <c r="E1137" s="10" t="b">
        <f>IF(ISERROR(VLOOKUP( LEFT(B1137, LEN(B1137) - IF(ISNUMBER(RIGHT(B1137, 1) * 1), 1, 0)),metadata_testudines!B$1:B$60,1,FALSE)),FALSE,TRUE)</f>
        <v>1</v>
      </c>
      <c r="F1137" t="s">
        <v>660</v>
      </c>
      <c r="G1137" t="s">
        <v>666</v>
      </c>
      <c r="H1137">
        <v>35</v>
      </c>
      <c r="I1137" t="s">
        <v>667</v>
      </c>
      <c r="J1137" t="s">
        <v>668</v>
      </c>
      <c r="K1137" t="s">
        <v>647</v>
      </c>
      <c r="L1137" t="s">
        <v>664</v>
      </c>
      <c r="M1137" t="s">
        <v>664</v>
      </c>
    </row>
    <row r="1138" spans="1:13" hidden="1" x14ac:dyDescent="0.2">
      <c r="A1138" s="10" t="s">
        <v>558</v>
      </c>
      <c r="B1138" t="s">
        <v>55</v>
      </c>
      <c r="C1138" t="s">
        <v>658</v>
      </c>
      <c r="D1138" t="s">
        <v>659</v>
      </c>
      <c r="E1138" s="10" t="b">
        <f>IF(ISERROR(VLOOKUP( LEFT(B1138, LEN(B1138) - IF(ISNUMBER(RIGHT(B1138, 1) * 1), 1, 0)),metadata_testudines!B$1:B$60,1,FALSE)),FALSE,TRUE)</f>
        <v>1</v>
      </c>
      <c r="F1138" t="s">
        <v>660</v>
      </c>
      <c r="G1138" t="s">
        <v>665</v>
      </c>
      <c r="H1138">
        <v>3</v>
      </c>
      <c r="I1138" t="s">
        <v>662</v>
      </c>
      <c r="J1138" t="s">
        <v>663</v>
      </c>
      <c r="K1138" t="s">
        <v>647</v>
      </c>
      <c r="L1138" t="s">
        <v>664</v>
      </c>
      <c r="M1138" t="s">
        <v>664</v>
      </c>
    </row>
    <row r="1139" spans="1:13" hidden="1" x14ac:dyDescent="0.2">
      <c r="A1139" s="10" t="s">
        <v>558</v>
      </c>
      <c r="B1139" t="s">
        <v>55</v>
      </c>
      <c r="C1139" t="s">
        <v>658</v>
      </c>
      <c r="D1139" t="s">
        <v>659</v>
      </c>
      <c r="E1139" s="10" t="b">
        <f>IF(ISERROR(VLOOKUP( LEFT(B1139, LEN(B1139) - IF(ISNUMBER(RIGHT(B1139, 1) * 1), 1, 0)),metadata_testudines!B$1:B$60,1,FALSE)),FALSE,TRUE)</f>
        <v>1</v>
      </c>
      <c r="F1139" t="s">
        <v>660</v>
      </c>
      <c r="G1139" t="s">
        <v>661</v>
      </c>
      <c r="H1139">
        <v>1</v>
      </c>
      <c r="I1139" t="s">
        <v>662</v>
      </c>
      <c r="J1139" t="s">
        <v>663</v>
      </c>
      <c r="K1139" t="s">
        <v>647</v>
      </c>
      <c r="L1139" t="s">
        <v>664</v>
      </c>
      <c r="M1139" t="s">
        <v>664</v>
      </c>
    </row>
    <row r="1140" spans="1:13" hidden="1" x14ac:dyDescent="0.2">
      <c r="A1140" s="10" t="s">
        <v>558</v>
      </c>
      <c r="B1140" t="s">
        <v>55</v>
      </c>
      <c r="C1140" t="s">
        <v>658</v>
      </c>
      <c r="D1140" t="s">
        <v>659</v>
      </c>
      <c r="E1140" s="10" t="b">
        <f>IF(ISERROR(VLOOKUP( LEFT(B1140, LEN(B1140) - IF(ISNUMBER(RIGHT(B1140, 1) * 1), 1, 0)),metadata_testudines!B$1:B$60,1,FALSE)),FALSE,TRUE)</f>
        <v>1</v>
      </c>
      <c r="F1140" t="s">
        <v>660</v>
      </c>
      <c r="G1140" t="s">
        <v>675</v>
      </c>
      <c r="H1140">
        <v>2191.5</v>
      </c>
      <c r="I1140" t="s">
        <v>662</v>
      </c>
      <c r="J1140" t="s">
        <v>670</v>
      </c>
      <c r="K1140" t="s">
        <v>647</v>
      </c>
      <c r="L1140" t="s">
        <v>646</v>
      </c>
      <c r="M1140" t="s">
        <v>664</v>
      </c>
    </row>
    <row r="1141" spans="1:13" hidden="1" x14ac:dyDescent="0.2">
      <c r="A1141" s="10" t="s">
        <v>558</v>
      </c>
      <c r="B1141" t="s">
        <v>55</v>
      </c>
      <c r="C1141" t="s">
        <v>658</v>
      </c>
      <c r="D1141" t="s">
        <v>659</v>
      </c>
      <c r="E1141" s="10" t="b">
        <f>IF(ISERROR(VLOOKUP( LEFT(B1141, LEN(B1141) - IF(ISNUMBER(RIGHT(B1141, 1) * 1), 1, 0)),metadata_testudines!B$1:B$60,1,FALSE)),FALSE,TRUE)</f>
        <v>1</v>
      </c>
      <c r="F1141" t="s">
        <v>671</v>
      </c>
      <c r="G1141" t="s">
        <v>672</v>
      </c>
      <c r="H1141">
        <v>21</v>
      </c>
      <c r="I1141" t="s">
        <v>667</v>
      </c>
      <c r="J1141" t="s">
        <v>668</v>
      </c>
      <c r="K1141" t="s">
        <v>673</v>
      </c>
      <c r="L1141" t="s">
        <v>664</v>
      </c>
      <c r="M1141" t="s">
        <v>678</v>
      </c>
    </row>
    <row r="1142" spans="1:13" hidden="1" x14ac:dyDescent="0.2">
      <c r="A1142" s="10" t="s">
        <v>558</v>
      </c>
      <c r="B1142" t="s">
        <v>55</v>
      </c>
      <c r="C1142" t="s">
        <v>658</v>
      </c>
      <c r="D1142" t="s">
        <v>659</v>
      </c>
      <c r="E1142" s="10" t="b">
        <f>IF(ISERROR(VLOOKUP( LEFT(B1142, LEN(B1142) - IF(ISNUMBER(RIGHT(B1142, 1) * 1), 1, 0)),metadata_testudines!B$1:B$60,1,FALSE)),FALSE,TRUE)</f>
        <v>1</v>
      </c>
      <c r="F1142" t="s">
        <v>660</v>
      </c>
      <c r="G1142" t="s">
        <v>661</v>
      </c>
      <c r="H1142">
        <v>4</v>
      </c>
      <c r="I1142" t="s">
        <v>662</v>
      </c>
      <c r="J1142" t="s">
        <v>663</v>
      </c>
      <c r="K1142" t="s">
        <v>647</v>
      </c>
      <c r="L1142" t="s">
        <v>664</v>
      </c>
      <c r="M1142" t="s">
        <v>664</v>
      </c>
    </row>
    <row r="1143" spans="1:13" hidden="1" x14ac:dyDescent="0.2">
      <c r="A1143" s="10" t="s">
        <v>558</v>
      </c>
      <c r="B1143" t="s">
        <v>55</v>
      </c>
      <c r="C1143" t="s">
        <v>658</v>
      </c>
      <c r="D1143" t="s">
        <v>659</v>
      </c>
      <c r="E1143" s="10" t="b">
        <f>IF(ISERROR(VLOOKUP( LEFT(B1143, LEN(B1143) - IF(ISNUMBER(RIGHT(B1143, 1) * 1), 1, 0)),metadata_testudines!B$1:B$60,1,FALSE)),FALSE,TRUE)</f>
        <v>1</v>
      </c>
      <c r="F1143" t="s">
        <v>660</v>
      </c>
      <c r="G1143" t="s">
        <v>661</v>
      </c>
      <c r="H1143">
        <v>7</v>
      </c>
      <c r="I1143" t="s">
        <v>662</v>
      </c>
      <c r="J1143" t="s">
        <v>663</v>
      </c>
      <c r="K1143" t="s">
        <v>647</v>
      </c>
      <c r="L1143" t="s">
        <v>664</v>
      </c>
      <c r="M1143" t="s">
        <v>664</v>
      </c>
    </row>
    <row r="1144" spans="1:13" hidden="1" x14ac:dyDescent="0.2">
      <c r="A1144" s="10" t="s">
        <v>558</v>
      </c>
      <c r="B1144" t="s">
        <v>55</v>
      </c>
      <c r="C1144" t="s">
        <v>658</v>
      </c>
      <c r="D1144" t="s">
        <v>659</v>
      </c>
      <c r="E1144" s="10" t="b">
        <f>IF(ISERROR(VLOOKUP( LEFT(B1144, LEN(B1144) - IF(ISNUMBER(RIGHT(B1144, 1) * 1), 1, 0)),metadata_testudines!B$1:B$60,1,FALSE)),FALSE,TRUE)</f>
        <v>1</v>
      </c>
      <c r="F1144" t="s">
        <v>660</v>
      </c>
      <c r="G1144" t="s">
        <v>666</v>
      </c>
      <c r="H1144">
        <v>21</v>
      </c>
      <c r="I1144" t="s">
        <v>667</v>
      </c>
      <c r="J1144" t="s">
        <v>668</v>
      </c>
      <c r="K1144" t="s">
        <v>647</v>
      </c>
      <c r="L1144" t="s">
        <v>664</v>
      </c>
      <c r="M1144" t="s">
        <v>664</v>
      </c>
    </row>
    <row r="1145" spans="1:13" hidden="1" x14ac:dyDescent="0.2">
      <c r="A1145" s="10" t="s">
        <v>558</v>
      </c>
      <c r="B1145" t="s">
        <v>55</v>
      </c>
      <c r="C1145" t="s">
        <v>658</v>
      </c>
      <c r="D1145" t="s">
        <v>659</v>
      </c>
      <c r="E1145" s="10" t="b">
        <f>IF(ISERROR(VLOOKUP( LEFT(B1145, LEN(B1145) - IF(ISNUMBER(RIGHT(B1145, 1) * 1), 1, 0)),metadata_testudines!B$1:B$60,1,FALSE)),FALSE,TRUE)</f>
        <v>1</v>
      </c>
      <c r="F1145" t="s">
        <v>660</v>
      </c>
      <c r="G1145" t="s">
        <v>661</v>
      </c>
      <c r="H1145">
        <v>1.6666666670000001</v>
      </c>
      <c r="I1145" t="s">
        <v>662</v>
      </c>
      <c r="J1145" t="s">
        <v>663</v>
      </c>
      <c r="K1145" t="s">
        <v>647</v>
      </c>
      <c r="L1145" t="s">
        <v>664</v>
      </c>
      <c r="M1145" t="s">
        <v>664</v>
      </c>
    </row>
    <row r="1146" spans="1:13" hidden="1" x14ac:dyDescent="0.2">
      <c r="A1146" s="10" t="s">
        <v>558</v>
      </c>
      <c r="B1146" t="s">
        <v>54</v>
      </c>
      <c r="C1146" t="s">
        <v>658</v>
      </c>
      <c r="D1146" t="s">
        <v>659</v>
      </c>
      <c r="E1146" s="10" t="b">
        <f>IF(ISERROR(VLOOKUP( LEFT(B1146, LEN(B1146) - IF(ISNUMBER(RIGHT(B1146, 1) * 1), 1, 0)),metadata_testudines!B$1:B$60,1,FALSE)),FALSE,TRUE)</f>
        <v>1</v>
      </c>
      <c r="F1146" t="s">
        <v>660</v>
      </c>
      <c r="G1146" t="s">
        <v>669</v>
      </c>
      <c r="H1146">
        <v>5113.3599999999997</v>
      </c>
      <c r="I1146" t="s">
        <v>662</v>
      </c>
      <c r="J1146" t="s">
        <v>670</v>
      </c>
      <c r="K1146" t="s">
        <v>647</v>
      </c>
      <c r="L1146" t="s">
        <v>647</v>
      </c>
      <c r="M1146" t="s">
        <v>664</v>
      </c>
    </row>
    <row r="1147" spans="1:13" hidden="1" x14ac:dyDescent="0.2">
      <c r="A1147" s="10" t="s">
        <v>558</v>
      </c>
      <c r="B1147" t="s">
        <v>54</v>
      </c>
      <c r="C1147" t="s">
        <v>658</v>
      </c>
      <c r="D1147" t="s">
        <v>659</v>
      </c>
      <c r="E1147" s="10" t="b">
        <f>IF(ISERROR(VLOOKUP( LEFT(B1147, LEN(B1147) - IF(ISNUMBER(RIGHT(B1147, 1) * 1), 1, 0)),metadata_testudines!B$1:B$60,1,FALSE)),FALSE,TRUE)</f>
        <v>1</v>
      </c>
      <c r="F1147" t="s">
        <v>660</v>
      </c>
      <c r="G1147" t="s">
        <v>669</v>
      </c>
      <c r="H1147">
        <v>5844</v>
      </c>
      <c r="I1147" t="s">
        <v>662</v>
      </c>
      <c r="J1147" t="s">
        <v>670</v>
      </c>
      <c r="K1147" t="s">
        <v>647</v>
      </c>
      <c r="L1147" t="s">
        <v>647</v>
      </c>
      <c r="M1147" t="s">
        <v>664</v>
      </c>
    </row>
    <row r="1148" spans="1:13" hidden="1" x14ac:dyDescent="0.2">
      <c r="A1148" s="10" t="s">
        <v>558</v>
      </c>
      <c r="B1148" t="s">
        <v>54</v>
      </c>
      <c r="C1148" t="s">
        <v>658</v>
      </c>
      <c r="D1148" t="s">
        <v>659</v>
      </c>
      <c r="E1148" s="10" t="b">
        <f>IF(ISERROR(VLOOKUP( LEFT(B1148, LEN(B1148) - IF(ISNUMBER(RIGHT(B1148, 1) * 1), 1, 0)),metadata_testudines!B$1:B$60,1,FALSE)),FALSE,TRUE)</f>
        <v>1</v>
      </c>
      <c r="F1148" t="s">
        <v>660</v>
      </c>
      <c r="G1148" t="s">
        <v>661</v>
      </c>
      <c r="H1148">
        <v>4</v>
      </c>
      <c r="I1148" t="s">
        <v>662</v>
      </c>
      <c r="J1148" t="s">
        <v>663</v>
      </c>
      <c r="K1148" t="s">
        <v>647</v>
      </c>
      <c r="L1148" t="s">
        <v>664</v>
      </c>
      <c r="M1148" t="s">
        <v>664</v>
      </c>
    </row>
    <row r="1149" spans="1:13" hidden="1" x14ac:dyDescent="0.2">
      <c r="A1149" s="10" t="s">
        <v>558</v>
      </c>
      <c r="B1149" t="s">
        <v>54</v>
      </c>
      <c r="C1149" t="s">
        <v>658</v>
      </c>
      <c r="D1149" t="s">
        <v>659</v>
      </c>
      <c r="E1149" s="10" t="b">
        <f>IF(ISERROR(VLOOKUP( LEFT(B1149, LEN(B1149) - IF(ISNUMBER(RIGHT(B1149, 1) * 1), 1, 0)),metadata_testudines!B$1:B$60,1,FALSE)),FALSE,TRUE)</f>
        <v>1</v>
      </c>
      <c r="F1149" t="s">
        <v>660</v>
      </c>
      <c r="G1149" t="s">
        <v>661</v>
      </c>
      <c r="H1149">
        <v>15</v>
      </c>
      <c r="I1149" t="s">
        <v>662</v>
      </c>
      <c r="J1149" t="s">
        <v>663</v>
      </c>
      <c r="K1149" t="s">
        <v>647</v>
      </c>
      <c r="L1149" t="s">
        <v>664</v>
      </c>
      <c r="M1149" t="s">
        <v>664</v>
      </c>
    </row>
    <row r="1150" spans="1:13" hidden="1" x14ac:dyDescent="0.2">
      <c r="A1150" s="10" t="s">
        <v>558</v>
      </c>
      <c r="B1150" t="s">
        <v>54</v>
      </c>
      <c r="C1150" t="s">
        <v>658</v>
      </c>
      <c r="D1150" t="s">
        <v>659</v>
      </c>
      <c r="E1150" s="10" t="b">
        <f>IF(ISERROR(VLOOKUP( LEFT(B1150, LEN(B1150) - IF(ISNUMBER(RIGHT(B1150, 1) * 1), 1, 0)),metadata_testudines!B$1:B$60,1,FALSE)),FALSE,TRUE)</f>
        <v>1</v>
      </c>
      <c r="F1150" t="s">
        <v>660</v>
      </c>
      <c r="G1150" t="s">
        <v>661</v>
      </c>
      <c r="H1150">
        <v>7.5028248590000004</v>
      </c>
      <c r="I1150" t="s">
        <v>662</v>
      </c>
      <c r="J1150" t="s">
        <v>663</v>
      </c>
      <c r="K1150" t="s">
        <v>647</v>
      </c>
      <c r="L1150" t="s">
        <v>664</v>
      </c>
      <c r="M1150" t="s">
        <v>664</v>
      </c>
    </row>
    <row r="1151" spans="1:13" hidden="1" x14ac:dyDescent="0.2">
      <c r="A1151" s="10" t="s">
        <v>558</v>
      </c>
      <c r="B1151" t="s">
        <v>54</v>
      </c>
      <c r="C1151" t="s">
        <v>658</v>
      </c>
      <c r="D1151" t="s">
        <v>659</v>
      </c>
      <c r="E1151" s="10" t="b">
        <f>IF(ISERROR(VLOOKUP( LEFT(B1151, LEN(B1151) - IF(ISNUMBER(RIGHT(B1151, 1) * 1), 1, 0)),metadata_testudines!B$1:B$60,1,FALSE)),FALSE,TRUE)</f>
        <v>1</v>
      </c>
      <c r="F1151" t="s">
        <v>660</v>
      </c>
      <c r="G1151" t="s">
        <v>669</v>
      </c>
      <c r="H1151">
        <v>2921.92</v>
      </c>
      <c r="I1151" t="s">
        <v>662</v>
      </c>
      <c r="J1151" t="s">
        <v>670</v>
      </c>
      <c r="K1151" t="s">
        <v>647</v>
      </c>
      <c r="L1151" t="s">
        <v>647</v>
      </c>
      <c r="M1151" t="s">
        <v>664</v>
      </c>
    </row>
    <row r="1152" spans="1:13" hidden="1" x14ac:dyDescent="0.2">
      <c r="A1152" s="10" t="s">
        <v>558</v>
      </c>
      <c r="B1152" t="s">
        <v>54</v>
      </c>
      <c r="C1152" t="s">
        <v>658</v>
      </c>
      <c r="D1152" t="s">
        <v>659</v>
      </c>
      <c r="E1152" s="10" t="b">
        <f>IF(ISERROR(VLOOKUP( LEFT(B1152, LEN(B1152) - IF(ISNUMBER(RIGHT(B1152, 1) * 1), 1, 0)),metadata_testudines!B$1:B$60,1,FALSE)),FALSE,TRUE)</f>
        <v>1</v>
      </c>
      <c r="F1152" t="s">
        <v>701</v>
      </c>
      <c r="G1152" t="s">
        <v>702</v>
      </c>
      <c r="H1152">
        <v>10</v>
      </c>
      <c r="I1152" t="s">
        <v>662</v>
      </c>
      <c r="J1152" t="s">
        <v>670</v>
      </c>
      <c r="K1152" t="s">
        <v>647</v>
      </c>
      <c r="L1152" t="s">
        <v>646</v>
      </c>
      <c r="M1152" t="s">
        <v>664</v>
      </c>
    </row>
    <row r="1153" spans="1:13" hidden="1" x14ac:dyDescent="0.2">
      <c r="A1153" s="10" t="s">
        <v>558</v>
      </c>
      <c r="B1153" t="s">
        <v>54</v>
      </c>
      <c r="C1153" t="s">
        <v>658</v>
      </c>
      <c r="D1153" t="s">
        <v>659</v>
      </c>
      <c r="E1153" s="10" t="b">
        <f>IF(ISERROR(VLOOKUP( LEFT(B1153, LEN(B1153) - IF(ISNUMBER(RIGHT(B1153, 1) * 1), 1, 0)),metadata_testudines!B$1:B$60,1,FALSE)),FALSE,TRUE)</f>
        <v>1</v>
      </c>
      <c r="F1153" t="s">
        <v>701</v>
      </c>
      <c r="G1153" t="s">
        <v>704</v>
      </c>
      <c r="H1153">
        <v>10</v>
      </c>
      <c r="I1153" t="s">
        <v>662</v>
      </c>
      <c r="J1153" t="s">
        <v>670</v>
      </c>
      <c r="K1153" t="s">
        <v>647</v>
      </c>
      <c r="L1153" t="s">
        <v>677</v>
      </c>
      <c r="M1153" t="s">
        <v>664</v>
      </c>
    </row>
    <row r="1154" spans="1:13" hidden="1" x14ac:dyDescent="0.2">
      <c r="A1154" s="10" t="s">
        <v>558</v>
      </c>
      <c r="B1154" t="s">
        <v>54</v>
      </c>
      <c r="C1154" t="s">
        <v>658</v>
      </c>
      <c r="D1154" t="s">
        <v>659</v>
      </c>
      <c r="E1154" s="10" t="b">
        <f>IF(ISERROR(VLOOKUP( LEFT(B1154, LEN(B1154) - IF(ISNUMBER(RIGHT(B1154, 1) * 1), 1, 0)),metadata_testudines!B$1:B$60,1,FALSE)),FALSE,TRUE)</f>
        <v>1</v>
      </c>
      <c r="F1154" t="s">
        <v>660</v>
      </c>
      <c r="G1154" t="s">
        <v>661</v>
      </c>
      <c r="H1154">
        <v>4</v>
      </c>
      <c r="I1154" t="s">
        <v>662</v>
      </c>
      <c r="J1154" t="s">
        <v>663</v>
      </c>
      <c r="K1154" t="s">
        <v>647</v>
      </c>
      <c r="L1154" t="s">
        <v>664</v>
      </c>
      <c r="M1154" t="s">
        <v>664</v>
      </c>
    </row>
    <row r="1155" spans="1:13" hidden="1" x14ac:dyDescent="0.2">
      <c r="A1155" s="10" t="s">
        <v>558</v>
      </c>
      <c r="B1155" t="s">
        <v>54</v>
      </c>
      <c r="C1155" t="s">
        <v>658</v>
      </c>
      <c r="D1155" t="s">
        <v>659</v>
      </c>
      <c r="E1155" s="10" t="b">
        <f>IF(ISERROR(VLOOKUP( LEFT(B1155, LEN(B1155) - IF(ISNUMBER(RIGHT(B1155, 1) * 1), 1, 0)),metadata_testudines!B$1:B$60,1,FALSE)),FALSE,TRUE)</f>
        <v>1</v>
      </c>
      <c r="F1155" t="s">
        <v>660</v>
      </c>
      <c r="G1155" t="s">
        <v>665</v>
      </c>
      <c r="H1155">
        <v>3</v>
      </c>
      <c r="I1155" t="s">
        <v>662</v>
      </c>
      <c r="J1155" t="s">
        <v>663</v>
      </c>
      <c r="K1155" t="s">
        <v>647</v>
      </c>
      <c r="L1155" t="s">
        <v>664</v>
      </c>
      <c r="M1155" t="s">
        <v>664</v>
      </c>
    </row>
    <row r="1156" spans="1:13" hidden="1" x14ac:dyDescent="0.2">
      <c r="A1156" s="10" t="s">
        <v>558</v>
      </c>
      <c r="B1156" t="s">
        <v>54</v>
      </c>
      <c r="C1156" t="s">
        <v>658</v>
      </c>
      <c r="D1156" t="s">
        <v>659</v>
      </c>
      <c r="E1156" s="10" t="b">
        <f>IF(ISERROR(VLOOKUP( LEFT(B1156, LEN(B1156) - IF(ISNUMBER(RIGHT(B1156, 1) * 1), 1, 0)),metadata_testudines!B$1:B$60,1,FALSE)),FALSE,TRUE)</f>
        <v>1</v>
      </c>
      <c r="F1156" t="s">
        <v>660</v>
      </c>
      <c r="G1156" t="s">
        <v>661</v>
      </c>
      <c r="H1156">
        <v>7</v>
      </c>
      <c r="I1156" t="s">
        <v>662</v>
      </c>
      <c r="J1156" t="s">
        <v>663</v>
      </c>
      <c r="K1156" t="s">
        <v>647</v>
      </c>
      <c r="L1156" t="s">
        <v>664</v>
      </c>
      <c r="M1156" t="s">
        <v>664</v>
      </c>
    </row>
    <row r="1157" spans="1:13" hidden="1" x14ac:dyDescent="0.2">
      <c r="A1157" s="10" t="s">
        <v>558</v>
      </c>
      <c r="B1157" t="s">
        <v>54</v>
      </c>
      <c r="C1157" t="s">
        <v>658</v>
      </c>
      <c r="D1157" t="s">
        <v>659</v>
      </c>
      <c r="E1157" s="10" t="b">
        <f>IF(ISERROR(VLOOKUP( LEFT(B1157, LEN(B1157) - IF(ISNUMBER(RIGHT(B1157, 1) * 1), 1, 0)),metadata_testudines!B$1:B$60,1,FALSE)),FALSE,TRUE)</f>
        <v>1</v>
      </c>
      <c r="F1157" t="s">
        <v>660</v>
      </c>
      <c r="G1157" t="s">
        <v>661</v>
      </c>
      <c r="H1157">
        <v>14</v>
      </c>
      <c r="I1157" t="s">
        <v>662</v>
      </c>
      <c r="J1157" t="s">
        <v>663</v>
      </c>
      <c r="K1157" t="s">
        <v>647</v>
      </c>
      <c r="L1157" t="s">
        <v>664</v>
      </c>
      <c r="M1157" t="s">
        <v>664</v>
      </c>
    </row>
    <row r="1158" spans="1:13" hidden="1" x14ac:dyDescent="0.2">
      <c r="A1158" s="10" t="s">
        <v>558</v>
      </c>
      <c r="B1158" t="s">
        <v>54</v>
      </c>
      <c r="C1158" t="s">
        <v>658</v>
      </c>
      <c r="D1158" t="s">
        <v>659</v>
      </c>
      <c r="E1158" s="10" t="b">
        <f>IF(ISERROR(VLOOKUP( LEFT(B1158, LEN(B1158) - IF(ISNUMBER(RIGHT(B1158, 1) * 1), 1, 0)),metadata_testudines!B$1:B$60,1,FALSE)),FALSE,TRUE)</f>
        <v>1</v>
      </c>
      <c r="F1158" t="s">
        <v>660</v>
      </c>
      <c r="G1158" t="s">
        <v>669</v>
      </c>
      <c r="H1158">
        <v>4748.25</v>
      </c>
      <c r="I1158" t="s">
        <v>662</v>
      </c>
      <c r="J1158" t="s">
        <v>670</v>
      </c>
      <c r="K1158" t="s">
        <v>647</v>
      </c>
      <c r="L1158" t="s">
        <v>647</v>
      </c>
      <c r="M1158" t="s">
        <v>664</v>
      </c>
    </row>
    <row r="1159" spans="1:13" hidden="1" x14ac:dyDescent="0.2">
      <c r="A1159" s="10" t="s">
        <v>558</v>
      </c>
      <c r="B1159" t="s">
        <v>54</v>
      </c>
      <c r="C1159" t="s">
        <v>658</v>
      </c>
      <c r="D1159" t="s">
        <v>659</v>
      </c>
      <c r="E1159" s="10" t="b">
        <f>IF(ISERROR(VLOOKUP( LEFT(B1159, LEN(B1159) - IF(ISNUMBER(RIGHT(B1159, 1) * 1), 1, 0)),metadata_testudines!B$1:B$60,1,FALSE)),FALSE,TRUE)</f>
        <v>1</v>
      </c>
      <c r="F1159" t="s">
        <v>660</v>
      </c>
      <c r="G1159" t="s">
        <v>666</v>
      </c>
      <c r="H1159">
        <v>21.2</v>
      </c>
      <c r="I1159" t="s">
        <v>667</v>
      </c>
      <c r="J1159" t="s">
        <v>668</v>
      </c>
      <c r="K1159" t="s">
        <v>647</v>
      </c>
      <c r="L1159" t="s">
        <v>664</v>
      </c>
      <c r="M1159" t="s">
        <v>664</v>
      </c>
    </row>
    <row r="1160" spans="1:13" hidden="1" x14ac:dyDescent="0.2">
      <c r="A1160" s="10" t="s">
        <v>558</v>
      </c>
      <c r="B1160" t="s">
        <v>54</v>
      </c>
      <c r="C1160" t="s">
        <v>658</v>
      </c>
      <c r="D1160" t="s">
        <v>659</v>
      </c>
      <c r="E1160" s="10" t="b">
        <f>IF(ISERROR(VLOOKUP( LEFT(B1160, LEN(B1160) - IF(ISNUMBER(RIGHT(B1160, 1) * 1), 1, 0)),metadata_testudines!B$1:B$60,1,FALSE)),FALSE,TRUE)</f>
        <v>1</v>
      </c>
      <c r="F1160" t="s">
        <v>701</v>
      </c>
      <c r="G1160" t="s">
        <v>705</v>
      </c>
      <c r="H1160">
        <v>8</v>
      </c>
      <c r="I1160" t="s">
        <v>662</v>
      </c>
      <c r="J1160" t="s">
        <v>670</v>
      </c>
      <c r="K1160" t="s">
        <v>647</v>
      </c>
      <c r="L1160" t="s">
        <v>646</v>
      </c>
      <c r="M1160" t="s">
        <v>664</v>
      </c>
    </row>
    <row r="1161" spans="1:13" hidden="1" x14ac:dyDescent="0.2">
      <c r="A1161" s="10" t="s">
        <v>558</v>
      </c>
      <c r="B1161" t="s">
        <v>54</v>
      </c>
      <c r="C1161" t="s">
        <v>658</v>
      </c>
      <c r="D1161" t="s">
        <v>659</v>
      </c>
      <c r="E1161" s="10" t="b">
        <f>IF(ISERROR(VLOOKUP( LEFT(B1161, LEN(B1161) - IF(ISNUMBER(RIGHT(B1161, 1) * 1), 1, 0)),metadata_testudines!B$1:B$60,1,FALSE)),FALSE,TRUE)</f>
        <v>1</v>
      </c>
      <c r="F1161" t="s">
        <v>660</v>
      </c>
      <c r="G1161" t="s">
        <v>669</v>
      </c>
      <c r="H1161">
        <v>5113.5</v>
      </c>
      <c r="I1161" t="s">
        <v>662</v>
      </c>
      <c r="J1161" t="s">
        <v>670</v>
      </c>
      <c r="K1161" t="s">
        <v>647</v>
      </c>
      <c r="L1161" t="s">
        <v>647</v>
      </c>
      <c r="M1161" t="s">
        <v>664</v>
      </c>
    </row>
    <row r="1162" spans="1:13" hidden="1" x14ac:dyDescent="0.2">
      <c r="A1162" s="10" t="s">
        <v>558</v>
      </c>
      <c r="B1162" t="s">
        <v>54</v>
      </c>
      <c r="C1162" t="s">
        <v>658</v>
      </c>
      <c r="D1162" t="s">
        <v>659</v>
      </c>
      <c r="E1162" s="10" t="b">
        <f>IF(ISERROR(VLOOKUP( LEFT(B1162, LEN(B1162) - IF(ISNUMBER(RIGHT(B1162, 1) * 1), 1, 0)),metadata_testudines!B$1:B$60,1,FALSE)),FALSE,TRUE)</f>
        <v>1</v>
      </c>
      <c r="F1162" t="s">
        <v>660</v>
      </c>
      <c r="G1162" t="s">
        <v>665</v>
      </c>
      <c r="H1162">
        <v>3</v>
      </c>
      <c r="I1162" t="s">
        <v>662</v>
      </c>
      <c r="J1162" t="s">
        <v>663</v>
      </c>
      <c r="K1162" t="s">
        <v>647</v>
      </c>
      <c r="L1162" t="s">
        <v>664</v>
      </c>
      <c r="M1162" t="s">
        <v>664</v>
      </c>
    </row>
    <row r="1163" spans="1:13" hidden="1" x14ac:dyDescent="0.2">
      <c r="A1163" s="10" t="s">
        <v>558</v>
      </c>
      <c r="B1163" t="s">
        <v>54</v>
      </c>
      <c r="C1163" t="s">
        <v>658</v>
      </c>
      <c r="D1163" t="s">
        <v>659</v>
      </c>
      <c r="E1163" s="10" t="b">
        <f>IF(ISERROR(VLOOKUP( LEFT(B1163, LEN(B1163) - IF(ISNUMBER(RIGHT(B1163, 1) * 1), 1, 0)),metadata_testudines!B$1:B$60,1,FALSE)),FALSE,TRUE)</f>
        <v>1</v>
      </c>
      <c r="F1163" t="s">
        <v>671</v>
      </c>
      <c r="G1163" t="s">
        <v>672</v>
      </c>
      <c r="H1163">
        <v>21.2</v>
      </c>
      <c r="I1163" t="s">
        <v>667</v>
      </c>
      <c r="J1163" t="s">
        <v>668</v>
      </c>
      <c r="K1163" t="s">
        <v>673</v>
      </c>
      <c r="L1163" t="s">
        <v>664</v>
      </c>
      <c r="M1163" t="s">
        <v>678</v>
      </c>
    </row>
    <row r="1164" spans="1:13" hidden="1" x14ac:dyDescent="0.2">
      <c r="A1164" s="10" t="s">
        <v>558</v>
      </c>
      <c r="B1164" t="s">
        <v>54</v>
      </c>
      <c r="C1164" t="s">
        <v>658</v>
      </c>
      <c r="D1164" t="s">
        <v>659</v>
      </c>
      <c r="E1164" s="10" t="b">
        <f>IF(ISERROR(VLOOKUP( LEFT(B1164, LEN(B1164) - IF(ISNUMBER(RIGHT(B1164, 1) * 1), 1, 0)),metadata_testudines!B$1:B$60,1,FALSE)),FALSE,TRUE)</f>
        <v>1</v>
      </c>
      <c r="F1164" t="s">
        <v>660</v>
      </c>
      <c r="G1164" t="s">
        <v>661</v>
      </c>
      <c r="H1164">
        <v>6</v>
      </c>
      <c r="I1164" t="s">
        <v>662</v>
      </c>
      <c r="J1164" t="s">
        <v>663</v>
      </c>
      <c r="K1164" t="s">
        <v>647</v>
      </c>
      <c r="L1164" t="s">
        <v>664</v>
      </c>
      <c r="M1164" t="s">
        <v>664</v>
      </c>
    </row>
    <row r="1165" spans="1:13" hidden="1" x14ac:dyDescent="0.2">
      <c r="A1165" s="10" t="s">
        <v>558</v>
      </c>
      <c r="B1165" t="s">
        <v>54</v>
      </c>
      <c r="C1165" t="s">
        <v>658</v>
      </c>
      <c r="D1165" t="s">
        <v>659</v>
      </c>
      <c r="E1165" s="10" t="b">
        <f>IF(ISERROR(VLOOKUP( LEFT(B1165, LEN(B1165) - IF(ISNUMBER(RIGHT(B1165, 1) * 1), 1, 0)),metadata_testudines!B$1:B$60,1,FALSE)),FALSE,TRUE)</f>
        <v>1</v>
      </c>
      <c r="F1165" t="s">
        <v>660</v>
      </c>
      <c r="G1165" t="s">
        <v>661</v>
      </c>
      <c r="H1165">
        <v>7</v>
      </c>
      <c r="I1165" t="s">
        <v>662</v>
      </c>
      <c r="J1165" t="s">
        <v>663</v>
      </c>
      <c r="K1165" t="s">
        <v>647</v>
      </c>
      <c r="L1165" t="s">
        <v>664</v>
      </c>
      <c r="M1165" t="s">
        <v>664</v>
      </c>
    </row>
    <row r="1166" spans="1:13" hidden="1" x14ac:dyDescent="0.2">
      <c r="A1166" s="10" t="s">
        <v>558</v>
      </c>
      <c r="B1166" t="s">
        <v>54</v>
      </c>
      <c r="C1166" t="s">
        <v>658</v>
      </c>
      <c r="D1166" t="s">
        <v>659</v>
      </c>
      <c r="E1166" s="10" t="b">
        <f>IF(ISERROR(VLOOKUP( LEFT(B1166, LEN(B1166) - IF(ISNUMBER(RIGHT(B1166, 1) * 1), 1, 0)),metadata_testudines!B$1:B$60,1,FALSE)),FALSE,TRUE)</f>
        <v>1</v>
      </c>
      <c r="F1166" t="s">
        <v>660</v>
      </c>
      <c r="G1166" t="s">
        <v>661</v>
      </c>
      <c r="H1166">
        <v>4</v>
      </c>
      <c r="I1166" t="s">
        <v>662</v>
      </c>
      <c r="J1166" t="s">
        <v>663</v>
      </c>
      <c r="K1166" t="s">
        <v>647</v>
      </c>
      <c r="L1166" t="s">
        <v>664</v>
      </c>
      <c r="M1166" t="s">
        <v>664</v>
      </c>
    </row>
    <row r="1167" spans="1:13" hidden="1" x14ac:dyDescent="0.2">
      <c r="A1167" s="10" t="s">
        <v>558</v>
      </c>
      <c r="B1167" t="s">
        <v>54</v>
      </c>
      <c r="C1167" t="s">
        <v>658</v>
      </c>
      <c r="D1167" t="s">
        <v>659</v>
      </c>
      <c r="E1167" s="10" t="b">
        <f>IF(ISERROR(VLOOKUP( LEFT(B1167, LEN(B1167) - IF(ISNUMBER(RIGHT(B1167, 1) * 1), 1, 0)),metadata_testudines!B$1:B$60,1,FALSE)),FALSE,TRUE)</f>
        <v>1</v>
      </c>
      <c r="F1167" t="s">
        <v>660</v>
      </c>
      <c r="G1167" t="s">
        <v>661</v>
      </c>
      <c r="H1167">
        <v>3</v>
      </c>
      <c r="I1167" t="s">
        <v>662</v>
      </c>
      <c r="J1167" t="s">
        <v>663</v>
      </c>
      <c r="K1167" t="s">
        <v>647</v>
      </c>
      <c r="L1167" t="s">
        <v>664</v>
      </c>
      <c r="M1167" t="s">
        <v>664</v>
      </c>
    </row>
    <row r="1168" spans="1:13" hidden="1" x14ac:dyDescent="0.2">
      <c r="A1168" s="10" t="s">
        <v>558</v>
      </c>
      <c r="B1168" t="s">
        <v>54</v>
      </c>
      <c r="C1168" t="s">
        <v>658</v>
      </c>
      <c r="D1168" t="s">
        <v>659</v>
      </c>
      <c r="E1168" s="10" t="b">
        <f>IF(ISERROR(VLOOKUP( LEFT(B1168, LEN(B1168) - IF(ISNUMBER(RIGHT(B1168, 1) * 1), 1, 0)),metadata_testudines!B$1:B$60,1,FALSE)),FALSE,TRUE)</f>
        <v>1</v>
      </c>
      <c r="F1168" t="s">
        <v>660</v>
      </c>
      <c r="G1168" t="s">
        <v>661</v>
      </c>
      <c r="H1168">
        <v>6</v>
      </c>
      <c r="I1168" t="s">
        <v>662</v>
      </c>
      <c r="J1168" t="s">
        <v>663</v>
      </c>
      <c r="K1168" t="s">
        <v>647</v>
      </c>
      <c r="L1168" t="s">
        <v>664</v>
      </c>
      <c r="M1168" t="s">
        <v>664</v>
      </c>
    </row>
    <row r="1169" spans="1:13" hidden="1" x14ac:dyDescent="0.2">
      <c r="A1169" s="10" t="s">
        <v>558</v>
      </c>
      <c r="B1169" t="s">
        <v>54</v>
      </c>
      <c r="C1169" t="s">
        <v>658</v>
      </c>
      <c r="D1169" t="s">
        <v>659</v>
      </c>
      <c r="E1169" s="10" t="b">
        <f>IF(ISERROR(VLOOKUP( LEFT(B1169, LEN(B1169) - IF(ISNUMBER(RIGHT(B1169, 1) * 1), 1, 0)),metadata_testudines!B$1:B$60,1,FALSE)),FALSE,TRUE)</f>
        <v>1</v>
      </c>
      <c r="F1169" t="s">
        <v>701</v>
      </c>
      <c r="G1169" t="s">
        <v>703</v>
      </c>
      <c r="H1169">
        <v>8</v>
      </c>
      <c r="I1169" t="s">
        <v>662</v>
      </c>
      <c r="J1169" t="s">
        <v>670</v>
      </c>
      <c r="K1169" t="s">
        <v>647</v>
      </c>
      <c r="L1169" t="s">
        <v>677</v>
      </c>
      <c r="M1169" t="s">
        <v>664</v>
      </c>
    </row>
    <row r="1170" spans="1:13" hidden="1" x14ac:dyDescent="0.2">
      <c r="A1170" s="10" t="s">
        <v>558</v>
      </c>
      <c r="B1170" t="s">
        <v>54</v>
      </c>
      <c r="C1170" t="s">
        <v>658</v>
      </c>
      <c r="D1170" t="s">
        <v>659</v>
      </c>
      <c r="E1170" s="10" t="b">
        <f>IF(ISERROR(VLOOKUP( LEFT(B1170, LEN(B1170) - IF(ISNUMBER(RIGHT(B1170, 1) * 1), 1, 0)),metadata_testudines!B$1:B$60,1,FALSE)),FALSE,TRUE)</f>
        <v>1</v>
      </c>
      <c r="F1170" t="s">
        <v>660</v>
      </c>
      <c r="G1170" t="s">
        <v>661</v>
      </c>
      <c r="H1170">
        <v>5.6</v>
      </c>
      <c r="I1170" t="s">
        <v>662</v>
      </c>
      <c r="J1170" t="s">
        <v>663</v>
      </c>
      <c r="K1170" t="s">
        <v>647</v>
      </c>
      <c r="L1170" t="s">
        <v>664</v>
      </c>
      <c r="M1170" t="s">
        <v>664</v>
      </c>
    </row>
    <row r="1171" spans="1:13" hidden="1" x14ac:dyDescent="0.2">
      <c r="A1171" s="10" t="s">
        <v>558</v>
      </c>
      <c r="B1171" t="s">
        <v>54</v>
      </c>
      <c r="C1171" t="s">
        <v>658</v>
      </c>
      <c r="D1171" t="s">
        <v>659</v>
      </c>
      <c r="E1171" s="10" t="b">
        <f>IF(ISERROR(VLOOKUP( LEFT(B1171, LEN(B1171) - IF(ISNUMBER(RIGHT(B1171, 1) * 1), 1, 0)),metadata_testudines!B$1:B$60,1,FALSE)),FALSE,TRUE)</f>
        <v>1</v>
      </c>
      <c r="F1171" t="s">
        <v>660</v>
      </c>
      <c r="G1171" t="s">
        <v>669</v>
      </c>
      <c r="H1171">
        <v>5113.5</v>
      </c>
      <c r="I1171" t="s">
        <v>662</v>
      </c>
      <c r="J1171" t="s">
        <v>670</v>
      </c>
      <c r="K1171" t="s">
        <v>647</v>
      </c>
      <c r="L1171" t="s">
        <v>647</v>
      </c>
      <c r="M1171" t="s">
        <v>664</v>
      </c>
    </row>
    <row r="1172" spans="1:13" hidden="1" x14ac:dyDescent="0.2">
      <c r="A1172" s="10" t="s">
        <v>558</v>
      </c>
      <c r="B1172" t="s">
        <v>54</v>
      </c>
      <c r="C1172" t="s">
        <v>658</v>
      </c>
      <c r="D1172" t="s">
        <v>659</v>
      </c>
      <c r="E1172" s="10" t="b">
        <f>IF(ISERROR(VLOOKUP( LEFT(B1172, LEN(B1172) - IF(ISNUMBER(RIGHT(B1172, 1) * 1), 1, 0)),metadata_testudines!B$1:B$60,1,FALSE)),FALSE,TRUE)</f>
        <v>1</v>
      </c>
      <c r="F1172" t="s">
        <v>660</v>
      </c>
      <c r="G1172" t="s">
        <v>661</v>
      </c>
      <c r="H1172">
        <v>4</v>
      </c>
      <c r="I1172" t="s">
        <v>662</v>
      </c>
      <c r="J1172" t="s">
        <v>663</v>
      </c>
      <c r="K1172" t="s">
        <v>647</v>
      </c>
      <c r="L1172" t="s">
        <v>664</v>
      </c>
      <c r="M1172" t="s">
        <v>664</v>
      </c>
    </row>
    <row r="1173" spans="1:13" hidden="1" x14ac:dyDescent="0.2">
      <c r="A1173" s="10" t="s">
        <v>558</v>
      </c>
      <c r="B1173" t="s">
        <v>54</v>
      </c>
      <c r="C1173" t="s">
        <v>658</v>
      </c>
      <c r="D1173" t="s">
        <v>659</v>
      </c>
      <c r="E1173" s="10" t="b">
        <f>IF(ISERROR(VLOOKUP( LEFT(B1173, LEN(B1173) - IF(ISNUMBER(RIGHT(B1173, 1) * 1), 1, 0)),metadata_testudines!B$1:B$60,1,FALSE)),FALSE,TRUE)</f>
        <v>1</v>
      </c>
      <c r="F1173" t="s">
        <v>660</v>
      </c>
      <c r="G1173" t="s">
        <v>665</v>
      </c>
      <c r="H1173">
        <v>1</v>
      </c>
      <c r="I1173" t="s">
        <v>662</v>
      </c>
      <c r="J1173" t="s">
        <v>663</v>
      </c>
      <c r="K1173" t="s">
        <v>647</v>
      </c>
      <c r="L1173" t="s">
        <v>664</v>
      </c>
      <c r="M1173" t="s">
        <v>664</v>
      </c>
    </row>
    <row r="1174" spans="1:13" hidden="1" x14ac:dyDescent="0.2">
      <c r="A1174" s="10" t="s">
        <v>558</v>
      </c>
      <c r="B1174" t="s">
        <v>54</v>
      </c>
      <c r="C1174" t="s">
        <v>658</v>
      </c>
      <c r="D1174" t="s">
        <v>659</v>
      </c>
      <c r="E1174" s="10" t="b">
        <f>IF(ISERROR(VLOOKUP( LEFT(B1174, LEN(B1174) - IF(ISNUMBER(RIGHT(B1174, 1) * 1), 1, 0)),metadata_testudines!B$1:B$60,1,FALSE)),FALSE,TRUE)</f>
        <v>1</v>
      </c>
      <c r="F1174" t="s">
        <v>660</v>
      </c>
      <c r="G1174" t="s">
        <v>665</v>
      </c>
      <c r="H1174">
        <v>1</v>
      </c>
      <c r="I1174" t="s">
        <v>662</v>
      </c>
      <c r="J1174" t="s">
        <v>663</v>
      </c>
      <c r="K1174" t="s">
        <v>647</v>
      </c>
      <c r="L1174" t="s">
        <v>664</v>
      </c>
      <c r="M1174" t="s">
        <v>664</v>
      </c>
    </row>
    <row r="1175" spans="1:13" hidden="1" x14ac:dyDescent="0.2">
      <c r="A1175" s="10" t="s">
        <v>558</v>
      </c>
      <c r="B1175" t="s">
        <v>54</v>
      </c>
      <c r="C1175" t="s">
        <v>658</v>
      </c>
      <c r="D1175" t="s">
        <v>659</v>
      </c>
      <c r="E1175" s="10" t="b">
        <f>IF(ISERROR(VLOOKUP( LEFT(B1175, LEN(B1175) - IF(ISNUMBER(RIGHT(B1175, 1) * 1), 1, 0)),metadata_testudines!B$1:B$60,1,FALSE)),FALSE,TRUE)</f>
        <v>1</v>
      </c>
      <c r="F1175" t="s">
        <v>660</v>
      </c>
      <c r="G1175" t="s">
        <v>661</v>
      </c>
      <c r="H1175">
        <v>4</v>
      </c>
      <c r="I1175" t="s">
        <v>662</v>
      </c>
      <c r="J1175" t="s">
        <v>663</v>
      </c>
      <c r="K1175" t="s">
        <v>647</v>
      </c>
      <c r="L1175" t="s">
        <v>664</v>
      </c>
      <c r="M1175" t="s">
        <v>664</v>
      </c>
    </row>
    <row r="1176" spans="1:13" hidden="1" x14ac:dyDescent="0.2">
      <c r="A1176" s="10" t="s">
        <v>558</v>
      </c>
      <c r="B1176" t="s">
        <v>54</v>
      </c>
      <c r="C1176" t="s">
        <v>658</v>
      </c>
      <c r="D1176" t="s">
        <v>659</v>
      </c>
      <c r="E1176" s="10" t="b">
        <f>IF(ISERROR(VLOOKUP( LEFT(B1176, LEN(B1176) - IF(ISNUMBER(RIGHT(B1176, 1) * 1), 1, 0)),metadata_testudines!B$1:B$60,1,FALSE)),FALSE,TRUE)</f>
        <v>1</v>
      </c>
      <c r="F1176" t="s">
        <v>660</v>
      </c>
      <c r="G1176" t="s">
        <v>665</v>
      </c>
      <c r="H1176">
        <v>2.3990963860000001</v>
      </c>
      <c r="I1176" t="s">
        <v>662</v>
      </c>
      <c r="J1176" t="s">
        <v>663</v>
      </c>
      <c r="K1176" t="s">
        <v>647</v>
      </c>
      <c r="L1176" t="s">
        <v>664</v>
      </c>
      <c r="M1176" t="s">
        <v>664</v>
      </c>
    </row>
    <row r="1177" spans="1:13" hidden="1" x14ac:dyDescent="0.2">
      <c r="A1177" s="10" t="s">
        <v>558</v>
      </c>
      <c r="B1177" t="s">
        <v>54</v>
      </c>
      <c r="C1177" t="s">
        <v>658</v>
      </c>
      <c r="D1177" t="s">
        <v>659</v>
      </c>
      <c r="E1177" s="10" t="b">
        <f>IF(ISERROR(VLOOKUP( LEFT(B1177, LEN(B1177) - IF(ISNUMBER(RIGHT(B1177, 1) * 1), 1, 0)),metadata_testudines!B$1:B$60,1,FALSE)),FALSE,TRUE)</f>
        <v>1</v>
      </c>
      <c r="F1177" t="s">
        <v>660</v>
      </c>
      <c r="G1177" t="s">
        <v>665</v>
      </c>
      <c r="H1177">
        <v>1</v>
      </c>
      <c r="I1177" t="s">
        <v>662</v>
      </c>
      <c r="J1177" t="s">
        <v>663</v>
      </c>
      <c r="K1177" t="s">
        <v>647</v>
      </c>
      <c r="L1177" t="s">
        <v>664</v>
      </c>
      <c r="M1177" t="s">
        <v>664</v>
      </c>
    </row>
    <row r="1178" spans="1:13" hidden="1" x14ac:dyDescent="0.2">
      <c r="A1178" s="10" t="s">
        <v>558</v>
      </c>
      <c r="B1178" t="s">
        <v>54</v>
      </c>
      <c r="C1178" t="s">
        <v>658</v>
      </c>
      <c r="D1178" t="s">
        <v>659</v>
      </c>
      <c r="E1178" s="10" t="b">
        <f>IF(ISERROR(VLOOKUP( LEFT(B1178, LEN(B1178) - IF(ISNUMBER(RIGHT(B1178, 1) * 1), 1, 0)),metadata_testudines!B$1:B$60,1,FALSE)),FALSE,TRUE)</f>
        <v>1</v>
      </c>
      <c r="F1178" t="s">
        <v>660</v>
      </c>
      <c r="G1178" t="s">
        <v>661</v>
      </c>
      <c r="H1178">
        <v>7</v>
      </c>
      <c r="I1178" t="s">
        <v>662</v>
      </c>
      <c r="J1178" t="s">
        <v>663</v>
      </c>
      <c r="K1178" t="s">
        <v>647</v>
      </c>
      <c r="L1178" t="s">
        <v>664</v>
      </c>
      <c r="M1178" t="s">
        <v>664</v>
      </c>
    </row>
    <row r="1179" spans="1:13" hidden="1" x14ac:dyDescent="0.2">
      <c r="A1179" s="10" t="s">
        <v>558</v>
      </c>
      <c r="B1179" t="s">
        <v>54</v>
      </c>
      <c r="C1179" t="s">
        <v>658</v>
      </c>
      <c r="D1179" t="s">
        <v>659</v>
      </c>
      <c r="E1179" s="10" t="b">
        <f>IF(ISERROR(VLOOKUP( LEFT(B1179, LEN(B1179) - IF(ISNUMBER(RIGHT(B1179, 1) * 1), 1, 0)),metadata_testudines!B$1:B$60,1,FALSE)),FALSE,TRUE)</f>
        <v>1</v>
      </c>
      <c r="F1179" t="s">
        <v>660</v>
      </c>
      <c r="G1179" t="s">
        <v>665</v>
      </c>
      <c r="H1179">
        <v>3</v>
      </c>
      <c r="I1179" t="s">
        <v>662</v>
      </c>
      <c r="J1179" t="s">
        <v>663</v>
      </c>
      <c r="K1179" t="s">
        <v>647</v>
      </c>
      <c r="L1179" t="s">
        <v>664</v>
      </c>
      <c r="M1179" t="s">
        <v>664</v>
      </c>
    </row>
  </sheetData>
  <autoFilter ref="A1:M1179" xr:uid="{DC7170D4-3BB6-C044-A63C-12EE090AA896}">
    <filterColumn colId="1">
      <filters>
        <filter val="Kinixys_homeana"/>
      </filters>
    </filterColumn>
    <filterColumn colId="4">
      <filters>
        <filter val="TRUE"/>
      </filters>
    </filterColumn>
  </autoFilter>
  <conditionalFormatting sqref="E2:E1179">
    <cfRule type="containsText" dxfId="2" priority="1" operator="containsText" text="TRUE">
      <formula>NOT(ISERROR(SEARCH("TRUE",E2)))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A68B-F30D-AA4F-902B-EF70E66BBF2D}">
  <dimension ref="A1:G233"/>
  <sheetViews>
    <sheetView workbookViewId="0">
      <selection activeCell="G2" sqref="G2"/>
    </sheetView>
  </sheetViews>
  <sheetFormatPr baseColWidth="10" defaultRowHeight="16" x14ac:dyDescent="0.2"/>
  <cols>
    <col min="1" max="1" width="8.1640625" bestFit="1" customWidth="1"/>
    <col min="2" max="2" width="27" bestFit="1" customWidth="1"/>
    <col min="3" max="3" width="34" bestFit="1" customWidth="1"/>
    <col min="4" max="4" width="57.6640625" bestFit="1" customWidth="1"/>
    <col min="5" max="5" width="23.6640625" bestFit="1" customWidth="1"/>
    <col min="6" max="6" width="25.5" bestFit="1" customWidth="1"/>
    <col min="7" max="7" width="23" bestFit="1" customWidth="1"/>
  </cols>
  <sheetData>
    <row r="1" spans="1:7" x14ac:dyDescent="0.2">
      <c r="A1" s="27" t="s">
        <v>32</v>
      </c>
      <c r="B1" s="30" t="s">
        <v>23</v>
      </c>
      <c r="C1" s="30" t="s">
        <v>637</v>
      </c>
      <c r="D1" s="30" t="s">
        <v>24</v>
      </c>
      <c r="E1" s="30" t="s">
        <v>25</v>
      </c>
      <c r="F1" s="30" t="s">
        <v>33</v>
      </c>
      <c r="G1" s="30" t="s">
        <v>26</v>
      </c>
    </row>
    <row r="2" spans="1:7" x14ac:dyDescent="0.2">
      <c r="A2" s="2">
        <v>27</v>
      </c>
      <c r="B2" t="s">
        <v>67</v>
      </c>
      <c r="C2" t="s">
        <v>711</v>
      </c>
      <c r="D2" s="10" t="s">
        <v>212</v>
      </c>
      <c r="E2" t="s">
        <v>212</v>
      </c>
      <c r="G2" t="s">
        <v>188</v>
      </c>
    </row>
    <row r="3" spans="1:7" x14ac:dyDescent="0.2">
      <c r="A3" s="2">
        <v>44</v>
      </c>
      <c r="B3" t="s">
        <v>80</v>
      </c>
      <c r="C3" t="s">
        <v>711</v>
      </c>
      <c r="D3" t="s">
        <v>188</v>
      </c>
      <c r="E3" t="s">
        <v>212</v>
      </c>
      <c r="F3" t="s">
        <v>583</v>
      </c>
      <c r="G3" t="s">
        <v>212</v>
      </c>
    </row>
    <row r="4" spans="1:7" x14ac:dyDescent="0.2">
      <c r="A4" s="2">
        <v>43</v>
      </c>
      <c r="B4" t="s">
        <v>79</v>
      </c>
      <c r="C4" t="s">
        <v>711</v>
      </c>
      <c r="D4" t="s">
        <v>212</v>
      </c>
      <c r="E4" t="s">
        <v>212</v>
      </c>
      <c r="F4" t="s">
        <v>564</v>
      </c>
    </row>
    <row r="5" spans="1:7" x14ac:dyDescent="0.2">
      <c r="A5" s="2">
        <v>7</v>
      </c>
      <c r="B5" t="s">
        <v>48</v>
      </c>
      <c r="C5" t="s">
        <v>711</v>
      </c>
      <c r="D5" t="s">
        <v>212</v>
      </c>
      <c r="E5" t="s">
        <v>573</v>
      </c>
      <c r="G5" t="s">
        <v>188</v>
      </c>
    </row>
    <row r="6" spans="1:7" x14ac:dyDescent="0.2">
      <c r="A6" s="2">
        <v>50</v>
      </c>
      <c r="B6" t="s">
        <v>86</v>
      </c>
      <c r="C6" t="s">
        <v>711</v>
      </c>
      <c r="D6" t="s">
        <v>568</v>
      </c>
      <c r="E6" t="s">
        <v>219</v>
      </c>
      <c r="F6" t="s">
        <v>583</v>
      </c>
    </row>
    <row r="7" spans="1:7" x14ac:dyDescent="0.2">
      <c r="A7" s="2">
        <v>49</v>
      </c>
      <c r="B7" t="s">
        <v>85</v>
      </c>
      <c r="C7" t="s">
        <v>711</v>
      </c>
      <c r="D7" t="s">
        <v>715</v>
      </c>
      <c r="E7" t="s">
        <v>715</v>
      </c>
      <c r="F7" s="5"/>
      <c r="G7" s="5"/>
    </row>
    <row r="8" spans="1:7" x14ac:dyDescent="0.2">
      <c r="A8" s="2">
        <v>53</v>
      </c>
      <c r="B8" t="s">
        <v>90</v>
      </c>
      <c r="C8" t="s">
        <v>108</v>
      </c>
      <c r="D8" t="s">
        <v>108</v>
      </c>
      <c r="E8" t="s">
        <v>212</v>
      </c>
      <c r="G8" t="s">
        <v>188</v>
      </c>
    </row>
    <row r="9" spans="1:7" x14ac:dyDescent="0.2">
      <c r="A9" s="2">
        <v>22</v>
      </c>
      <c r="B9" t="s">
        <v>62</v>
      </c>
      <c r="C9" t="s">
        <v>711</v>
      </c>
      <c r="D9" t="s">
        <v>212</v>
      </c>
      <c r="E9" t="s">
        <v>212</v>
      </c>
    </row>
    <row r="10" spans="1:7" x14ac:dyDescent="0.2">
      <c r="A10" s="2">
        <v>21</v>
      </c>
      <c r="B10" t="s">
        <v>61</v>
      </c>
      <c r="C10" t="s">
        <v>711</v>
      </c>
      <c r="D10" t="s">
        <v>212</v>
      </c>
      <c r="E10" t="s">
        <v>212</v>
      </c>
    </row>
    <row r="11" spans="1:7" x14ac:dyDescent="0.2">
      <c r="A11" s="2">
        <v>51</v>
      </c>
      <c r="B11" t="s">
        <v>87</v>
      </c>
      <c r="C11" t="s">
        <v>711</v>
      </c>
      <c r="D11" t="s">
        <v>212</v>
      </c>
      <c r="E11" t="s">
        <v>212</v>
      </c>
    </row>
    <row r="12" spans="1:7" x14ac:dyDescent="0.2">
      <c r="A12" s="2">
        <v>40</v>
      </c>
      <c r="B12" t="s">
        <v>115</v>
      </c>
      <c r="C12" s="10" t="s">
        <v>717</v>
      </c>
      <c r="D12" s="10" t="s">
        <v>741</v>
      </c>
      <c r="E12" t="s">
        <v>212</v>
      </c>
      <c r="F12" t="s">
        <v>583</v>
      </c>
    </row>
    <row r="13" spans="1:7" x14ac:dyDescent="0.2">
      <c r="A13" s="2">
        <v>24</v>
      </c>
      <c r="B13" t="s">
        <v>64</v>
      </c>
      <c r="C13" t="s">
        <v>717</v>
      </c>
      <c r="D13" t="s">
        <v>212</v>
      </c>
      <c r="E13" t="s">
        <v>212</v>
      </c>
      <c r="F13" t="s">
        <v>583</v>
      </c>
      <c r="G13" t="s">
        <v>188</v>
      </c>
    </row>
    <row r="14" spans="1:7" x14ac:dyDescent="0.2">
      <c r="A14" s="2">
        <v>38</v>
      </c>
      <c r="B14" t="s">
        <v>114</v>
      </c>
      <c r="C14" s="10" t="s">
        <v>212</v>
      </c>
      <c r="D14" s="10" t="s">
        <v>188</v>
      </c>
      <c r="E14" t="s">
        <v>212</v>
      </c>
      <c r="F14" t="s">
        <v>583</v>
      </c>
    </row>
    <row r="15" spans="1:7" x14ac:dyDescent="0.2">
      <c r="A15" s="2">
        <v>33</v>
      </c>
      <c r="B15" t="s">
        <v>73</v>
      </c>
      <c r="C15" t="s">
        <v>711</v>
      </c>
      <c r="D15" t="s">
        <v>212</v>
      </c>
      <c r="E15" t="s">
        <v>212</v>
      </c>
      <c r="F15" t="s">
        <v>583</v>
      </c>
    </row>
    <row r="16" spans="1:7" x14ac:dyDescent="0.2">
      <c r="A16" s="2">
        <v>4</v>
      </c>
      <c r="B16" t="s">
        <v>45</v>
      </c>
      <c r="C16" t="s">
        <v>711</v>
      </c>
      <c r="D16" t="s">
        <v>562</v>
      </c>
      <c r="E16" t="s">
        <v>219</v>
      </c>
      <c r="G16" t="s">
        <v>632</v>
      </c>
    </row>
    <row r="17" spans="1:7" x14ac:dyDescent="0.2">
      <c r="A17" s="2">
        <v>2</v>
      </c>
      <c r="B17" t="s">
        <v>43</v>
      </c>
      <c r="C17" t="s">
        <v>711</v>
      </c>
      <c r="D17" t="s">
        <v>557</v>
      </c>
      <c r="E17" t="s">
        <v>557</v>
      </c>
      <c r="F17" t="s">
        <v>561</v>
      </c>
      <c r="G17" t="s">
        <v>561</v>
      </c>
    </row>
    <row r="18" spans="1:7" x14ac:dyDescent="0.2">
      <c r="A18" s="2">
        <v>3</v>
      </c>
      <c r="B18" t="s">
        <v>44</v>
      </c>
      <c r="C18" t="s">
        <v>711</v>
      </c>
      <c r="D18" t="s">
        <v>188</v>
      </c>
      <c r="E18" t="s">
        <v>624</v>
      </c>
      <c r="F18" t="s">
        <v>561</v>
      </c>
      <c r="G18" t="s">
        <v>561</v>
      </c>
    </row>
    <row r="19" spans="1:7" x14ac:dyDescent="0.2">
      <c r="A19" s="2">
        <v>55</v>
      </c>
      <c r="B19" t="s">
        <v>89</v>
      </c>
      <c r="C19" t="s">
        <v>212</v>
      </c>
      <c r="D19" t="s">
        <v>212</v>
      </c>
      <c r="E19" t="s">
        <v>212</v>
      </c>
      <c r="F19" t="s">
        <v>583</v>
      </c>
      <c r="G19" t="s">
        <v>188</v>
      </c>
    </row>
    <row r="20" spans="1:7" x14ac:dyDescent="0.2">
      <c r="A20" s="2">
        <v>56</v>
      </c>
      <c r="B20" t="s">
        <v>91</v>
      </c>
      <c r="C20" t="s">
        <v>723</v>
      </c>
      <c r="D20" t="s">
        <v>729</v>
      </c>
      <c r="E20" t="s">
        <v>573</v>
      </c>
      <c r="F20" t="s">
        <v>722</v>
      </c>
      <c r="G20" t="s">
        <v>722</v>
      </c>
    </row>
    <row r="21" spans="1:7" x14ac:dyDescent="0.2">
      <c r="A21" s="2">
        <v>20</v>
      </c>
      <c r="B21" t="s">
        <v>60</v>
      </c>
      <c r="C21" t="s">
        <v>711</v>
      </c>
      <c r="D21" t="s">
        <v>212</v>
      </c>
      <c r="E21" t="s">
        <v>212</v>
      </c>
      <c r="F21" t="s">
        <v>583</v>
      </c>
      <c r="G21" t="s">
        <v>212</v>
      </c>
    </row>
    <row r="22" spans="1:7" x14ac:dyDescent="0.2">
      <c r="A22" s="2">
        <v>6</v>
      </c>
      <c r="B22" t="s">
        <v>47</v>
      </c>
      <c r="C22" t="s">
        <v>711</v>
      </c>
      <c r="D22" t="s">
        <v>584</v>
      </c>
      <c r="E22" t="s">
        <v>573</v>
      </c>
      <c r="F22" t="s">
        <v>583</v>
      </c>
    </row>
    <row r="23" spans="1:7" x14ac:dyDescent="0.2">
      <c r="A23" s="2">
        <v>9</v>
      </c>
      <c r="B23" t="s">
        <v>50</v>
      </c>
      <c r="C23" t="s">
        <v>711</v>
      </c>
      <c r="D23" t="s">
        <v>219</v>
      </c>
      <c r="E23" t="s">
        <v>219</v>
      </c>
      <c r="G23" t="s">
        <v>634</v>
      </c>
    </row>
    <row r="24" spans="1:7" x14ac:dyDescent="0.2">
      <c r="A24" s="2">
        <v>31</v>
      </c>
      <c r="B24" t="s">
        <v>71</v>
      </c>
      <c r="C24" t="s">
        <v>711</v>
      </c>
      <c r="D24" t="s">
        <v>212</v>
      </c>
      <c r="E24" t="s">
        <v>212</v>
      </c>
      <c r="F24" t="s">
        <v>583</v>
      </c>
      <c r="G24" t="s">
        <v>212</v>
      </c>
    </row>
    <row r="25" spans="1:7" x14ac:dyDescent="0.2">
      <c r="A25" s="2">
        <v>32</v>
      </c>
      <c r="B25" t="s">
        <v>72</v>
      </c>
      <c r="C25" t="s">
        <v>711</v>
      </c>
      <c r="D25" t="s">
        <v>212</v>
      </c>
      <c r="E25" t="s">
        <v>212</v>
      </c>
      <c r="F25" t="s">
        <v>583</v>
      </c>
    </row>
    <row r="26" spans="1:7" x14ac:dyDescent="0.2">
      <c r="A26" s="2">
        <v>30</v>
      </c>
      <c r="B26" t="s">
        <v>70</v>
      </c>
      <c r="C26" t="s">
        <v>711</v>
      </c>
      <c r="D26" t="s">
        <v>212</v>
      </c>
      <c r="E26" t="s">
        <v>212</v>
      </c>
      <c r="F26" t="s">
        <v>583</v>
      </c>
      <c r="G26" t="s">
        <v>212</v>
      </c>
    </row>
    <row r="27" spans="1:7" x14ac:dyDescent="0.2">
      <c r="A27" s="2">
        <v>29</v>
      </c>
      <c r="B27" t="s">
        <v>69</v>
      </c>
      <c r="C27" t="s">
        <v>711</v>
      </c>
      <c r="D27" t="s">
        <v>212</v>
      </c>
      <c r="E27" t="s">
        <v>212</v>
      </c>
      <c r="F27" t="s">
        <v>583</v>
      </c>
      <c r="G27" t="s">
        <v>212</v>
      </c>
    </row>
    <row r="28" spans="1:7" x14ac:dyDescent="0.2">
      <c r="A28" s="2">
        <v>28</v>
      </c>
      <c r="B28" t="s">
        <v>68</v>
      </c>
      <c r="C28" t="s">
        <v>711</v>
      </c>
      <c r="D28" t="s">
        <v>212</v>
      </c>
      <c r="E28" t="s">
        <v>212</v>
      </c>
      <c r="F28" t="s">
        <v>583</v>
      </c>
      <c r="G28" t="s">
        <v>212</v>
      </c>
    </row>
    <row r="29" spans="1:7" x14ac:dyDescent="0.2">
      <c r="A29" s="2">
        <v>37</v>
      </c>
      <c r="B29" t="s">
        <v>113</v>
      </c>
      <c r="C29" t="s">
        <v>743</v>
      </c>
      <c r="D29" t="s">
        <v>739</v>
      </c>
      <c r="E29" t="s">
        <v>739</v>
      </c>
      <c r="F29" t="s">
        <v>579</v>
      </c>
      <c r="G29" t="s">
        <v>635</v>
      </c>
    </row>
    <row r="30" spans="1:7" x14ac:dyDescent="0.2">
      <c r="A30" s="2">
        <v>36</v>
      </c>
      <c r="B30" t="s">
        <v>75</v>
      </c>
      <c r="C30" t="s">
        <v>717</v>
      </c>
      <c r="D30" t="s">
        <v>739</v>
      </c>
      <c r="E30" t="s">
        <v>212</v>
      </c>
      <c r="F30" t="s">
        <v>583</v>
      </c>
    </row>
    <row r="31" spans="1:7" x14ac:dyDescent="0.2">
      <c r="A31" s="2">
        <v>54</v>
      </c>
      <c r="B31" t="s">
        <v>98</v>
      </c>
      <c r="C31" t="s">
        <v>212</v>
      </c>
      <c r="D31" t="s">
        <v>713</v>
      </c>
      <c r="E31" t="s">
        <v>212</v>
      </c>
      <c r="F31" t="s">
        <v>583</v>
      </c>
      <c r="G31" t="s">
        <v>188</v>
      </c>
    </row>
    <row r="32" spans="1:7" x14ac:dyDescent="0.2">
      <c r="A32" s="2">
        <v>5</v>
      </c>
      <c r="B32" t="s">
        <v>46</v>
      </c>
      <c r="C32" t="s">
        <v>711</v>
      </c>
      <c r="D32" t="s">
        <v>577</v>
      </c>
      <c r="E32" t="s">
        <v>577</v>
      </c>
      <c r="F32" t="s">
        <v>577</v>
      </c>
    </row>
    <row r="33" spans="1:7" x14ac:dyDescent="0.2">
      <c r="A33" s="2">
        <v>57</v>
      </c>
      <c r="B33" t="s">
        <v>99</v>
      </c>
      <c r="C33" t="s">
        <v>713</v>
      </c>
      <c r="D33" t="s">
        <v>713</v>
      </c>
      <c r="E33" t="s">
        <v>629</v>
      </c>
      <c r="F33" t="s">
        <v>629</v>
      </c>
      <c r="G33" t="s">
        <v>629</v>
      </c>
    </row>
    <row r="34" spans="1:7" x14ac:dyDescent="0.2">
      <c r="A34" s="2">
        <v>11</v>
      </c>
      <c r="B34" t="s">
        <v>52</v>
      </c>
      <c r="C34" t="s">
        <v>711</v>
      </c>
      <c r="D34" t="s">
        <v>212</v>
      </c>
      <c r="E34" t="s">
        <v>219</v>
      </c>
      <c r="F34" t="s">
        <v>583</v>
      </c>
      <c r="G34" t="s">
        <v>583</v>
      </c>
    </row>
    <row r="35" spans="1:7" x14ac:dyDescent="0.2">
      <c r="A35" s="2">
        <v>10</v>
      </c>
      <c r="B35" t="s">
        <v>51</v>
      </c>
      <c r="C35" t="s">
        <v>711</v>
      </c>
      <c r="D35" t="s">
        <v>212</v>
      </c>
      <c r="E35" t="s">
        <v>219</v>
      </c>
    </row>
    <row r="36" spans="1:7" x14ac:dyDescent="0.2">
      <c r="A36" s="2">
        <v>19</v>
      </c>
      <c r="B36" t="s">
        <v>59</v>
      </c>
      <c r="C36" t="s">
        <v>711</v>
      </c>
      <c r="D36" t="s">
        <v>733</v>
      </c>
      <c r="E36" t="s">
        <v>212</v>
      </c>
      <c r="F36" t="s">
        <v>581</v>
      </c>
    </row>
    <row r="37" spans="1:7" x14ac:dyDescent="0.2">
      <c r="A37" s="2">
        <v>18</v>
      </c>
      <c r="B37" t="s">
        <v>58</v>
      </c>
      <c r="C37" t="s">
        <v>711</v>
      </c>
      <c r="D37" t="s">
        <v>212</v>
      </c>
      <c r="E37" t="s">
        <v>626</v>
      </c>
      <c r="F37" t="s">
        <v>583</v>
      </c>
      <c r="G37" t="s">
        <v>630</v>
      </c>
    </row>
    <row r="38" spans="1:7" x14ac:dyDescent="0.2">
      <c r="A38" s="2">
        <v>42</v>
      </c>
      <c r="B38" t="s">
        <v>78</v>
      </c>
      <c r="C38" t="s">
        <v>745</v>
      </c>
      <c r="D38" t="s">
        <v>564</v>
      </c>
      <c r="E38" t="s">
        <v>745</v>
      </c>
      <c r="F38" t="s">
        <v>583</v>
      </c>
      <c r="G38" t="s">
        <v>564</v>
      </c>
    </row>
    <row r="39" spans="1:7" x14ac:dyDescent="0.2">
      <c r="A39" s="2">
        <v>58</v>
      </c>
      <c r="B39" t="s">
        <v>100</v>
      </c>
      <c r="C39" t="s">
        <v>212</v>
      </c>
      <c r="D39" t="s">
        <v>212</v>
      </c>
      <c r="E39" t="s">
        <v>212</v>
      </c>
      <c r="F39" t="s">
        <v>583</v>
      </c>
      <c r="G39" t="s">
        <v>188</v>
      </c>
    </row>
    <row r="40" spans="1:7" x14ac:dyDescent="0.2">
      <c r="A40" s="2">
        <v>39</v>
      </c>
      <c r="B40" t="s">
        <v>76</v>
      </c>
      <c r="C40" t="s">
        <v>711</v>
      </c>
      <c r="D40" t="s">
        <v>212</v>
      </c>
      <c r="E40" t="s">
        <v>212</v>
      </c>
      <c r="F40" t="s">
        <v>583</v>
      </c>
    </row>
    <row r="41" spans="1:7" x14ac:dyDescent="0.2">
      <c r="A41" s="2">
        <v>12</v>
      </c>
      <c r="B41" t="s">
        <v>53</v>
      </c>
      <c r="C41" t="s">
        <v>711</v>
      </c>
      <c r="D41" t="s">
        <v>212</v>
      </c>
      <c r="E41" t="s">
        <v>212</v>
      </c>
      <c r="F41" t="s">
        <v>561</v>
      </c>
      <c r="G41" t="s">
        <v>561</v>
      </c>
    </row>
    <row r="42" spans="1:7" x14ac:dyDescent="0.2">
      <c r="A42" s="2">
        <v>1</v>
      </c>
      <c r="B42" t="s">
        <v>42</v>
      </c>
      <c r="C42" t="s">
        <v>711</v>
      </c>
      <c r="D42" t="s">
        <v>188</v>
      </c>
      <c r="E42" t="s">
        <v>212</v>
      </c>
      <c r="F42" t="s">
        <v>575</v>
      </c>
      <c r="G42" t="s">
        <v>188</v>
      </c>
    </row>
    <row r="43" spans="1:7" x14ac:dyDescent="0.2">
      <c r="A43" s="2">
        <v>59</v>
      </c>
      <c r="B43" t="s">
        <v>101</v>
      </c>
      <c r="C43" t="s">
        <v>713</v>
      </c>
      <c r="D43" t="s">
        <v>188</v>
      </c>
      <c r="E43" t="s">
        <v>627</v>
      </c>
      <c r="F43" t="s">
        <v>580</v>
      </c>
    </row>
    <row r="44" spans="1:7" x14ac:dyDescent="0.2">
      <c r="A44" s="2">
        <v>45</v>
      </c>
      <c r="B44" t="s">
        <v>81</v>
      </c>
      <c r="C44" t="s">
        <v>711</v>
      </c>
      <c r="D44" t="s">
        <v>188</v>
      </c>
      <c r="E44" t="s">
        <v>219</v>
      </c>
      <c r="F44" t="s">
        <v>583</v>
      </c>
      <c r="G44" t="s">
        <v>212</v>
      </c>
    </row>
    <row r="45" spans="1:7" x14ac:dyDescent="0.2">
      <c r="A45" s="2">
        <v>46</v>
      </c>
      <c r="B45" t="s">
        <v>82</v>
      </c>
      <c r="C45" t="s">
        <v>711</v>
      </c>
      <c r="D45" t="s">
        <v>188</v>
      </c>
      <c r="E45" t="s">
        <v>212</v>
      </c>
      <c r="F45" t="s">
        <v>583</v>
      </c>
    </row>
    <row r="46" spans="1:7" x14ac:dyDescent="0.2">
      <c r="A46" s="2">
        <v>47</v>
      </c>
      <c r="B46" t="s">
        <v>83</v>
      </c>
      <c r="C46" t="s">
        <v>711</v>
      </c>
      <c r="D46" t="s">
        <v>212</v>
      </c>
      <c r="E46" t="s">
        <v>212</v>
      </c>
      <c r="F46" t="s">
        <v>583</v>
      </c>
    </row>
    <row r="47" spans="1:7" x14ac:dyDescent="0.2">
      <c r="A47" s="2">
        <v>52</v>
      </c>
      <c r="B47" t="s">
        <v>88</v>
      </c>
      <c r="C47" t="s">
        <v>711</v>
      </c>
      <c r="D47" t="s">
        <v>212</v>
      </c>
      <c r="E47" t="s">
        <v>212</v>
      </c>
      <c r="F47" t="s">
        <v>583</v>
      </c>
    </row>
    <row r="48" spans="1:7" x14ac:dyDescent="0.2">
      <c r="A48" s="2">
        <v>48</v>
      </c>
      <c r="B48" t="s">
        <v>84</v>
      </c>
      <c r="C48" t="s">
        <v>711</v>
      </c>
      <c r="D48" t="s">
        <v>736</v>
      </c>
      <c r="E48" t="s">
        <v>212</v>
      </c>
      <c r="F48" t="s">
        <v>583</v>
      </c>
      <c r="G48" t="s">
        <v>583</v>
      </c>
    </row>
    <row r="49" spans="1:7" x14ac:dyDescent="0.2">
      <c r="A49" s="2">
        <v>60</v>
      </c>
      <c r="B49" t="s">
        <v>102</v>
      </c>
      <c r="C49" t="s">
        <v>212</v>
      </c>
      <c r="D49" t="s">
        <v>713</v>
      </c>
      <c r="E49" t="s">
        <v>212</v>
      </c>
    </row>
    <row r="50" spans="1:7" x14ac:dyDescent="0.2">
      <c r="A50" s="2">
        <v>25</v>
      </c>
      <c r="B50" t="s">
        <v>65</v>
      </c>
      <c r="C50" t="s">
        <v>711</v>
      </c>
      <c r="D50" t="s">
        <v>212</v>
      </c>
      <c r="E50" t="s">
        <v>212</v>
      </c>
    </row>
    <row r="51" spans="1:7" x14ac:dyDescent="0.2">
      <c r="A51" s="2">
        <v>26</v>
      </c>
      <c r="B51" t="s">
        <v>66</v>
      </c>
      <c r="C51" t="s">
        <v>711</v>
      </c>
      <c r="D51" t="s">
        <v>212</v>
      </c>
      <c r="E51" t="s">
        <v>212</v>
      </c>
    </row>
    <row r="52" spans="1:7" x14ac:dyDescent="0.2">
      <c r="A52" s="2">
        <v>8</v>
      </c>
      <c r="B52" t="s">
        <v>49</v>
      </c>
      <c r="C52" t="s">
        <v>711</v>
      </c>
      <c r="D52" t="s">
        <v>188</v>
      </c>
      <c r="E52" t="s">
        <v>219</v>
      </c>
      <c r="G52" t="s">
        <v>583</v>
      </c>
    </row>
    <row r="53" spans="1:7" x14ac:dyDescent="0.2">
      <c r="A53" s="2">
        <v>41</v>
      </c>
      <c r="B53" t="s">
        <v>77</v>
      </c>
      <c r="C53" t="s">
        <v>737</v>
      </c>
      <c r="D53" t="s">
        <v>188</v>
      </c>
      <c r="E53" t="s">
        <v>212</v>
      </c>
      <c r="F53" t="s">
        <v>583</v>
      </c>
    </row>
    <row r="54" spans="1:7" x14ac:dyDescent="0.2">
      <c r="A54" s="2">
        <v>23</v>
      </c>
      <c r="B54" t="s">
        <v>63</v>
      </c>
      <c r="C54" t="s">
        <v>711</v>
      </c>
      <c r="D54" t="s">
        <v>212</v>
      </c>
      <c r="E54" t="s">
        <v>212</v>
      </c>
      <c r="F54" t="s">
        <v>212</v>
      </c>
    </row>
    <row r="55" spans="1:7" x14ac:dyDescent="0.2">
      <c r="A55" s="2">
        <v>62</v>
      </c>
      <c r="B55" t="s">
        <v>103</v>
      </c>
      <c r="C55" t="s">
        <v>188</v>
      </c>
      <c r="D55" t="s">
        <v>212</v>
      </c>
      <c r="E55" t="s">
        <v>212</v>
      </c>
      <c r="G55" t="s">
        <v>573</v>
      </c>
    </row>
    <row r="56" spans="1:7" x14ac:dyDescent="0.2">
      <c r="A56" s="2">
        <v>15</v>
      </c>
      <c r="B56" t="s">
        <v>56</v>
      </c>
      <c r="C56" t="s">
        <v>711</v>
      </c>
      <c r="D56" t="s">
        <v>212</v>
      </c>
      <c r="E56" s="10" t="s">
        <v>419</v>
      </c>
      <c r="F56" t="s">
        <v>583</v>
      </c>
      <c r="G56" t="s">
        <v>188</v>
      </c>
    </row>
    <row r="57" spans="1:7" x14ac:dyDescent="0.2">
      <c r="A57" s="2">
        <v>16</v>
      </c>
      <c r="B57" t="s">
        <v>116</v>
      </c>
      <c r="C57" t="s">
        <v>212</v>
      </c>
      <c r="D57" t="s">
        <v>188</v>
      </c>
      <c r="E57" t="s">
        <v>212</v>
      </c>
      <c r="F57" t="s">
        <v>583</v>
      </c>
      <c r="G57" t="s">
        <v>188</v>
      </c>
    </row>
    <row r="58" spans="1:7" x14ac:dyDescent="0.2">
      <c r="A58" s="2">
        <v>17</v>
      </c>
      <c r="B58" t="s">
        <v>57</v>
      </c>
      <c r="C58" t="s">
        <v>711</v>
      </c>
      <c r="D58" t="s">
        <v>212</v>
      </c>
      <c r="E58" t="s">
        <v>212</v>
      </c>
      <c r="F58" t="s">
        <v>583</v>
      </c>
    </row>
    <row r="59" spans="1:7" x14ac:dyDescent="0.2">
      <c r="A59" s="2">
        <v>14</v>
      </c>
      <c r="B59" t="s">
        <v>55</v>
      </c>
      <c r="C59" t="s">
        <v>711</v>
      </c>
      <c r="D59" t="s">
        <v>188</v>
      </c>
      <c r="E59" t="s">
        <v>212</v>
      </c>
      <c r="F59" t="s">
        <v>583</v>
      </c>
      <c r="G59" t="s">
        <v>212</v>
      </c>
    </row>
    <row r="60" spans="1:7" x14ac:dyDescent="0.2">
      <c r="A60" s="2">
        <v>13</v>
      </c>
      <c r="B60" t="s">
        <v>54</v>
      </c>
      <c r="C60" t="s">
        <v>711</v>
      </c>
      <c r="D60" t="s">
        <v>212</v>
      </c>
      <c r="E60" t="s">
        <v>212</v>
      </c>
      <c r="F60" t="s">
        <v>583</v>
      </c>
    </row>
    <row r="61" spans="1:7" x14ac:dyDescent="0.2">
      <c r="A61" s="2">
        <v>35</v>
      </c>
      <c r="B61" t="s">
        <v>74</v>
      </c>
      <c r="C61" t="s">
        <v>711</v>
      </c>
      <c r="D61" t="s">
        <v>212</v>
      </c>
      <c r="E61" t="s">
        <v>212</v>
      </c>
    </row>
    <row r="62" spans="1:7" x14ac:dyDescent="0.2">
      <c r="A62" s="2">
        <v>34</v>
      </c>
      <c r="B62" t="s">
        <v>112</v>
      </c>
      <c r="C62" t="s">
        <v>737</v>
      </c>
      <c r="D62" t="s">
        <v>741</v>
      </c>
      <c r="E62" t="s">
        <v>212</v>
      </c>
      <c r="F62" t="s">
        <v>561</v>
      </c>
    </row>
    <row r="63" spans="1:7" x14ac:dyDescent="0.2">
      <c r="A63" s="2"/>
      <c r="B63" s="2"/>
      <c r="C63" s="2"/>
    </row>
    <row r="64" spans="1:7"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row>
    <row r="199" spans="1:3" x14ac:dyDescent="0.2">
      <c r="A199" s="2"/>
    </row>
    <row r="200" spans="1:3" x14ac:dyDescent="0.2">
      <c r="A200" s="2"/>
    </row>
    <row r="201" spans="1:3" x14ac:dyDescent="0.2">
      <c r="A201" s="2"/>
    </row>
    <row r="202" spans="1:3" x14ac:dyDescent="0.2">
      <c r="A202" s="2"/>
    </row>
    <row r="203" spans="1:3" x14ac:dyDescent="0.2">
      <c r="A203" s="2"/>
    </row>
    <row r="204" spans="1:3" x14ac:dyDescent="0.2">
      <c r="A204" s="2"/>
    </row>
    <row r="205" spans="1:3" x14ac:dyDescent="0.2">
      <c r="A205" s="2"/>
    </row>
    <row r="206" spans="1:3" x14ac:dyDescent="0.2">
      <c r="A206" s="2"/>
    </row>
    <row r="207" spans="1:3" x14ac:dyDescent="0.2">
      <c r="A207" s="2"/>
    </row>
    <row r="208" spans="1:3"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sheetData>
  <autoFilter ref="A1:G62" xr:uid="{EAB0A68B-F30D-AA4F-902B-EF70E66BBF2D}"/>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3870-B864-444B-9012-C67D89DF3D0A}">
  <dimension ref="A1:B81"/>
  <sheetViews>
    <sheetView workbookViewId="0">
      <selection activeCell="B9" sqref="B9"/>
    </sheetView>
  </sheetViews>
  <sheetFormatPr baseColWidth="10" defaultRowHeight="16" x14ac:dyDescent="0.2"/>
  <cols>
    <col min="1" max="1" width="31.1640625" bestFit="1" customWidth="1"/>
    <col min="2" max="2" width="255.83203125" bestFit="1" customWidth="1"/>
  </cols>
  <sheetData>
    <row r="1" spans="1:2" x14ac:dyDescent="0.2">
      <c r="A1" s="28" t="s">
        <v>554</v>
      </c>
    </row>
    <row r="2" spans="1:2" x14ac:dyDescent="0.2">
      <c r="A2" t="s">
        <v>579</v>
      </c>
      <c r="B2" t="s">
        <v>109</v>
      </c>
    </row>
    <row r="3" spans="1:2" x14ac:dyDescent="0.2">
      <c r="A3" t="s">
        <v>580</v>
      </c>
      <c r="B3" t="s">
        <v>110</v>
      </c>
    </row>
    <row r="4" spans="1:2" x14ac:dyDescent="0.2">
      <c r="A4" t="s">
        <v>626</v>
      </c>
      <c r="B4" t="s">
        <v>35</v>
      </c>
    </row>
    <row r="5" spans="1:2" x14ac:dyDescent="0.2">
      <c r="A5" t="s">
        <v>627</v>
      </c>
      <c r="B5" t="s">
        <v>120</v>
      </c>
    </row>
    <row r="6" spans="1:2" ht="17" x14ac:dyDescent="0.2">
      <c r="A6" t="s">
        <v>634</v>
      </c>
      <c r="B6" s="3" t="s">
        <v>21</v>
      </c>
    </row>
    <row r="7" spans="1:2" x14ac:dyDescent="0.2">
      <c r="A7" t="s">
        <v>635</v>
      </c>
      <c r="B7" t="s">
        <v>109</v>
      </c>
    </row>
    <row r="8" spans="1:2" x14ac:dyDescent="0.2">
      <c r="A8" t="s">
        <v>745</v>
      </c>
      <c r="B8" t="s">
        <v>744</v>
      </c>
    </row>
    <row r="9" spans="1:2" x14ac:dyDescent="0.2">
      <c r="A9" t="s">
        <v>743</v>
      </c>
      <c r="B9" t="s">
        <v>742</v>
      </c>
    </row>
    <row r="10" spans="1:2" x14ac:dyDescent="0.2">
      <c r="A10" t="s">
        <v>741</v>
      </c>
      <c r="B10" t="s">
        <v>740</v>
      </c>
    </row>
    <row r="11" spans="1:2" x14ac:dyDescent="0.2">
      <c r="A11" t="s">
        <v>739</v>
      </c>
      <c r="B11" t="s">
        <v>738</v>
      </c>
    </row>
    <row r="12" spans="1:2" x14ac:dyDescent="0.2">
      <c r="A12" t="s">
        <v>735</v>
      </c>
      <c r="B12" t="s">
        <v>734</v>
      </c>
    </row>
    <row r="13" spans="1:2" x14ac:dyDescent="0.2">
      <c r="A13" t="s">
        <v>732</v>
      </c>
      <c r="B13" t="s">
        <v>731</v>
      </c>
    </row>
    <row r="14" spans="1:2" x14ac:dyDescent="0.2">
      <c r="A14" t="s">
        <v>727</v>
      </c>
      <c r="B14" t="s">
        <v>726</v>
      </c>
    </row>
    <row r="15" spans="1:2" x14ac:dyDescent="0.2">
      <c r="A15" t="s">
        <v>725</v>
      </c>
      <c r="B15" t="s">
        <v>724</v>
      </c>
    </row>
    <row r="16" spans="1:2" x14ac:dyDescent="0.2">
      <c r="A16" t="s">
        <v>728</v>
      </c>
      <c r="B16" t="s">
        <v>721</v>
      </c>
    </row>
    <row r="17" spans="1:2" x14ac:dyDescent="0.2">
      <c r="A17" t="s">
        <v>720</v>
      </c>
      <c r="B17" t="s">
        <v>719</v>
      </c>
    </row>
    <row r="18" spans="1:2" x14ac:dyDescent="0.2">
      <c r="A18" t="s">
        <v>713</v>
      </c>
      <c r="B18" t="s">
        <v>714</v>
      </c>
    </row>
    <row r="19" spans="1:2" x14ac:dyDescent="0.2">
      <c r="A19" t="s">
        <v>711</v>
      </c>
      <c r="B19" t="s">
        <v>712</v>
      </c>
    </row>
    <row r="20" spans="1:2" x14ac:dyDescent="0.2">
      <c r="A20" t="s">
        <v>715</v>
      </c>
      <c r="B20" t="s">
        <v>716</v>
      </c>
    </row>
    <row r="21" spans="1:2" x14ac:dyDescent="0.2">
      <c r="A21" t="s">
        <v>632</v>
      </c>
      <c r="B21" t="s">
        <v>633</v>
      </c>
    </row>
    <row r="22" spans="1:2" x14ac:dyDescent="0.2">
      <c r="A22" t="s">
        <v>630</v>
      </c>
      <c r="B22" t="s">
        <v>631</v>
      </c>
    </row>
    <row r="23" spans="1:2" x14ac:dyDescent="0.2">
      <c r="A23" t="s">
        <v>629</v>
      </c>
      <c r="B23" t="s">
        <v>628</v>
      </c>
    </row>
    <row r="24" spans="1:2" x14ac:dyDescent="0.2">
      <c r="A24" t="s">
        <v>212</v>
      </c>
      <c r="B24" t="s">
        <v>555</v>
      </c>
    </row>
    <row r="25" spans="1:2" x14ac:dyDescent="0.2">
      <c r="A25" t="s">
        <v>188</v>
      </c>
      <c r="B25" t="s">
        <v>556</v>
      </c>
    </row>
    <row r="26" spans="1:2" x14ac:dyDescent="0.2">
      <c r="A26" t="s">
        <v>557</v>
      </c>
      <c r="B26" t="s">
        <v>34</v>
      </c>
    </row>
    <row r="27" spans="1:2" x14ac:dyDescent="0.2">
      <c r="A27" t="s">
        <v>558</v>
      </c>
      <c r="B27" t="s">
        <v>559</v>
      </c>
    </row>
    <row r="28" spans="1:2" x14ac:dyDescent="0.2">
      <c r="A28" t="s">
        <v>565</v>
      </c>
      <c r="B28" t="s">
        <v>560</v>
      </c>
    </row>
    <row r="29" spans="1:2" x14ac:dyDescent="0.2">
      <c r="A29" t="s">
        <v>564</v>
      </c>
      <c r="B29" t="s">
        <v>36</v>
      </c>
    </row>
    <row r="30" spans="1:2" x14ac:dyDescent="0.2">
      <c r="A30" t="s">
        <v>566</v>
      </c>
      <c r="B30" t="s">
        <v>567</v>
      </c>
    </row>
    <row r="31" spans="1:2" x14ac:dyDescent="0.2">
      <c r="A31" t="s">
        <v>572</v>
      </c>
      <c r="B31" t="s">
        <v>571</v>
      </c>
    </row>
    <row r="32" spans="1:2" x14ac:dyDescent="0.2">
      <c r="A32" t="s">
        <v>570</v>
      </c>
      <c r="B32" t="s">
        <v>569</v>
      </c>
    </row>
    <row r="33" spans="1:2" x14ac:dyDescent="0.2">
      <c r="A33" t="s">
        <v>573</v>
      </c>
      <c r="B33" t="s">
        <v>574</v>
      </c>
    </row>
    <row r="34" spans="1:2" x14ac:dyDescent="0.2">
      <c r="A34" t="s">
        <v>575</v>
      </c>
      <c r="B34" t="s">
        <v>576</v>
      </c>
    </row>
    <row r="35" spans="1:2" x14ac:dyDescent="0.2">
      <c r="A35" t="s">
        <v>577</v>
      </c>
      <c r="B35" t="s">
        <v>578</v>
      </c>
    </row>
    <row r="36" spans="1:2" x14ac:dyDescent="0.2">
      <c r="A36" t="s">
        <v>624</v>
      </c>
      <c r="B36" t="s">
        <v>625</v>
      </c>
    </row>
    <row r="37" spans="1:2" x14ac:dyDescent="0.2">
      <c r="A37" t="s">
        <v>581</v>
      </c>
      <c r="B37" t="s">
        <v>582</v>
      </c>
    </row>
    <row r="38" spans="1:2" x14ac:dyDescent="0.2">
      <c r="A38" t="s">
        <v>639</v>
      </c>
      <c r="B38" t="s">
        <v>638</v>
      </c>
    </row>
    <row r="39" spans="1:2" x14ac:dyDescent="0.2">
      <c r="A39" t="s">
        <v>641</v>
      </c>
      <c r="B39" t="s">
        <v>640</v>
      </c>
    </row>
    <row r="40" spans="1:2" x14ac:dyDescent="0.2">
      <c r="A40" t="s">
        <v>563</v>
      </c>
      <c r="B40" s="29" t="s">
        <v>27</v>
      </c>
    </row>
    <row r="41" spans="1:2" x14ac:dyDescent="0.2">
      <c r="A41" t="s">
        <v>219</v>
      </c>
      <c r="B41" s="29" t="s">
        <v>623</v>
      </c>
    </row>
    <row r="42" spans="1:2" x14ac:dyDescent="0.2">
      <c r="A42" t="s">
        <v>561</v>
      </c>
      <c r="B42" t="s">
        <v>586</v>
      </c>
    </row>
    <row r="43" spans="1:2" ht="17" x14ac:dyDescent="0.2">
      <c r="A43" t="s">
        <v>561</v>
      </c>
      <c r="B43" s="3" t="s">
        <v>587</v>
      </c>
    </row>
    <row r="44" spans="1:2" ht="17" x14ac:dyDescent="0.2">
      <c r="A44" t="s">
        <v>561</v>
      </c>
      <c r="B44" s="3" t="s">
        <v>588</v>
      </c>
    </row>
    <row r="45" spans="1:2" ht="17" x14ac:dyDescent="0.2">
      <c r="A45" t="s">
        <v>561</v>
      </c>
      <c r="B45" s="3" t="s">
        <v>589</v>
      </c>
    </row>
    <row r="46" spans="1:2" ht="17" x14ac:dyDescent="0.2">
      <c r="A46" t="s">
        <v>561</v>
      </c>
      <c r="B46" s="3" t="s">
        <v>590</v>
      </c>
    </row>
    <row r="47" spans="1:2" x14ac:dyDescent="0.2">
      <c r="A47" t="s">
        <v>583</v>
      </c>
      <c r="B47" t="s">
        <v>585</v>
      </c>
    </row>
    <row r="48" spans="1:2" x14ac:dyDescent="0.2">
      <c r="A48" t="s">
        <v>583</v>
      </c>
      <c r="B48" t="s">
        <v>591</v>
      </c>
    </row>
    <row r="49" spans="1:2" x14ac:dyDescent="0.2">
      <c r="A49" t="s">
        <v>583</v>
      </c>
      <c r="B49" t="s">
        <v>592</v>
      </c>
    </row>
    <row r="50" spans="1:2" x14ac:dyDescent="0.2">
      <c r="A50" t="s">
        <v>583</v>
      </c>
      <c r="B50" t="s">
        <v>593</v>
      </c>
    </row>
    <row r="51" spans="1:2" x14ac:dyDescent="0.2">
      <c r="A51" t="s">
        <v>583</v>
      </c>
      <c r="B51" t="s">
        <v>594</v>
      </c>
    </row>
    <row r="52" spans="1:2" x14ac:dyDescent="0.2">
      <c r="A52" t="s">
        <v>583</v>
      </c>
      <c r="B52" t="s">
        <v>595</v>
      </c>
    </row>
    <row r="53" spans="1:2" x14ac:dyDescent="0.2">
      <c r="A53" t="s">
        <v>583</v>
      </c>
      <c r="B53" t="s">
        <v>596</v>
      </c>
    </row>
    <row r="54" spans="1:2" x14ac:dyDescent="0.2">
      <c r="A54" t="s">
        <v>583</v>
      </c>
      <c r="B54" t="s">
        <v>597</v>
      </c>
    </row>
    <row r="55" spans="1:2" x14ac:dyDescent="0.2">
      <c r="A55" t="s">
        <v>583</v>
      </c>
      <c r="B55" t="s">
        <v>598</v>
      </c>
    </row>
    <row r="56" spans="1:2" x14ac:dyDescent="0.2">
      <c r="A56" t="s">
        <v>583</v>
      </c>
      <c r="B56" t="s">
        <v>599</v>
      </c>
    </row>
    <row r="57" spans="1:2" x14ac:dyDescent="0.2">
      <c r="A57" t="s">
        <v>583</v>
      </c>
      <c r="B57" t="s">
        <v>585</v>
      </c>
    </row>
    <row r="58" spans="1:2" x14ac:dyDescent="0.2">
      <c r="A58" t="s">
        <v>583</v>
      </c>
      <c r="B58" t="s">
        <v>600</v>
      </c>
    </row>
    <row r="59" spans="1:2" x14ac:dyDescent="0.2">
      <c r="A59" t="s">
        <v>583</v>
      </c>
      <c r="B59" t="s">
        <v>601</v>
      </c>
    </row>
    <row r="60" spans="1:2" x14ac:dyDescent="0.2">
      <c r="A60" t="s">
        <v>583</v>
      </c>
      <c r="B60" t="s">
        <v>602</v>
      </c>
    </row>
    <row r="61" spans="1:2" x14ac:dyDescent="0.2">
      <c r="A61" t="s">
        <v>583</v>
      </c>
      <c r="B61" t="s">
        <v>603</v>
      </c>
    </row>
    <row r="62" spans="1:2" x14ac:dyDescent="0.2">
      <c r="A62" t="s">
        <v>583</v>
      </c>
      <c r="B62" t="s">
        <v>604</v>
      </c>
    </row>
    <row r="63" spans="1:2" x14ac:dyDescent="0.2">
      <c r="A63" t="s">
        <v>583</v>
      </c>
      <c r="B63" t="s">
        <v>605</v>
      </c>
    </row>
    <row r="64" spans="1:2" x14ac:dyDescent="0.2">
      <c r="A64" t="s">
        <v>583</v>
      </c>
      <c r="B64" t="s">
        <v>606</v>
      </c>
    </row>
    <row r="65" spans="1:2" x14ac:dyDescent="0.2">
      <c r="A65" t="s">
        <v>583</v>
      </c>
      <c r="B65" t="s">
        <v>607</v>
      </c>
    </row>
    <row r="66" spans="1:2" x14ac:dyDescent="0.2">
      <c r="A66" t="s">
        <v>583</v>
      </c>
      <c r="B66" t="s">
        <v>608</v>
      </c>
    </row>
    <row r="67" spans="1:2" x14ac:dyDescent="0.2">
      <c r="A67" t="s">
        <v>583</v>
      </c>
      <c r="B67" t="s">
        <v>609</v>
      </c>
    </row>
    <row r="68" spans="1:2" x14ac:dyDescent="0.2">
      <c r="A68" t="s">
        <v>583</v>
      </c>
      <c r="B68" t="s">
        <v>610</v>
      </c>
    </row>
    <row r="69" spans="1:2" x14ac:dyDescent="0.2">
      <c r="A69" t="s">
        <v>583</v>
      </c>
      <c r="B69" t="s">
        <v>611</v>
      </c>
    </row>
    <row r="70" spans="1:2" x14ac:dyDescent="0.2">
      <c r="A70" t="s">
        <v>583</v>
      </c>
      <c r="B70" t="s">
        <v>612</v>
      </c>
    </row>
    <row r="71" spans="1:2" x14ac:dyDescent="0.2">
      <c r="A71" t="s">
        <v>583</v>
      </c>
      <c r="B71" t="s">
        <v>613</v>
      </c>
    </row>
    <row r="72" spans="1:2" x14ac:dyDescent="0.2">
      <c r="A72" t="s">
        <v>583</v>
      </c>
      <c r="B72" t="s">
        <v>614</v>
      </c>
    </row>
    <row r="73" spans="1:2" x14ac:dyDescent="0.2">
      <c r="A73" t="s">
        <v>583</v>
      </c>
      <c r="B73" t="s">
        <v>615</v>
      </c>
    </row>
    <row r="74" spans="1:2" x14ac:dyDescent="0.2">
      <c r="A74" t="s">
        <v>583</v>
      </c>
      <c r="B74" t="s">
        <v>616</v>
      </c>
    </row>
    <row r="75" spans="1:2" x14ac:dyDescent="0.2">
      <c r="A75" t="s">
        <v>583</v>
      </c>
      <c r="B75" t="s">
        <v>617</v>
      </c>
    </row>
    <row r="76" spans="1:2" x14ac:dyDescent="0.2">
      <c r="A76" t="s">
        <v>583</v>
      </c>
      <c r="B76" t="s">
        <v>618</v>
      </c>
    </row>
    <row r="77" spans="1:2" x14ac:dyDescent="0.2">
      <c r="A77" t="s">
        <v>583</v>
      </c>
      <c r="B77" t="s">
        <v>619</v>
      </c>
    </row>
    <row r="78" spans="1:2" x14ac:dyDescent="0.2">
      <c r="A78" t="s">
        <v>583</v>
      </c>
      <c r="B78" t="s">
        <v>620</v>
      </c>
    </row>
    <row r="79" spans="1:2" x14ac:dyDescent="0.2">
      <c r="A79" t="s">
        <v>583</v>
      </c>
      <c r="B79" t="s">
        <v>621</v>
      </c>
    </row>
    <row r="80" spans="1:2" x14ac:dyDescent="0.2">
      <c r="A80" t="s">
        <v>583</v>
      </c>
      <c r="B80" t="s">
        <v>622</v>
      </c>
    </row>
    <row r="81" spans="1:2" x14ac:dyDescent="0.2">
      <c r="A81" t="s">
        <v>583</v>
      </c>
      <c r="B81" t="s">
        <v>636</v>
      </c>
    </row>
  </sheetData>
  <phoneticPr fontId="34" type="noConversion"/>
  <conditionalFormatting sqref="B6:B20">
    <cfRule type="containsBlanks" dxfId="1" priority="1">
      <formula>LEN(TRIM(B6))=0</formula>
    </cfRule>
  </conditionalFormatting>
  <conditionalFormatting sqref="B43:B46">
    <cfRule type="containsBlanks" dxfId="0" priority="2">
      <formula>LEN(TRIM(B43))=0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25D4-60F4-D14C-A137-BD9263952061}">
  <dimension ref="A1:B23"/>
  <sheetViews>
    <sheetView workbookViewId="0"/>
  </sheetViews>
  <sheetFormatPr baseColWidth="10" defaultRowHeight="16" x14ac:dyDescent="0.2"/>
  <cols>
    <col min="1" max="1" width="18.6640625" bestFit="1" customWidth="1"/>
    <col min="2" max="2" width="98.1640625" customWidth="1"/>
    <col min="5" max="5" width="10.6640625" customWidth="1"/>
  </cols>
  <sheetData>
    <row r="1" spans="1:2" x14ac:dyDescent="0.2">
      <c r="A1" t="s">
        <v>122</v>
      </c>
    </row>
    <row r="2" spans="1:2" ht="34" x14ac:dyDescent="0.2">
      <c r="A2" t="s">
        <v>0</v>
      </c>
      <c r="B2" s="6" t="s">
        <v>111</v>
      </c>
    </row>
    <row r="3" spans="1:2" x14ac:dyDescent="0.2">
      <c r="A3" t="s">
        <v>1</v>
      </c>
      <c r="B3" t="s">
        <v>123</v>
      </c>
    </row>
    <row r="4" spans="1:2" x14ac:dyDescent="0.2">
      <c r="A4" t="s">
        <v>2</v>
      </c>
      <c r="B4" t="s">
        <v>173</v>
      </c>
    </row>
    <row r="5" spans="1:2" x14ac:dyDescent="0.2">
      <c r="A5" t="s">
        <v>3</v>
      </c>
      <c r="B5" t="s">
        <v>174</v>
      </c>
    </row>
    <row r="6" spans="1:2" x14ac:dyDescent="0.2">
      <c r="A6" t="s">
        <v>4</v>
      </c>
      <c r="B6" t="s">
        <v>172</v>
      </c>
    </row>
    <row r="7" spans="1:2" x14ac:dyDescent="0.2">
      <c r="A7" t="s">
        <v>20</v>
      </c>
      <c r="B7" t="s">
        <v>129</v>
      </c>
    </row>
    <row r="8" spans="1:2" x14ac:dyDescent="0.2">
      <c r="A8" t="s">
        <v>22</v>
      </c>
      <c r="B8" t="s">
        <v>171</v>
      </c>
    </row>
    <row r="9" spans="1:2" x14ac:dyDescent="0.2">
      <c r="A9" t="s">
        <v>29</v>
      </c>
      <c r="B9" t="s">
        <v>127</v>
      </c>
    </row>
    <row r="10" spans="1:2" x14ac:dyDescent="0.2">
      <c r="A10" t="s">
        <v>30</v>
      </c>
      <c r="B10" t="s">
        <v>126</v>
      </c>
    </row>
    <row r="11" spans="1:2" x14ac:dyDescent="0.2">
      <c r="A11" t="s">
        <v>28</v>
      </c>
      <c r="B11" t="s">
        <v>125</v>
      </c>
    </row>
    <row r="12" spans="1:2" x14ac:dyDescent="0.2">
      <c r="A12" t="s">
        <v>31</v>
      </c>
      <c r="B12" t="s">
        <v>124</v>
      </c>
    </row>
    <row r="13" spans="1:2" x14ac:dyDescent="0.2">
      <c r="A13" t="s">
        <v>5</v>
      </c>
      <c r="B13" t="s">
        <v>128</v>
      </c>
    </row>
    <row r="14" spans="1:2" x14ac:dyDescent="0.2">
      <c r="A14" t="s">
        <v>38</v>
      </c>
      <c r="B14" t="s">
        <v>166</v>
      </c>
    </row>
    <row r="15" spans="1:2" x14ac:dyDescent="0.2">
      <c r="A15" t="s">
        <v>6</v>
      </c>
      <c r="B15" t="s">
        <v>162</v>
      </c>
    </row>
    <row r="16" spans="1:2" x14ac:dyDescent="0.2">
      <c r="A16" t="s">
        <v>7</v>
      </c>
      <c r="B16" t="s">
        <v>163</v>
      </c>
    </row>
    <row r="17" spans="1:2" x14ac:dyDescent="0.2">
      <c r="A17" t="s">
        <v>8</v>
      </c>
      <c r="B17" t="s">
        <v>165</v>
      </c>
    </row>
    <row r="18" spans="1:2" x14ac:dyDescent="0.2">
      <c r="A18" t="s">
        <v>9</v>
      </c>
      <c r="B18" t="s">
        <v>164</v>
      </c>
    </row>
    <row r="19" spans="1:2" x14ac:dyDescent="0.2">
      <c r="A19" t="s">
        <v>10</v>
      </c>
      <c r="B19" s="5" t="s">
        <v>167</v>
      </c>
    </row>
    <row r="20" spans="1:2" x14ac:dyDescent="0.2">
      <c r="A20" t="s">
        <v>11</v>
      </c>
      <c r="B20" s="5" t="s">
        <v>168</v>
      </c>
    </row>
    <row r="21" spans="1:2" x14ac:dyDescent="0.2">
      <c r="A21" t="s">
        <v>12</v>
      </c>
      <c r="B21" s="5" t="s">
        <v>169</v>
      </c>
    </row>
    <row r="22" spans="1:2" x14ac:dyDescent="0.2">
      <c r="A22" t="s">
        <v>13</v>
      </c>
      <c r="B22" s="5" t="s">
        <v>170</v>
      </c>
    </row>
    <row r="23" spans="1:2" x14ac:dyDescent="0.2">
      <c r="A23" t="s">
        <v>37</v>
      </c>
      <c r="B23"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testudine.female.data</vt:lpstr>
      <vt:lpstr>metadata_published</vt:lpstr>
      <vt:lpstr>metadata_testudines</vt:lpstr>
      <vt:lpstr>CONDE2019Testudines</vt:lpstr>
      <vt:lpstr>TraitReferences</vt:lpstr>
      <vt:lpstr>References</vt:lpstr>
      <vt:lpstr>VariableKey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Glen,George</dc:creator>
  <cp:lastModifiedBy>Glen,George</cp:lastModifiedBy>
  <dcterms:created xsi:type="dcterms:W3CDTF">2023-10-12T19:13:01Z</dcterms:created>
  <dcterms:modified xsi:type="dcterms:W3CDTF">2024-09-27T17:54:04Z</dcterms:modified>
</cp:coreProperties>
</file>