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Константин\Desktop\"/>
    </mc:Choice>
  </mc:AlternateContent>
  <xr:revisionPtr revIDLastSave="0" documentId="13_ncr:1_{1D030F3E-90FC-481A-B68A-1256115E0C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2" r:id="rId1"/>
    <sheet name="Лист2" sheetId="3" r:id="rId2"/>
    <sheet name="Лист3" sheetId="4" r:id="rId3"/>
  </sheets>
  <definedNames>
    <definedName name="_xlchart.v1.0" hidden="1">Лист1!$F$18:$F$25</definedName>
    <definedName name="_xlchart.v1.1" hidden="1">Лист1!$H$18:$H$25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4" l="1"/>
  <c r="L22" i="4"/>
  <c r="I16" i="4"/>
  <c r="J16" i="4"/>
  <c r="K16" i="4" s="1"/>
  <c r="L16" i="4" s="1"/>
  <c r="I17" i="4"/>
  <c r="J17" i="4"/>
  <c r="I18" i="4"/>
  <c r="J18" i="4"/>
  <c r="I19" i="4"/>
  <c r="J19" i="4"/>
  <c r="K19" i="4"/>
  <c r="L19" i="4" s="1"/>
  <c r="I20" i="4"/>
  <c r="K20" i="4" s="1"/>
  <c r="L20" i="4" s="1"/>
  <c r="J20" i="4"/>
  <c r="I21" i="4"/>
  <c r="J21" i="4"/>
  <c r="J15" i="4"/>
  <c r="I15" i="4"/>
  <c r="G16" i="4"/>
  <c r="N16" i="4" s="1"/>
  <c r="G17" i="4"/>
  <c r="N17" i="4" s="1"/>
  <c r="G18" i="4"/>
  <c r="G19" i="4"/>
  <c r="N19" i="4" s="1"/>
  <c r="G20" i="4"/>
  <c r="N20" i="4" s="1"/>
  <c r="G21" i="4"/>
  <c r="N21" i="4" s="1"/>
  <c r="G15" i="4"/>
  <c r="D16" i="4"/>
  <c r="D17" i="4"/>
  <c r="D18" i="4"/>
  <c r="D19" i="4"/>
  <c r="D20" i="4"/>
  <c r="D21" i="4"/>
  <c r="D15" i="4"/>
  <c r="D22" i="4" s="1"/>
  <c r="F11" i="4"/>
  <c r="F4" i="4"/>
  <c r="E5" i="4"/>
  <c r="E6" i="4"/>
  <c r="E7" i="4"/>
  <c r="E8" i="4"/>
  <c r="E9" i="4"/>
  <c r="E10" i="4"/>
  <c r="E11" i="4"/>
  <c r="G11" i="4" s="1"/>
  <c r="E4" i="4"/>
  <c r="G4" i="4" s="1"/>
  <c r="D5" i="4"/>
  <c r="D6" i="4"/>
  <c r="D7" i="4"/>
  <c r="D8" i="4"/>
  <c r="D9" i="4"/>
  <c r="D10" i="4"/>
  <c r="D11" i="4"/>
  <c r="D4" i="4"/>
  <c r="C11" i="4"/>
  <c r="B11" i="4"/>
  <c r="F5" i="4" s="1"/>
  <c r="F22" i="2"/>
  <c r="L9" i="3"/>
  <c r="L5" i="3"/>
  <c r="L6" i="3"/>
  <c r="L7" i="3"/>
  <c r="K9" i="3"/>
  <c r="K5" i="3"/>
  <c r="K6" i="3"/>
  <c r="K7" i="3"/>
  <c r="J9" i="3"/>
  <c r="J5" i="3"/>
  <c r="J6" i="3"/>
  <c r="J7" i="3"/>
  <c r="E5" i="3"/>
  <c r="E6" i="3"/>
  <c r="E7" i="3"/>
  <c r="E8" i="3"/>
  <c r="E9" i="3"/>
  <c r="E10" i="3"/>
  <c r="E11" i="3"/>
  <c r="E12" i="3"/>
  <c r="E13" i="3"/>
  <c r="E14" i="3"/>
  <c r="E15" i="3"/>
  <c r="E4" i="3"/>
  <c r="D25" i="2"/>
  <c r="E25" i="2"/>
  <c r="F18" i="2"/>
  <c r="F19" i="2"/>
  <c r="F20" i="2"/>
  <c r="F21" i="2"/>
  <c r="F23" i="2"/>
  <c r="F24" i="2"/>
  <c r="F25" i="2"/>
  <c r="J25" i="2"/>
  <c r="H25" i="2"/>
  <c r="I20" i="2"/>
  <c r="I21" i="2"/>
  <c r="I22" i="2"/>
  <c r="I23" i="2"/>
  <c r="I24" i="2"/>
  <c r="I19" i="2"/>
  <c r="D18" i="2"/>
  <c r="G6" i="2"/>
  <c r="E18" i="2"/>
  <c r="E19" i="2"/>
  <c r="E20" i="2"/>
  <c r="E21" i="2"/>
  <c r="E22" i="2"/>
  <c r="E23" i="2"/>
  <c r="E24" i="2"/>
  <c r="D19" i="2"/>
  <c r="D20" i="2"/>
  <c r="D21" i="2"/>
  <c r="D22" i="2"/>
  <c r="D23" i="2"/>
  <c r="D24" i="2"/>
  <c r="G4" i="2"/>
  <c r="G5" i="2"/>
  <c r="G7" i="2"/>
  <c r="G8" i="2"/>
  <c r="G9" i="2"/>
  <c r="G10" i="2"/>
  <c r="G11" i="2"/>
  <c r="G12" i="2"/>
  <c r="H4" i="2"/>
  <c r="H5" i="2"/>
  <c r="H6" i="2"/>
  <c r="H7" i="2"/>
  <c r="H8" i="2"/>
  <c r="H9" i="2"/>
  <c r="H10" i="2"/>
  <c r="H11" i="2"/>
  <c r="H12" i="2"/>
  <c r="F4" i="2"/>
  <c r="F5" i="2"/>
  <c r="F6" i="2"/>
  <c r="F7" i="2"/>
  <c r="F8" i="2"/>
  <c r="F9" i="2"/>
  <c r="F10" i="2"/>
  <c r="F11" i="2"/>
  <c r="F12" i="2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M21" i="4" l="1"/>
  <c r="M20" i="4"/>
  <c r="K21" i="4"/>
  <c r="L21" i="4" s="1"/>
  <c r="F8" i="4"/>
  <c r="G8" i="4" s="1"/>
  <c r="G5" i="4"/>
  <c r="F7" i="4"/>
  <c r="G7" i="4" s="1"/>
  <c r="G22" i="4"/>
  <c r="N18" i="4"/>
  <c r="K15" i="4"/>
  <c r="L15" i="4" s="1"/>
  <c r="M16" i="4"/>
  <c r="M19" i="4"/>
  <c r="N15" i="4"/>
  <c r="F10" i="4"/>
  <c r="G10" i="4" s="1"/>
  <c r="F6" i="4"/>
  <c r="G6" i="4" s="1"/>
  <c r="K17" i="4"/>
  <c r="L17" i="4" s="1"/>
  <c r="M17" i="4" s="1"/>
  <c r="F9" i="4"/>
  <c r="G9" i="4" s="1"/>
  <c r="K18" i="4"/>
  <c r="L18" i="4" s="1"/>
  <c r="I25" i="2"/>
  <c r="J19" i="2" s="1"/>
  <c r="M18" i="4" l="1"/>
  <c r="N22" i="4"/>
  <c r="M15" i="4"/>
  <c r="J20" i="2"/>
  <c r="J22" i="2"/>
  <c r="J21" i="2"/>
  <c r="J24" i="2"/>
  <c r="J23" i="2"/>
</calcChain>
</file>

<file path=xl/sharedStrings.xml><?xml version="1.0" encoding="utf-8"?>
<sst xmlns="http://schemas.openxmlformats.org/spreadsheetml/2006/main" count="123" uniqueCount="79">
  <si>
    <t>Анализ выполнения плана сотрудников 2024</t>
  </si>
  <si>
    <t>Менеджер</t>
  </si>
  <si>
    <t>План</t>
  </si>
  <si>
    <t>Факт</t>
  </si>
  <si>
    <t>Андрей</t>
  </si>
  <si>
    <t>Элина</t>
  </si>
  <si>
    <t>Степан</t>
  </si>
  <si>
    <t>Иван</t>
  </si>
  <si>
    <t xml:space="preserve">Карина </t>
  </si>
  <si>
    <t>Елизавета</t>
  </si>
  <si>
    <t>Яна</t>
  </si>
  <si>
    <t>Вадим</t>
  </si>
  <si>
    <t>Антон</t>
  </si>
  <si>
    <t>Отклонение от плана</t>
  </si>
  <si>
    <t>Подписи оси Y</t>
  </si>
  <si>
    <t xml:space="preserve"> Серое</t>
  </si>
  <si>
    <t>Красное</t>
  </si>
  <si>
    <t>Зеленое</t>
  </si>
  <si>
    <t>Выручка</t>
  </si>
  <si>
    <t>Торвар_1</t>
  </si>
  <si>
    <t>Торвар_2</t>
  </si>
  <si>
    <t>Торвар_3</t>
  </si>
  <si>
    <t>Торвар_4</t>
  </si>
  <si>
    <t>Торвар_5</t>
  </si>
  <si>
    <t>Торвар_6</t>
  </si>
  <si>
    <t>Столбец1</t>
  </si>
  <si>
    <t>Факт-план</t>
  </si>
  <si>
    <t>% вып.плана</t>
  </si>
  <si>
    <t xml:space="preserve"> </t>
  </si>
  <si>
    <t xml:space="preserve">  </t>
  </si>
  <si>
    <t>Рассмотрим, как оценить влияние на выручку факторов первого уровня при факторном анализе отклонений между фактической и запланированной выручкой за отчетный период:</t>
  </si>
  <si>
    <t>Показатели</t>
  </si>
  <si>
    <t>Ед.измерения</t>
  </si>
  <si>
    <t>кг.</t>
  </si>
  <si>
    <t>Реализованно ед-ц.</t>
  </si>
  <si>
    <t>Продукция 1</t>
  </si>
  <si>
    <t>Продукция 2</t>
  </si>
  <si>
    <t>Продукция 3</t>
  </si>
  <si>
    <t>Цена реализации за ед.</t>
  </si>
  <si>
    <t>руб.</t>
  </si>
  <si>
    <t>Сумма Выручки</t>
  </si>
  <si>
    <t>Отклонение</t>
  </si>
  <si>
    <t>Итак, этап 1: рассчитываем влияние на выручку факторов первого уровня</t>
  </si>
  <si>
    <t>Ед.изменения</t>
  </si>
  <si>
    <t>Фактор Колличества</t>
  </si>
  <si>
    <t>Фактор цены</t>
  </si>
  <si>
    <t>Отклонения по выручке</t>
  </si>
  <si>
    <t>руб</t>
  </si>
  <si>
    <t xml:space="preserve">Сумма </t>
  </si>
  <si>
    <t>Факторный анализ товарных категорий. Способ цепной подстановки.</t>
  </si>
  <si>
    <t>товары</t>
  </si>
  <si>
    <t>Кружки</t>
  </si>
  <si>
    <t>Сумки</t>
  </si>
  <si>
    <t>Тарелки</t>
  </si>
  <si>
    <t>Фотокамни</t>
  </si>
  <si>
    <t>Фотокристалы</t>
  </si>
  <si>
    <t>Футболки</t>
  </si>
  <si>
    <t>Худи</t>
  </si>
  <si>
    <t>Итого</t>
  </si>
  <si>
    <t>выручка
прошлый месяц</t>
  </si>
  <si>
    <t>выручка
текущий месяц</t>
  </si>
  <si>
    <t>абсолютное
отклонение</t>
  </si>
  <si>
    <t>Прирост
в %</t>
  </si>
  <si>
    <t>Структура
в %</t>
  </si>
  <si>
    <t>процент
 влияние каждого
фактора на
общее отклонение</t>
  </si>
  <si>
    <t>Количество</t>
  </si>
  <si>
    <t>Цена</t>
  </si>
  <si>
    <t>Прошлый месяц</t>
  </si>
  <si>
    <t>Текущий месяц</t>
  </si>
  <si>
    <t>Товары</t>
  </si>
  <si>
    <t>Итого:</t>
  </si>
  <si>
    <t>МЕТОД ЦЕПНЫХ ПОДСТАНОВОК</t>
  </si>
  <si>
    <t>колличество
текущий месяц</t>
  </si>
  <si>
    <t>Цена
прошлый
месяц</t>
  </si>
  <si>
    <t>Условная
выручка</t>
  </si>
  <si>
    <t>Фактор 
Количества</t>
  </si>
  <si>
    <t>Фактор
Цены</t>
  </si>
  <si>
    <t>Абсолютное
отклонение</t>
  </si>
  <si>
    <t>Нам нужно выяснить,
 какие факторы повлияли на отклонение фактической величины продаж по итогам третьего квартала 2022 г. от утвержденной планом величины продаж (табл. 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</si>
</sst>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0000_-;\-* #,##0.000000_-;_-* &quot;-&quot;??_-;_-@_-"/>
    <numFmt numFmtId="165" formatCode="_-* #,##0.00\ _₽_-;\-* #,##0.00\ _₽_-;_-* &quot;-&quot;??\ _₽_-;_-@_-"/>
    <numFmt numFmtId="166" formatCode="_-* #,##0.00\ [$₽-419]_-;\-* #,##0.00\ [$₽-419]_-;_-* &quot;-&quot;??\ [$₽-419]_-;_-@_-"/>
    <numFmt numFmtId="170" formatCode="#,##0.00\ &quot;₽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12"/>
      <color theme="1" tint="4.9989318521683403E-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</cellStyleXfs>
  <cellXfs count="72">
    <xf numFmtId="0" fontId="0" fillId="0" borderId="0" xfId="0"/>
    <xf numFmtId="0" fontId="0" fillId="7" borderId="0" xfId="0" applyFill="1"/>
    <xf numFmtId="0" fontId="6" fillId="0" borderId="0" xfId="0" applyFont="1" applyAlignment="1">
      <alignment horizontal="center"/>
    </xf>
    <xf numFmtId="0" fontId="7" fillId="4" borderId="1" xfId="4" applyFont="1" applyFill="1" applyAlignment="1">
      <alignment horizontal="center"/>
    </xf>
    <xf numFmtId="0" fontId="8" fillId="5" borderId="0" xfId="3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5" fillId="7" borderId="0" xfId="0" applyFont="1" applyFill="1"/>
    <xf numFmtId="0" fontId="11" fillId="8" borderId="0" xfId="0" applyFont="1" applyFill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2" fontId="12" fillId="0" borderId="0" xfId="1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9" fontId="12" fillId="0" borderId="0" xfId="2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9" fillId="0" borderId="0" xfId="2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9" borderId="0" xfId="0" applyFill="1"/>
    <xf numFmtId="49" fontId="14" fillId="9" borderId="0" xfId="0" applyNumberFormat="1" applyFont="1" applyFill="1" applyAlignment="1">
      <alignment horizontal="left" vertical="center"/>
    </xf>
    <xf numFmtId="0" fontId="1" fillId="10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/>
    <xf numFmtId="0" fontId="0" fillId="12" borderId="0" xfId="0" applyFill="1" applyAlignment="1">
      <alignment horizontal="center" vertical="center"/>
    </xf>
    <xf numFmtId="43" fontId="1" fillId="10" borderId="0" xfId="1" applyFont="1" applyFill="1" applyAlignment="1">
      <alignment horizontal="center" vertical="center"/>
    </xf>
    <xf numFmtId="43" fontId="0" fillId="11" borderId="0" xfId="1" applyFont="1" applyFill="1" applyAlignment="1">
      <alignment horizontal="center" vertical="center"/>
    </xf>
    <xf numFmtId="43" fontId="1" fillId="10" borderId="0" xfId="1" applyFont="1" applyFill="1" applyAlignment="1">
      <alignment horizontal="left" vertical="center" indent="5"/>
    </xf>
    <xf numFmtId="43" fontId="0" fillId="11" borderId="0" xfId="1" applyFont="1" applyFill="1" applyAlignment="1">
      <alignment horizontal="left" vertical="center" indent="5"/>
    </xf>
    <xf numFmtId="0" fontId="12" fillId="13" borderId="0" xfId="0" applyFont="1" applyFill="1" applyAlignment="1">
      <alignment horizontal="center" vertical="top"/>
    </xf>
    <xf numFmtId="43" fontId="1" fillId="10" borderId="0" xfId="1" applyFont="1" applyFill="1" applyAlignment="1">
      <alignment horizontal="left" vertical="center" indent="7"/>
    </xf>
    <xf numFmtId="43" fontId="0" fillId="11" borderId="0" xfId="1" applyFont="1" applyFill="1" applyAlignment="1">
      <alignment horizontal="left" vertical="center" indent="7"/>
    </xf>
    <xf numFmtId="165" fontId="0" fillId="0" borderId="0" xfId="0" applyNumberFormat="1"/>
    <xf numFmtId="0" fontId="12" fillId="0" borderId="0" xfId="0" applyFont="1" applyAlignment="1">
      <alignment horizontal="center" vertical="top"/>
    </xf>
    <xf numFmtId="0" fontId="13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166" fontId="13" fillId="14" borderId="0" xfId="0" applyNumberFormat="1" applyFont="1" applyFill="1" applyAlignment="1">
      <alignment horizontal="center" vertical="center"/>
    </xf>
    <xf numFmtId="2" fontId="13" fillId="14" borderId="0" xfId="0" applyNumberFormat="1" applyFont="1" applyFill="1"/>
    <xf numFmtId="2" fontId="12" fillId="15" borderId="0" xfId="0" applyNumberFormat="1" applyFont="1" applyFill="1"/>
    <xf numFmtId="0" fontId="12" fillId="15" borderId="0" xfId="0" applyFont="1" applyFill="1"/>
    <xf numFmtId="0" fontId="12" fillId="15" borderId="0" xfId="0" applyFont="1" applyFill="1" applyAlignment="1">
      <alignment horizontal="center" vertical="center"/>
    </xf>
    <xf numFmtId="0" fontId="14" fillId="13" borderId="0" xfId="0" applyFont="1" applyFill="1" applyAlignment="1">
      <alignment horizontal="center" vertical="top"/>
    </xf>
    <xf numFmtId="164" fontId="9" fillId="0" borderId="2" xfId="1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49" fontId="9" fillId="0" borderId="2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vertical="center"/>
    </xf>
    <xf numFmtId="0" fontId="13" fillId="9" borderId="0" xfId="0" applyFont="1" applyFill="1"/>
    <xf numFmtId="9" fontId="0" fillId="0" borderId="0" xfId="2" applyFont="1"/>
    <xf numFmtId="2" fontId="0" fillId="0" borderId="0" xfId="1" applyNumberFormat="1" applyFont="1"/>
    <xf numFmtId="0" fontId="15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 wrapText="1"/>
    </xf>
    <xf numFmtId="9" fontId="0" fillId="0" borderId="0" xfId="0" applyNumberFormat="1"/>
    <xf numFmtId="0" fontId="0" fillId="17" borderId="0" xfId="0" applyFill="1"/>
    <xf numFmtId="0" fontId="15" fillId="9" borderId="0" xfId="0" applyFont="1" applyFill="1"/>
    <xf numFmtId="0" fontId="16" fillId="17" borderId="0" xfId="0" applyFont="1" applyFill="1"/>
    <xf numFmtId="0" fontId="16" fillId="9" borderId="0" xfId="0" applyFont="1" applyFill="1" applyAlignment="1"/>
    <xf numFmtId="166" fontId="0" fillId="0" borderId="0" xfId="0" applyNumberFormat="1"/>
    <xf numFmtId="1" fontId="0" fillId="0" borderId="0" xfId="0" applyNumberFormat="1"/>
    <xf numFmtId="166" fontId="15" fillId="9" borderId="0" xfId="0" applyNumberFormat="1" applyFont="1" applyFill="1"/>
    <xf numFmtId="166" fontId="13" fillId="9" borderId="0" xfId="0" applyNumberFormat="1" applyFont="1" applyFill="1"/>
    <xf numFmtId="49" fontId="15" fillId="16" borderId="0" xfId="0" applyNumberFormat="1" applyFont="1" applyFill="1"/>
    <xf numFmtId="49" fontId="0" fillId="0" borderId="0" xfId="0" applyNumberFormat="1"/>
    <xf numFmtId="49" fontId="15" fillId="9" borderId="0" xfId="0" applyNumberFormat="1" applyFont="1" applyFill="1"/>
    <xf numFmtId="0" fontId="13" fillId="18" borderId="0" xfId="0" applyFont="1" applyFill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49" fontId="13" fillId="9" borderId="0" xfId="0" applyNumberFormat="1" applyFont="1" applyFill="1" applyAlignment="1">
      <alignment horizontal="center" vertical="center" wrapText="1"/>
    </xf>
    <xf numFmtId="170" fontId="0" fillId="0" borderId="0" xfId="0" applyNumberFormat="1"/>
    <xf numFmtId="166" fontId="0" fillId="0" borderId="0" xfId="0" applyNumberFormat="1" applyAlignment="1">
      <alignment horizontal="left" indent="2"/>
    </xf>
    <xf numFmtId="0" fontId="13" fillId="9" borderId="0" xfId="0" applyFont="1" applyFill="1" applyAlignment="1">
      <alignment horizontal="center" vertical="center" wrapText="1"/>
    </xf>
    <xf numFmtId="166" fontId="13" fillId="9" borderId="0" xfId="0" applyNumberFormat="1" applyFont="1" applyFill="1" applyAlignment="1">
      <alignment horizontal="left" indent="2"/>
    </xf>
    <xf numFmtId="0" fontId="12" fillId="13" borderId="0" xfId="0" applyFont="1" applyFill="1" applyAlignment="1">
      <alignment horizontal="left" vertical="top" wrapText="1"/>
    </xf>
  </cellXfs>
  <cellStyles count="5">
    <cellStyle name="Контрольная ячейка" xfId="4" builtinId="23"/>
    <cellStyle name="Обычный" xfId="0" builtinId="0"/>
    <cellStyle name="Плохой" xfId="3" builtinId="27"/>
    <cellStyle name="Процентный" xfId="2" builtinId="5"/>
    <cellStyle name="Финансовый" xfId="1" builtinId="3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6" formatCode="_-* #,##0.00\ [$₽-419]_-;\-* #,##0.00\ [$₽-419]_-;_-* &quot;-&quot;??\ [$₽-419]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4.9989318521683403E-2"/>
        <name val="Times New Roman"/>
        <family val="1"/>
        <charset val="204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Анализ выполнения плана сотрудников 2024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Лист1!$F$3</c:f>
              <c:strCache>
                <c:ptCount val="1"/>
                <c:pt idx="0">
                  <c:v> Серое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Лист1!$E$4:$E$12</c:f>
              <c:strCache>
                <c:ptCount val="9"/>
                <c:pt idx="0">
                  <c:v>Андрей
-23,81%</c:v>
                </c:pt>
                <c:pt idx="1">
                  <c:v>Элина
32,14%</c:v>
                </c:pt>
                <c:pt idx="2">
                  <c:v>Степан
37,50%</c:v>
                </c:pt>
                <c:pt idx="3">
                  <c:v>Иван
-31,11%</c:v>
                </c:pt>
                <c:pt idx="4">
                  <c:v>Карина 
-21,88%</c:v>
                </c:pt>
                <c:pt idx="5">
                  <c:v>Елизавета
10,81%</c:v>
                </c:pt>
                <c:pt idx="6">
                  <c:v>Яна
52,38%</c:v>
                </c:pt>
                <c:pt idx="7">
                  <c:v>Вадим
-40,63%</c:v>
                </c:pt>
                <c:pt idx="8">
                  <c:v>Антон
0,00%</c:v>
                </c:pt>
              </c:strCache>
            </c:strRef>
          </c:cat>
          <c:val>
            <c:numRef>
              <c:f>Лист1!$F$4:$F$12</c:f>
              <c:numCache>
                <c:formatCode>General</c:formatCode>
                <c:ptCount val="9"/>
                <c:pt idx="0">
                  <c:v>16</c:v>
                </c:pt>
                <c:pt idx="1">
                  <c:v>28</c:v>
                </c:pt>
                <c:pt idx="2">
                  <c:v>40</c:v>
                </c:pt>
                <c:pt idx="3">
                  <c:v>31</c:v>
                </c:pt>
                <c:pt idx="4">
                  <c:v>25</c:v>
                </c:pt>
                <c:pt idx="5">
                  <c:v>37</c:v>
                </c:pt>
                <c:pt idx="6">
                  <c:v>21</c:v>
                </c:pt>
                <c:pt idx="7">
                  <c:v>19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B-4B86-A1A7-C1503C307689}"/>
            </c:ext>
          </c:extLst>
        </c:ser>
        <c:ser>
          <c:idx val="1"/>
          <c:order val="1"/>
          <c:tx>
            <c:strRef>
              <c:f>Лист1!$G$3</c:f>
              <c:strCache>
                <c:ptCount val="1"/>
                <c:pt idx="0">
                  <c:v>Красное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Лист1!$E$4:$E$12</c:f>
              <c:strCache>
                <c:ptCount val="9"/>
                <c:pt idx="0">
                  <c:v>Андрей
-23,81%</c:v>
                </c:pt>
                <c:pt idx="1">
                  <c:v>Элина
32,14%</c:v>
                </c:pt>
                <c:pt idx="2">
                  <c:v>Степан
37,50%</c:v>
                </c:pt>
                <c:pt idx="3">
                  <c:v>Иван
-31,11%</c:v>
                </c:pt>
                <c:pt idx="4">
                  <c:v>Карина 
-21,88%</c:v>
                </c:pt>
                <c:pt idx="5">
                  <c:v>Елизавета
10,81%</c:v>
                </c:pt>
                <c:pt idx="6">
                  <c:v>Яна
52,38%</c:v>
                </c:pt>
                <c:pt idx="7">
                  <c:v>Вадим
-40,63%</c:v>
                </c:pt>
                <c:pt idx="8">
                  <c:v>Антон
0,00%</c:v>
                </c:pt>
              </c:strCache>
            </c:strRef>
          </c:cat>
          <c:val>
            <c:numRef>
              <c:f>Лист1!$G$4:$G$12</c:f>
              <c:numCache>
                <c:formatCode>General</c:formatCode>
                <c:ptCount val="9"/>
                <c:pt idx="0">
                  <c:v>5</c:v>
                </c:pt>
                <c:pt idx="1">
                  <c:v>#N/A</c:v>
                </c:pt>
                <c:pt idx="2">
                  <c:v>#N/A</c:v>
                </c:pt>
                <c:pt idx="3">
                  <c:v>14</c:v>
                </c:pt>
                <c:pt idx="4">
                  <c:v>7</c:v>
                </c:pt>
                <c:pt idx="5">
                  <c:v>#N/A</c:v>
                </c:pt>
                <c:pt idx="6">
                  <c:v>#N/A</c:v>
                </c:pt>
                <c:pt idx="7">
                  <c:v>13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B-4B86-A1A7-C1503C307689}"/>
            </c:ext>
          </c:extLst>
        </c:ser>
        <c:ser>
          <c:idx val="2"/>
          <c:order val="2"/>
          <c:tx>
            <c:strRef>
              <c:f>Лист1!$H$3</c:f>
              <c:strCache>
                <c:ptCount val="1"/>
                <c:pt idx="0">
                  <c:v>Зеленое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Лист1!$E$4:$E$12</c:f>
              <c:strCache>
                <c:ptCount val="9"/>
                <c:pt idx="0">
                  <c:v>Андрей
-23,81%</c:v>
                </c:pt>
                <c:pt idx="1">
                  <c:v>Элина
32,14%</c:v>
                </c:pt>
                <c:pt idx="2">
                  <c:v>Степан
37,50%</c:v>
                </c:pt>
                <c:pt idx="3">
                  <c:v>Иван
-31,11%</c:v>
                </c:pt>
                <c:pt idx="4">
                  <c:v>Карина 
-21,88%</c:v>
                </c:pt>
                <c:pt idx="5">
                  <c:v>Елизавета
10,81%</c:v>
                </c:pt>
                <c:pt idx="6">
                  <c:v>Яна
52,38%</c:v>
                </c:pt>
                <c:pt idx="7">
                  <c:v>Вадим
-40,63%</c:v>
                </c:pt>
                <c:pt idx="8">
                  <c:v>Антон
0,00%</c:v>
                </c:pt>
              </c:strCache>
            </c:strRef>
          </c:cat>
          <c:val>
            <c:numRef>
              <c:f>Лист1!$H$4:$H$12</c:f>
              <c:numCache>
                <c:formatCode>General</c:formatCode>
                <c:ptCount val="9"/>
                <c:pt idx="0">
                  <c:v>#N/A</c:v>
                </c:pt>
                <c:pt idx="1">
                  <c:v>9</c:v>
                </c:pt>
                <c:pt idx="2">
                  <c:v>15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11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B-4B86-A1A7-C1503C3076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4953520"/>
        <c:axId val="394953160"/>
      </c:barChart>
      <c:lineChart>
        <c:grouping val="stacked"/>
        <c:varyColors val="0"/>
        <c:ser>
          <c:idx val="3"/>
          <c:order val="3"/>
          <c:tx>
            <c:strRef>
              <c:f>Лист1!$B$3</c:f>
              <c:strCache>
                <c:ptCount val="1"/>
                <c:pt idx="0">
                  <c:v>План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fixedVal"/>
            <c:noEndCap val="0"/>
            <c:val val="10"/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Лист1!$E$4:$E$12</c:f>
              <c:strCache>
                <c:ptCount val="9"/>
                <c:pt idx="0">
                  <c:v>Андрей
-23,81%</c:v>
                </c:pt>
                <c:pt idx="1">
                  <c:v>Элина
32,14%</c:v>
                </c:pt>
                <c:pt idx="2">
                  <c:v>Степан
37,50%</c:v>
                </c:pt>
                <c:pt idx="3">
                  <c:v>Иван
-31,11%</c:v>
                </c:pt>
                <c:pt idx="4">
                  <c:v>Карина 
-21,88%</c:v>
                </c:pt>
                <c:pt idx="5">
                  <c:v>Елизавета
10,81%</c:v>
                </c:pt>
                <c:pt idx="6">
                  <c:v>Яна
52,38%</c:v>
                </c:pt>
                <c:pt idx="7">
                  <c:v>Вадим
-40,63%</c:v>
                </c:pt>
                <c:pt idx="8">
                  <c:v>Антон
0,00%</c:v>
                </c:pt>
              </c:strCache>
            </c:strRef>
          </c:cat>
          <c:val>
            <c:numRef>
              <c:f>Лист1!$B$4:$B$12</c:f>
              <c:numCache>
                <c:formatCode>General</c:formatCode>
                <c:ptCount val="9"/>
                <c:pt idx="0">
                  <c:v>21</c:v>
                </c:pt>
                <c:pt idx="1">
                  <c:v>28</c:v>
                </c:pt>
                <c:pt idx="2">
                  <c:v>40</c:v>
                </c:pt>
                <c:pt idx="3">
                  <c:v>45</c:v>
                </c:pt>
                <c:pt idx="4">
                  <c:v>32</c:v>
                </c:pt>
                <c:pt idx="5">
                  <c:v>37</c:v>
                </c:pt>
                <c:pt idx="6">
                  <c:v>21</c:v>
                </c:pt>
                <c:pt idx="7">
                  <c:v>32</c:v>
                </c:pt>
                <c:pt idx="8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FB-4B86-A1A7-C1503C307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953520"/>
        <c:axId val="394953160"/>
      </c:lineChart>
      <c:catAx>
        <c:axId val="3949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953160"/>
        <c:crosses val="autoZero"/>
        <c:auto val="1"/>
        <c:lblAlgn val="ctr"/>
        <c:lblOffset val="100"/>
        <c:noMultiLvlLbl val="0"/>
      </c:catAx>
      <c:valAx>
        <c:axId val="39495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9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waterfall" uniqueId="{2F278E3B-439E-4371-AE95-4684B7B216EE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719097</xdr:colOff>
      <xdr:row>2</xdr:row>
      <xdr:rowOff>9604</xdr:rowOff>
    </xdr:from>
    <xdr:to>
      <xdr:col>15</xdr:col>
      <xdr:colOff>322728</xdr:colOff>
      <xdr:row>12</xdr:row>
      <xdr:rowOff>8965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765BED9-BCCC-A71C-23CE-49082A1D3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9414</xdr:colOff>
      <xdr:row>27</xdr:row>
      <xdr:rowOff>3587</xdr:rowOff>
    </xdr:from>
    <xdr:to>
      <xdr:col>5</xdr:col>
      <xdr:colOff>0</xdr:colOff>
      <xdr:row>49</xdr:row>
      <xdr:rowOff>10885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>
              <a:extLst>
                <a:ext uri="{FF2B5EF4-FFF2-40B4-BE49-F238E27FC236}">
                  <a16:creationId xmlns:a16="http://schemas.microsoft.com/office/drawing/2014/main" id="{08678E3F-A105-A9E9-9F0B-9D03EC3D4E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9574" y="9391427"/>
              <a:ext cx="5918946" cy="40306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5D5EA5-FE3D-4692-8574-290EDE44FF50}" name="Анализ_Факторный" displayName="Анализ_Факторный" ref="A3:H12" totalsRowShown="0" headerRowDxfId="30" dataDxfId="29">
  <autoFilter ref="A3:H12" xr:uid="{B55D5EA5-FE3D-4692-8574-290EDE44FF50}"/>
  <tableColumns count="8">
    <tableColumn id="1" xr3:uid="{663F0E01-19E8-4F71-A624-4D31971FFB60}" name="Менеджер" dataDxfId="28"/>
    <tableColumn id="2" xr3:uid="{FAE917B1-ACCD-4AA1-966E-D08DE8A12FFB}" name="План" dataDxfId="27"/>
    <tableColumn id="3" xr3:uid="{6229942D-D33C-41F0-B716-3FFF232E2BDE}" name="Факт" dataDxfId="26"/>
    <tableColumn id="4" xr3:uid="{2B434EC6-B46A-4512-B996-9F91F6334A0B}" name="Отклонение от плана" dataDxfId="25" dataCellStyle="Процентный">
      <calculatedColumnFormula>Анализ_Факторный[[#This Row],[Факт]]/Анализ_Факторный[[#This Row],[План]] - 1</calculatedColumnFormula>
    </tableColumn>
    <tableColumn id="5" xr3:uid="{6C19FAE1-12ED-4348-9B43-A5C861A55D5B}" name="Подписи оси Y" dataDxfId="24">
      <calculatedColumnFormula>Анализ_Факторный[[#This Row],[Менеджер]]&amp;CHAR(10)&amp;TEXT(Анализ_Факторный[[#This Row],[Отклонение от плана]], "0,00%")</calculatedColumnFormula>
    </tableColumn>
    <tableColumn id="6" xr3:uid="{1768B05E-D2E0-4163-9504-9AB14469D93E}" name=" Серое" dataDxfId="23">
      <calculatedColumnFormula>MIN(B4,C4)</calculatedColumnFormula>
    </tableColumn>
    <tableColumn id="7" xr3:uid="{EF229EA5-D9B0-4C09-BB03-642EC9D7DEB6}" name="Красное" dataDxfId="22">
      <calculatedColumnFormula>IF(Анализ_Факторный[[#This Row],[План]]&gt;Анализ_Факторный[[#This Row],[Факт]],Анализ_Факторный[[#This Row],[План]]-Анализ_Факторный[[#This Row],[Факт]],NA())</calculatedColumnFormula>
    </tableColumn>
    <tableColumn id="8" xr3:uid="{8AC08EB1-3B78-4922-97EF-D6C398343554}" name="Зеленое" dataDxfId="21">
      <calculatedColumnFormula>IF(Анализ_Факторный[[#This Row],[План]]&lt;Анализ_Факторный[[#This Row],[Факт]],Анализ_Факторный[[#This Row],[Факт]]-Анализ_Факторный[[#This Row],[План]],NA())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649FB3-7867-4AF2-88BB-D5C6D0A7A92B}" name="Таблица6" displayName="Таблица6" ref="A17:E25" totalsRowShown="0" headerRowDxfId="20" dataDxfId="19">
  <autoFilter ref="A17:E25" xr:uid="{07649FB3-7867-4AF2-88BB-D5C6D0A7A92B}"/>
  <tableColumns count="5">
    <tableColumn id="1" xr3:uid="{5CD9AB3D-67B8-4DA9-BBE9-F2FF31570247}" name="Столбец1" dataDxfId="18"/>
    <tableColumn id="2" xr3:uid="{F19C3F60-BBB2-40E8-8D79-C080F2F2D7E2}" name="План" dataDxfId="17" dataCellStyle="Финансовый"/>
    <tableColumn id="3" xr3:uid="{313BC6E3-DBEB-43F0-B277-EEEF427BC1E9}" name="Факт" dataDxfId="16" dataCellStyle="Финансовый"/>
    <tableColumn id="4" xr3:uid="{02D39949-8910-4EFF-9C85-BEB8680DAAD4}" name="Факт-план" dataDxfId="15">
      <calculatedColumnFormula>Таблица6[[#This Row],[Факт]]-Таблица6[[#This Row],[План]]</calculatedColumnFormula>
    </tableColumn>
    <tableColumn id="5" xr3:uid="{9E0DBC11-822B-4AFC-BD1D-8897AC3F86C2}" name="% вып.плана" dataDxfId="14" dataCellStyle="Процентный">
      <calculatedColumnFormula>Таблица6[[#This Row],[Факт]]/Таблица6[[#This Row],[План]]-1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52D0A9-F087-4351-B074-8CC7B811CBA0}" name="Таблица2" displayName="Таблица2" ref="A3:E15" totalsRowShown="0" headerRowDxfId="13" dataDxfId="12">
  <autoFilter ref="A3:E15" xr:uid="{E152D0A9-F087-4351-B074-8CC7B811CBA0}"/>
  <tableColumns count="5">
    <tableColumn id="1" xr3:uid="{A2A3990F-557A-4328-8925-1B065F9FD8F4}" name="Показатели" dataDxfId="11"/>
    <tableColumn id="2" xr3:uid="{BC25D8DD-113B-4EAD-90AA-8F5398982503}" name="Ед.измерения" dataDxfId="10"/>
    <tableColumn id="3" xr3:uid="{E3998B10-5D9B-4C0C-94CC-45146D74F517}" name="План" dataDxfId="9" dataCellStyle="Финансовый"/>
    <tableColumn id="4" xr3:uid="{E0A3CE52-E01C-405A-B14C-11C40F8D8CDA}" name="Факт" dataDxfId="8" dataCellStyle="Финансовый"/>
    <tableColumn id="5" xr3:uid="{9AA281EF-B2AA-4861-87BF-3080B90D8588}" name="Отклонение" dataDxfId="7" dataCellStyle="Финансовый">
      <calculatedColumnFormula>Таблица2[[#This Row],[Факт]]-Таблица2[[#This Row],[План]]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8C3A08-D24F-41D6-9117-1220B168BE4C}" name="Таблица3" displayName="Таблица3" ref="H4:L7" totalsRowShown="0" headerRowDxfId="6" dataDxfId="5">
  <autoFilter ref="H4:L7" xr:uid="{398C3A08-D24F-41D6-9117-1220B168BE4C}"/>
  <tableColumns count="5">
    <tableColumn id="1" xr3:uid="{F4A4C4AB-86CC-4FCB-B6B4-F16F70C36FC6}" name="Показатели" dataDxfId="4"/>
    <tableColumn id="2" xr3:uid="{56799EAF-972A-4C39-A7C0-BA20C2258A09}" name="Ед.изменения" dataDxfId="3"/>
    <tableColumn id="3" xr3:uid="{D53F4E08-E8FC-490E-B309-E7F915869E97}" name="Фактор Колличества" dataDxfId="2">
      <calculatedColumnFormula>(Таблица2[[#This Row],[Факт]]-Таблица2[[#This Row],[План]])*C9</calculatedColumnFormula>
    </tableColumn>
    <tableColumn id="4" xr3:uid="{7C5EB977-9EC2-4E79-809B-782951E04263}" name="Фактор цены" dataDxfId="1">
      <calculatedColumnFormula>(D9-C9)*Таблица2[[#This Row],[Факт]]</calculatedColumnFormula>
    </tableColumn>
    <tableColumn id="5" xr3:uid="{5A750E7B-AE00-4153-BBBB-FCA73C5BFAF1}" name="Отклонения по выручке" dataDxfId="0">
      <calculatedColumnFormula>SUM(J5,K5)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FC79-8508-4C72-9D13-CA1355847470}">
  <sheetPr codeName="Лист1"/>
  <dimension ref="A1:J25"/>
  <sheetViews>
    <sheetView tabSelected="1" topLeftCell="A10" zoomScale="85" zoomScaleNormal="85" workbookViewId="0">
      <selection activeCell="F22" sqref="F22"/>
    </sheetView>
  </sheetViews>
  <sheetFormatPr defaultRowHeight="14.4" x14ac:dyDescent="0.3"/>
  <cols>
    <col min="1" max="1" width="18.6640625" customWidth="1"/>
    <col min="2" max="2" width="20.109375" customWidth="1"/>
    <col min="3" max="3" width="18.33203125" customWidth="1"/>
    <col min="4" max="4" width="26" customWidth="1"/>
    <col min="5" max="5" width="22" customWidth="1"/>
    <col min="6" max="6" width="24.33203125" customWidth="1"/>
    <col min="7" max="7" width="17.5546875" customWidth="1"/>
    <col min="8" max="8" width="19.44140625" customWidth="1"/>
    <col min="9" max="9" width="12.5546875" customWidth="1"/>
    <col min="10" max="10" width="9.77734375" customWidth="1"/>
  </cols>
  <sheetData>
    <row r="1" spans="1:8" ht="30" customHeight="1" x14ac:dyDescent="0.3">
      <c r="A1" s="6" t="s">
        <v>0</v>
      </c>
      <c r="B1" s="1"/>
      <c r="C1" s="1"/>
      <c r="D1" s="1"/>
    </row>
    <row r="2" spans="1:8" ht="15" thickBot="1" x14ac:dyDescent="0.35"/>
    <row r="3" spans="1:8" ht="40.049999999999997" customHeight="1" thickTop="1" thickBot="1" x14ac:dyDescent="0.35">
      <c r="A3" s="2" t="s">
        <v>1</v>
      </c>
      <c r="B3" s="2" t="s">
        <v>2</v>
      </c>
      <c r="C3" s="2" t="s">
        <v>3</v>
      </c>
      <c r="D3" s="2" t="s">
        <v>13</v>
      </c>
      <c r="E3" s="2" t="s">
        <v>14</v>
      </c>
      <c r="F3" s="3" t="s">
        <v>15</v>
      </c>
      <c r="G3" s="4" t="s">
        <v>16</v>
      </c>
      <c r="H3" s="5" t="s">
        <v>17</v>
      </c>
    </row>
    <row r="4" spans="1:8" ht="31.8" thickTop="1" x14ac:dyDescent="0.3">
      <c r="A4" s="12" t="s">
        <v>4</v>
      </c>
      <c r="B4" s="12">
        <v>21</v>
      </c>
      <c r="C4" s="12">
        <v>16</v>
      </c>
      <c r="D4" s="13">
        <f>Анализ_Факторный[[#This Row],[Факт]]/Анализ_Факторный[[#This Row],[План]] - 1</f>
        <v>-0.23809523809523814</v>
      </c>
      <c r="E4" s="14" t="str">
        <f>Анализ_Факторный[[#This Row],[Менеджер]]&amp;CHAR(10)&amp;TEXT(Анализ_Факторный[[#This Row],[Отклонение от плана]], "0,00%")</f>
        <v>Андрей
-23,81%</v>
      </c>
      <c r="F4" s="12">
        <f t="shared" ref="F4:F12" si="0">MIN(B4,C4)</f>
        <v>16</v>
      </c>
      <c r="G4" s="12">
        <f>IF(Анализ_Факторный[[#This Row],[План]]&gt;Анализ_Факторный[[#This Row],[Факт]],Анализ_Факторный[[#This Row],[План]]-Анализ_Факторный[[#This Row],[Факт]],NA())</f>
        <v>5</v>
      </c>
      <c r="H4" s="12" t="e">
        <f>IF(Анализ_Факторный[[#This Row],[План]]&lt;Анализ_Факторный[[#This Row],[Факт]],Анализ_Факторный[[#This Row],[Факт]]-Анализ_Факторный[[#This Row],[План]],NA())</f>
        <v>#N/A</v>
      </c>
    </row>
    <row r="5" spans="1:8" ht="31.2" x14ac:dyDescent="0.3">
      <c r="A5" s="12" t="s">
        <v>5</v>
      </c>
      <c r="B5" s="12">
        <v>28</v>
      </c>
      <c r="C5" s="12">
        <v>37</v>
      </c>
      <c r="D5" s="13">
        <f>Анализ_Факторный[[#This Row],[Факт]]/Анализ_Факторный[[#This Row],[План]] - 1</f>
        <v>0.3214285714285714</v>
      </c>
      <c r="E5" s="14" t="str">
        <f>Анализ_Факторный[[#This Row],[Менеджер]]&amp;CHAR(10)&amp;TEXT(Анализ_Факторный[[#This Row],[Отклонение от плана]], "0,00%")</f>
        <v>Элина
32,14%</v>
      </c>
      <c r="F5" s="12">
        <f>MIN(B5,C5)</f>
        <v>28</v>
      </c>
      <c r="G5" s="12" t="e">
        <f>IF(Анализ_Факторный[[#This Row],[План]]&gt;Анализ_Факторный[[#This Row],[Факт]],Анализ_Факторный[[#This Row],[План]]-Анализ_Факторный[[#This Row],[Факт]],NA())</f>
        <v>#N/A</v>
      </c>
      <c r="H5" s="12">
        <f>IF(Анализ_Факторный[[#This Row],[План]]&lt;Анализ_Факторный[[#This Row],[Факт]],Анализ_Факторный[[#This Row],[Факт]]-Анализ_Факторный[[#This Row],[План]],NA())</f>
        <v>9</v>
      </c>
    </row>
    <row r="6" spans="1:8" ht="31.2" x14ac:dyDescent="0.3">
      <c r="A6" s="12" t="s">
        <v>6</v>
      </c>
      <c r="B6" s="12">
        <v>40</v>
      </c>
      <c r="C6" s="12">
        <v>55</v>
      </c>
      <c r="D6" s="13">
        <f>Анализ_Факторный[[#This Row],[Факт]]/Анализ_Факторный[[#This Row],[План]] - 1</f>
        <v>0.375</v>
      </c>
      <c r="E6" s="14" t="str">
        <f>Анализ_Факторный[[#This Row],[Менеджер]]&amp;CHAR(10)&amp;TEXT(Анализ_Факторный[[#This Row],[Отклонение от плана]], "0,00%")</f>
        <v>Степан
37,50%</v>
      </c>
      <c r="F6" s="12">
        <f t="shared" si="0"/>
        <v>40</v>
      </c>
      <c r="G6" s="12" t="e">
        <f>IF(Анализ_Факторный[[#This Row],[План]]&gt;Анализ_Факторный[[#This Row],[Факт]],Анализ_Факторный[[#This Row],[План]]-Анализ_Факторный[[#This Row],[Факт]],NA())</f>
        <v>#N/A</v>
      </c>
      <c r="H6" s="12">
        <f>IF(Анализ_Факторный[[#This Row],[План]]&lt;Анализ_Факторный[[#This Row],[Факт]],Анализ_Факторный[[#This Row],[Факт]]-Анализ_Факторный[[#This Row],[План]],NA())</f>
        <v>15</v>
      </c>
    </row>
    <row r="7" spans="1:8" ht="31.2" x14ac:dyDescent="0.3">
      <c r="A7" s="12" t="s">
        <v>7</v>
      </c>
      <c r="B7" s="12">
        <v>45</v>
      </c>
      <c r="C7" s="12">
        <v>31</v>
      </c>
      <c r="D7" s="13">
        <f>Анализ_Факторный[[#This Row],[Факт]]/Анализ_Факторный[[#This Row],[План]] - 1</f>
        <v>-0.31111111111111112</v>
      </c>
      <c r="E7" s="14" t="str">
        <f>Анализ_Факторный[[#This Row],[Менеджер]]&amp;CHAR(10)&amp;TEXT(Анализ_Факторный[[#This Row],[Отклонение от плана]], "0,00%")</f>
        <v>Иван
-31,11%</v>
      </c>
      <c r="F7" s="12">
        <f t="shared" si="0"/>
        <v>31</v>
      </c>
      <c r="G7" s="12">
        <f>IF(Анализ_Факторный[[#This Row],[План]]&gt;Анализ_Факторный[[#This Row],[Факт]],Анализ_Факторный[[#This Row],[План]]-Анализ_Факторный[[#This Row],[Факт]],NA())</f>
        <v>14</v>
      </c>
      <c r="H7" s="12" t="e">
        <f>IF(Анализ_Факторный[[#This Row],[План]]&lt;Анализ_Факторный[[#This Row],[Факт]],Анализ_Факторный[[#This Row],[Факт]]-Анализ_Факторный[[#This Row],[План]],NA())</f>
        <v>#N/A</v>
      </c>
    </row>
    <row r="8" spans="1:8" ht="31.2" x14ac:dyDescent="0.3">
      <c r="A8" s="12" t="s">
        <v>8</v>
      </c>
      <c r="B8" s="12">
        <v>32</v>
      </c>
      <c r="C8" s="12">
        <v>25</v>
      </c>
      <c r="D8" s="13">
        <f>Анализ_Факторный[[#This Row],[Факт]]/Анализ_Факторный[[#This Row],[План]] - 1</f>
        <v>-0.21875</v>
      </c>
      <c r="E8" s="14" t="str">
        <f>Анализ_Факторный[[#This Row],[Менеджер]]&amp;CHAR(10)&amp;TEXT(Анализ_Факторный[[#This Row],[Отклонение от плана]], "0,00%")</f>
        <v>Карина 
-21,88%</v>
      </c>
      <c r="F8" s="12">
        <f t="shared" si="0"/>
        <v>25</v>
      </c>
      <c r="G8" s="12">
        <f>IF(Анализ_Факторный[[#This Row],[План]]&gt;Анализ_Факторный[[#This Row],[Факт]],Анализ_Факторный[[#This Row],[План]]-Анализ_Факторный[[#This Row],[Факт]],NA())</f>
        <v>7</v>
      </c>
      <c r="H8" s="12" t="e">
        <f>IF(Анализ_Факторный[[#This Row],[План]]&lt;Анализ_Факторный[[#This Row],[Факт]],Анализ_Факторный[[#This Row],[Факт]]-Анализ_Факторный[[#This Row],[План]],NA())</f>
        <v>#N/A</v>
      </c>
    </row>
    <row r="9" spans="1:8" ht="31.2" x14ac:dyDescent="0.3">
      <c r="A9" s="12" t="s">
        <v>9</v>
      </c>
      <c r="B9" s="12">
        <v>37</v>
      </c>
      <c r="C9" s="12">
        <v>41</v>
      </c>
      <c r="D9" s="13">
        <f>Анализ_Факторный[[#This Row],[Факт]]/Анализ_Факторный[[#This Row],[План]] - 1</f>
        <v>0.10810810810810811</v>
      </c>
      <c r="E9" s="14" t="str">
        <f>Анализ_Факторный[[#This Row],[Менеджер]]&amp;CHAR(10)&amp;TEXT(Анализ_Факторный[[#This Row],[Отклонение от плана]], "0,00%")</f>
        <v>Елизавета
10,81%</v>
      </c>
      <c r="F9" s="12">
        <f t="shared" si="0"/>
        <v>37</v>
      </c>
      <c r="G9" s="12" t="e">
        <f>IF(Анализ_Факторный[[#This Row],[План]]&gt;Анализ_Факторный[[#This Row],[Факт]],Анализ_Факторный[[#This Row],[План]]-Анализ_Факторный[[#This Row],[Факт]],NA())</f>
        <v>#N/A</v>
      </c>
      <c r="H9" s="12">
        <f>IF(Анализ_Факторный[[#This Row],[План]]&lt;Анализ_Факторный[[#This Row],[Факт]],Анализ_Факторный[[#This Row],[Факт]]-Анализ_Факторный[[#This Row],[План]],NA())</f>
        <v>4</v>
      </c>
    </row>
    <row r="10" spans="1:8" ht="31.2" x14ac:dyDescent="0.3">
      <c r="A10" s="12" t="s">
        <v>10</v>
      </c>
      <c r="B10" s="12">
        <v>21</v>
      </c>
      <c r="C10" s="12">
        <v>32</v>
      </c>
      <c r="D10" s="13">
        <f>Анализ_Факторный[[#This Row],[Факт]]/Анализ_Факторный[[#This Row],[План]] - 1</f>
        <v>0.52380952380952372</v>
      </c>
      <c r="E10" s="14" t="str">
        <f>Анализ_Факторный[[#This Row],[Менеджер]]&amp;CHAR(10)&amp;TEXT(Анализ_Факторный[[#This Row],[Отклонение от плана]], "0,00%")</f>
        <v>Яна
52,38%</v>
      </c>
      <c r="F10" s="12">
        <f t="shared" si="0"/>
        <v>21</v>
      </c>
      <c r="G10" s="12" t="e">
        <f>IF(Анализ_Факторный[[#This Row],[План]]&gt;Анализ_Факторный[[#This Row],[Факт]],Анализ_Факторный[[#This Row],[План]]-Анализ_Факторный[[#This Row],[Факт]],NA())</f>
        <v>#N/A</v>
      </c>
      <c r="H10" s="12">
        <f>IF(Анализ_Факторный[[#This Row],[План]]&lt;Анализ_Факторный[[#This Row],[Факт]],Анализ_Факторный[[#This Row],[Факт]]-Анализ_Факторный[[#This Row],[План]],NA())</f>
        <v>11</v>
      </c>
    </row>
    <row r="11" spans="1:8" ht="31.2" x14ac:dyDescent="0.3">
      <c r="A11" s="12" t="s">
        <v>11</v>
      </c>
      <c r="B11" s="12">
        <v>32</v>
      </c>
      <c r="C11" s="12">
        <v>19</v>
      </c>
      <c r="D11" s="13">
        <f>Анализ_Факторный[[#This Row],[Факт]]/Анализ_Факторный[[#This Row],[План]] - 1</f>
        <v>-0.40625</v>
      </c>
      <c r="E11" s="14" t="str">
        <f>Анализ_Факторный[[#This Row],[Менеджер]]&amp;CHAR(10)&amp;TEXT(Анализ_Факторный[[#This Row],[Отклонение от плана]], "0,00%")</f>
        <v>Вадим
-40,63%</v>
      </c>
      <c r="F11" s="12">
        <f t="shared" si="0"/>
        <v>19</v>
      </c>
      <c r="G11" s="12">
        <f>IF(Анализ_Факторный[[#This Row],[План]]&gt;Анализ_Факторный[[#This Row],[Факт]],Анализ_Факторный[[#This Row],[План]]-Анализ_Факторный[[#This Row],[Факт]],NA())</f>
        <v>13</v>
      </c>
      <c r="H11" s="12" t="e">
        <f>IF(Анализ_Факторный[[#This Row],[План]]&lt;Анализ_Факторный[[#This Row],[Факт]],Анализ_Факторный[[#This Row],[Факт]]-Анализ_Факторный[[#This Row],[План]],NA())</f>
        <v>#N/A</v>
      </c>
    </row>
    <row r="12" spans="1:8" ht="31.2" x14ac:dyDescent="0.3">
      <c r="A12" s="12" t="s">
        <v>12</v>
      </c>
      <c r="B12" s="12">
        <v>42</v>
      </c>
      <c r="C12" s="12">
        <v>42</v>
      </c>
      <c r="D12" s="13">
        <f>Анализ_Факторный[[#This Row],[Факт]]/Анализ_Факторный[[#This Row],[План]] - 1</f>
        <v>0</v>
      </c>
      <c r="E12" s="14" t="str">
        <f>Анализ_Факторный[[#This Row],[Менеджер]]&amp;CHAR(10)&amp;TEXT(Анализ_Факторный[[#This Row],[Отклонение от плана]], "0,00%")</f>
        <v>Антон
0,00%</v>
      </c>
      <c r="F12" s="12">
        <f t="shared" si="0"/>
        <v>42</v>
      </c>
      <c r="G12" s="12" t="e">
        <f>IF(Анализ_Факторный[[#This Row],[План]]&gt;Анализ_Факторный[[#This Row],[Факт]],Анализ_Факторный[[#This Row],[План]]-Анализ_Факторный[[#This Row],[Факт]],NA())</f>
        <v>#N/A</v>
      </c>
      <c r="H12" s="12" t="e">
        <f>IF(Анализ_Факторный[[#This Row],[План]]&lt;Анализ_Факторный[[#This Row],[Факт]],Анализ_Факторный[[#This Row],[Факт]]-Анализ_Факторный[[#This Row],[План]],NA())</f>
        <v>#N/A</v>
      </c>
    </row>
    <row r="17" spans="1:10" ht="18" x14ac:dyDescent="0.3">
      <c r="A17" s="7" t="s">
        <v>25</v>
      </c>
      <c r="B17" s="7" t="s">
        <v>2</v>
      </c>
      <c r="C17" s="7" t="s">
        <v>3</v>
      </c>
      <c r="D17" s="7" t="s">
        <v>26</v>
      </c>
      <c r="E17" s="7" t="s">
        <v>27</v>
      </c>
    </row>
    <row r="18" spans="1:10" ht="31.2" x14ac:dyDescent="0.3">
      <c r="A18" s="8" t="s">
        <v>18</v>
      </c>
      <c r="B18" s="9">
        <v>3496883</v>
      </c>
      <c r="C18" s="9">
        <v>3587148</v>
      </c>
      <c r="D18" s="10">
        <f>Таблица6[[#This Row],[Факт]]-Таблица6[[#This Row],[План]]</f>
        <v>90265</v>
      </c>
      <c r="E18" s="11">
        <f>Таблица6[[#This Row],[Факт]]/Таблица6[[#This Row],[План]]-1</f>
        <v>2.5812988309874774E-2</v>
      </c>
      <c r="F18" s="40" t="str">
        <f>G18&amp;CHAR(10)&amp;TEXT(J18, "0%")</f>
        <v>План
0%</v>
      </c>
      <c r="G18" s="41" t="s">
        <v>2</v>
      </c>
      <c r="H18" s="42"/>
      <c r="I18" s="43"/>
      <c r="J18" s="43"/>
    </row>
    <row r="19" spans="1:10" ht="31.2" x14ac:dyDescent="0.3">
      <c r="A19" s="8" t="s">
        <v>19</v>
      </c>
      <c r="B19" s="9">
        <v>861210</v>
      </c>
      <c r="C19" s="9">
        <v>942326</v>
      </c>
      <c r="D19" s="10">
        <f>Таблица6[[#This Row],[Факт]]-Таблица6[[#This Row],[План]]</f>
        <v>81116</v>
      </c>
      <c r="E19" s="11">
        <f>Таблица6[[#This Row],[Факт]]/Таблица6[[#This Row],[План]]-1</f>
        <v>9.4188409331057432E-2</v>
      </c>
      <c r="F19" s="40" t="str">
        <f t="shared" ref="F19:F25" si="1">G19&amp;CHAR(10)&amp;TEXT(J19, "0%")</f>
        <v>Торвар_1
28%</v>
      </c>
      <c r="G19" s="44" t="s">
        <v>19</v>
      </c>
      <c r="H19" s="45">
        <v>81116</v>
      </c>
      <c r="I19" s="43">
        <f>ABS(H19)</f>
        <v>81116</v>
      </c>
      <c r="J19" s="46">
        <f>I19/$I$25</f>
        <v>0.27521485256347183</v>
      </c>
    </row>
    <row r="20" spans="1:10" ht="31.2" x14ac:dyDescent="0.3">
      <c r="A20" s="8" t="s">
        <v>20</v>
      </c>
      <c r="B20" s="9">
        <v>298123</v>
      </c>
      <c r="C20" s="9">
        <v>250731</v>
      </c>
      <c r="D20" s="10">
        <f>Таблица6[[#This Row],[Факт]]-Таблица6[[#This Row],[План]]</f>
        <v>-47392</v>
      </c>
      <c r="E20" s="11">
        <f>Таблица6[[#This Row],[Факт]]/Таблица6[[#This Row],[План]]-1</f>
        <v>-0.1589679427618802</v>
      </c>
      <c r="F20" s="40" t="str">
        <f t="shared" si="1"/>
        <v>Торвар_2
16%</v>
      </c>
      <c r="G20" s="44" t="s">
        <v>20</v>
      </c>
      <c r="H20" s="45">
        <v>-47392</v>
      </c>
      <c r="I20" s="43">
        <f t="shared" ref="I20:I24" si="2">ABS(H20)</f>
        <v>47392</v>
      </c>
      <c r="J20" s="46">
        <f t="shared" ref="J20:J25" si="3">I20/$I$25</f>
        <v>0.16079419957453595</v>
      </c>
    </row>
    <row r="21" spans="1:10" ht="31.2" x14ac:dyDescent="0.3">
      <c r="A21" s="8" t="s">
        <v>21</v>
      </c>
      <c r="B21" s="9">
        <v>485311</v>
      </c>
      <c r="C21" s="9">
        <v>434092</v>
      </c>
      <c r="D21" s="10">
        <f>Таблица6[[#This Row],[Факт]]-Таблица6[[#This Row],[План]]</f>
        <v>-51219</v>
      </c>
      <c r="E21" s="11">
        <f>Таблица6[[#This Row],[Факт]]/Таблица6[[#This Row],[План]]-1</f>
        <v>-0.10553851035727602</v>
      </c>
      <c r="F21" s="40" t="str">
        <f t="shared" si="1"/>
        <v>Торвар_3
17%</v>
      </c>
      <c r="G21" s="44" t="s">
        <v>21</v>
      </c>
      <c r="H21" s="45">
        <v>-51219</v>
      </c>
      <c r="I21" s="43">
        <f t="shared" si="2"/>
        <v>51219</v>
      </c>
      <c r="J21" s="46">
        <f t="shared" si="3"/>
        <v>0.17377865690429095</v>
      </c>
    </row>
    <row r="22" spans="1:10" ht="31.2" x14ac:dyDescent="0.3">
      <c r="A22" s="8" t="s">
        <v>22</v>
      </c>
      <c r="B22" s="9">
        <v>508368</v>
      </c>
      <c r="C22" s="9">
        <v>560000</v>
      </c>
      <c r="D22" s="10">
        <f>Таблица6[[#This Row],[Факт]]-Таблица6[[#This Row],[План]]</f>
        <v>51632</v>
      </c>
      <c r="E22" s="11">
        <f>Таблица6[[#This Row],[Факт]]/Таблица6[[#This Row],[План]]-1</f>
        <v>0.10156422119409569</v>
      </c>
      <c r="F22" s="40" t="str">
        <f>G22&amp;CHAR(10)&amp;TEXT(J22, "0%")</f>
        <v xml:space="preserve">  
18%</v>
      </c>
      <c r="G22" s="44" t="s">
        <v>29</v>
      </c>
      <c r="H22" s="45">
        <v>51632</v>
      </c>
      <c r="I22" s="43">
        <f t="shared" si="2"/>
        <v>51632</v>
      </c>
      <c r="J22" s="46">
        <f t="shared" si="3"/>
        <v>0.1751799061536217</v>
      </c>
    </row>
    <row r="23" spans="1:10" ht="31.2" x14ac:dyDescent="0.3">
      <c r="A23" s="8" t="s">
        <v>23</v>
      </c>
      <c r="B23" s="9">
        <v>838625</v>
      </c>
      <c r="C23" s="9">
        <v>835000</v>
      </c>
      <c r="D23" s="10">
        <f>Таблица6[[#This Row],[Факт]]-Таблица6[[#This Row],[План]]</f>
        <v>-3625</v>
      </c>
      <c r="E23" s="11">
        <f>Таблица6[[#This Row],[Факт]]/Таблица6[[#This Row],[План]]-1</f>
        <v>-4.3225517960947535E-3</v>
      </c>
      <c r="F23" s="40" t="str">
        <f t="shared" si="1"/>
        <v>Торвар_5
1%</v>
      </c>
      <c r="G23" s="44" t="s">
        <v>23</v>
      </c>
      <c r="H23" s="45">
        <v>-3625</v>
      </c>
      <c r="I23" s="43">
        <f t="shared" si="2"/>
        <v>3625</v>
      </c>
      <c r="J23" s="46">
        <f t="shared" si="3"/>
        <v>1.2299100554053274E-2</v>
      </c>
    </row>
    <row r="24" spans="1:10" ht="31.2" x14ac:dyDescent="0.3">
      <c r="A24" s="8" t="s">
        <v>24</v>
      </c>
      <c r="B24" s="9">
        <v>505247</v>
      </c>
      <c r="C24" s="9">
        <v>565000</v>
      </c>
      <c r="D24" s="10">
        <f>Таблица6[[#This Row],[Факт]]-Таблица6[[#This Row],[План]]</f>
        <v>59753</v>
      </c>
      <c r="E24" s="11">
        <f>Таблица6[[#This Row],[Факт]]/Таблица6[[#This Row],[План]]-1</f>
        <v>0.11826492784717169</v>
      </c>
      <c r="F24" s="40" t="str">
        <f t="shared" si="1"/>
        <v>Торвар_6
20%</v>
      </c>
      <c r="G24" s="44" t="s">
        <v>24</v>
      </c>
      <c r="H24" s="45">
        <v>59753</v>
      </c>
      <c r="I24" s="43">
        <f t="shared" si="2"/>
        <v>59753</v>
      </c>
      <c r="J24" s="46">
        <f t="shared" si="3"/>
        <v>0.20273328425002629</v>
      </c>
    </row>
    <row r="25" spans="1:10" ht="31.2" x14ac:dyDescent="0.3">
      <c r="A25" s="8" t="s">
        <v>28</v>
      </c>
      <c r="B25" s="9"/>
      <c r="C25" s="9"/>
      <c r="D25" s="10">
        <f>Таблица6[[#This Row],[Факт]]-Таблица6[[#This Row],[План]]</f>
        <v>0</v>
      </c>
      <c r="E25" s="11" t="e">
        <f>Таблица6[[#This Row],[Факт]]/Таблица6[[#This Row],[План]]-1</f>
        <v>#DIV/0!</v>
      </c>
      <c r="F25" s="40" t="str">
        <f t="shared" si="1"/>
        <v>Факт
100%</v>
      </c>
      <c r="G25" s="41" t="s">
        <v>3</v>
      </c>
      <c r="H25" s="45">
        <f>SUM(H19:H24)</f>
        <v>90265</v>
      </c>
      <c r="I25" s="43">
        <f>SUM(I19:I24)</f>
        <v>294737</v>
      </c>
      <c r="J25" s="43">
        <f t="shared" si="3"/>
        <v>1</v>
      </c>
    </row>
  </sheetData>
  <phoneticPr fontId="10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16BD-B094-4536-A5F7-653ED16FF76A}">
  <dimension ref="A1:Y25"/>
  <sheetViews>
    <sheetView zoomScale="70" zoomScaleNormal="70" workbookViewId="0">
      <selection activeCell="A19" sqref="A19:E19"/>
    </sheetView>
  </sheetViews>
  <sheetFormatPr defaultRowHeight="14.4" x14ac:dyDescent="0.3"/>
  <cols>
    <col min="1" max="1" width="25.21875" customWidth="1"/>
    <col min="2" max="5" width="20.77734375" customWidth="1"/>
    <col min="6" max="6" width="12.109375" customWidth="1"/>
    <col min="7" max="7" width="24" customWidth="1"/>
    <col min="8" max="8" width="36.6640625" customWidth="1"/>
    <col min="9" max="9" width="23.88671875" customWidth="1"/>
    <col min="10" max="10" width="24.33203125" customWidth="1"/>
    <col min="11" max="11" width="20.21875" customWidth="1"/>
    <col min="12" max="12" width="26.6640625" customWidth="1"/>
  </cols>
  <sheetData>
    <row r="1" spans="1:25" ht="16.8" customHeight="1" x14ac:dyDescent="0.3">
      <c r="A1" s="16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3" spans="1:25" ht="30" customHeight="1" x14ac:dyDescent="0.3">
      <c r="A3" s="21" t="s">
        <v>31</v>
      </c>
      <c r="B3" s="21" t="s">
        <v>32</v>
      </c>
      <c r="C3" s="21" t="s">
        <v>2</v>
      </c>
      <c r="D3" s="21" t="s">
        <v>3</v>
      </c>
      <c r="E3" s="21" t="s">
        <v>41</v>
      </c>
    </row>
    <row r="4" spans="1:25" ht="30" customHeight="1" x14ac:dyDescent="0.3">
      <c r="A4" s="18" t="s">
        <v>34</v>
      </c>
      <c r="B4" s="17" t="s">
        <v>33</v>
      </c>
      <c r="C4" s="22">
        <v>200000</v>
      </c>
      <c r="D4" s="22">
        <v>190000</v>
      </c>
      <c r="E4" s="27">
        <f>Таблица2[[#This Row],[Факт]]-Таблица2[[#This Row],[План]]</f>
        <v>-10000</v>
      </c>
      <c r="H4" s="32" t="s">
        <v>31</v>
      </c>
      <c r="I4" s="31" t="s">
        <v>43</v>
      </c>
      <c r="J4" s="31" t="s">
        <v>44</v>
      </c>
      <c r="K4" s="31" t="s">
        <v>45</v>
      </c>
      <c r="L4" s="31" t="s">
        <v>46</v>
      </c>
    </row>
    <row r="5" spans="1:25" ht="30" customHeight="1" x14ac:dyDescent="0.3">
      <c r="A5" s="19" t="s">
        <v>35</v>
      </c>
      <c r="B5" s="19" t="s">
        <v>33</v>
      </c>
      <c r="C5" s="23">
        <v>50000</v>
      </c>
      <c r="D5" s="23">
        <v>55000</v>
      </c>
      <c r="E5" s="28">
        <f>Таблица2[[#This Row],[Факт]]-Таблица2[[#This Row],[План]]</f>
        <v>5000</v>
      </c>
      <c r="H5" s="33" t="s">
        <v>35</v>
      </c>
      <c r="I5" s="34" t="s">
        <v>47</v>
      </c>
      <c r="J5" s="35">
        <f>(Таблица2[[#This Row],[Факт]]-Таблица2[[#This Row],[План]])*C9</f>
        <v>1000000</v>
      </c>
      <c r="K5" s="35">
        <f>(D9-C9)*Таблица2[[#This Row],[Факт]]</f>
        <v>-2750000</v>
      </c>
      <c r="L5" s="35">
        <f t="shared" ref="L5:L7" si="0">SUM(J5,K5)</f>
        <v>-1750000</v>
      </c>
    </row>
    <row r="6" spans="1:25" ht="30" customHeight="1" x14ac:dyDescent="0.3">
      <c r="A6" s="19" t="s">
        <v>36</v>
      </c>
      <c r="B6" s="19" t="s">
        <v>33</v>
      </c>
      <c r="C6" s="23">
        <v>80000</v>
      </c>
      <c r="D6" s="23">
        <v>75000</v>
      </c>
      <c r="E6" s="28">
        <f>Таблица2[[#This Row],[Факт]]-Таблица2[[#This Row],[План]]</f>
        <v>-5000</v>
      </c>
      <c r="H6" s="33" t="s">
        <v>36</v>
      </c>
      <c r="I6" s="34" t="s">
        <v>47</v>
      </c>
      <c r="J6" s="35">
        <f>(Таблица2[[#This Row],[Факт]]-Таблица2[[#This Row],[План]])*C10</f>
        <v>-1500000</v>
      </c>
      <c r="K6" s="35">
        <f>(D10-C10)*Таблица2[[#This Row],[Факт]]</f>
        <v>0</v>
      </c>
      <c r="L6" s="35">
        <f t="shared" si="0"/>
        <v>-1500000</v>
      </c>
    </row>
    <row r="7" spans="1:25" ht="30" customHeight="1" x14ac:dyDescent="0.3">
      <c r="A7" s="19" t="s">
        <v>37</v>
      </c>
      <c r="B7" s="19" t="s">
        <v>33</v>
      </c>
      <c r="C7" s="23">
        <v>70000</v>
      </c>
      <c r="D7" s="23">
        <v>60000</v>
      </c>
      <c r="E7" s="28">
        <f>Таблица2[[#This Row],[Факт]]-Таблица2[[#This Row],[План]]</f>
        <v>-10000</v>
      </c>
      <c r="H7" s="33" t="s">
        <v>37</v>
      </c>
      <c r="I7" s="34" t="s">
        <v>47</v>
      </c>
      <c r="J7" s="35">
        <f>(Таблица2[[#This Row],[Факт]]-Таблица2[[#This Row],[План]])*C11</f>
        <v>-5000000</v>
      </c>
      <c r="K7" s="35">
        <f>(D11-C11)*Таблица2[[#This Row],[Факт]]</f>
        <v>3000000</v>
      </c>
      <c r="L7" s="35">
        <f t="shared" si="0"/>
        <v>-2000000</v>
      </c>
    </row>
    <row r="8" spans="1:25" ht="30" customHeight="1" x14ac:dyDescent="0.3">
      <c r="A8" s="18" t="s">
        <v>38</v>
      </c>
      <c r="B8" s="17" t="s">
        <v>39</v>
      </c>
      <c r="C8" s="22">
        <v>345</v>
      </c>
      <c r="D8" s="22">
        <v>336</v>
      </c>
      <c r="E8" s="27">
        <f>Таблица2[[#This Row],[Факт]]-Таблица2[[#This Row],[План]]</f>
        <v>-9</v>
      </c>
    </row>
    <row r="9" spans="1:25" ht="30" customHeight="1" x14ac:dyDescent="0.35">
      <c r="A9" s="19" t="s">
        <v>35</v>
      </c>
      <c r="B9" s="19" t="s">
        <v>39</v>
      </c>
      <c r="C9" s="23">
        <v>200</v>
      </c>
      <c r="D9" s="23">
        <v>150</v>
      </c>
      <c r="E9" s="28">
        <f>Таблица2[[#This Row],[Факт]]-Таблица2[[#This Row],[План]]</f>
        <v>-50</v>
      </c>
      <c r="H9" s="37" t="s">
        <v>48</v>
      </c>
      <c r="I9" s="38" t="s">
        <v>47</v>
      </c>
      <c r="J9" s="36">
        <f>SUM(J5,J6,J7)</f>
        <v>-5500000</v>
      </c>
      <c r="K9" s="36">
        <f>SUM(K5,K6,K7)</f>
        <v>250000</v>
      </c>
      <c r="L9" s="36">
        <f>SUM(L5,L6,L7)</f>
        <v>-5250000</v>
      </c>
    </row>
    <row r="10" spans="1:25" ht="30" customHeight="1" x14ac:dyDescent="0.3">
      <c r="A10" s="19" t="s">
        <v>36</v>
      </c>
      <c r="B10" s="19" t="s">
        <v>39</v>
      </c>
      <c r="C10" s="23">
        <v>300</v>
      </c>
      <c r="D10" s="23">
        <v>300</v>
      </c>
      <c r="E10" s="28">
        <f>Таблица2[[#This Row],[Факт]]-Таблица2[[#This Row],[План]]</f>
        <v>0</v>
      </c>
    </row>
    <row r="11" spans="1:25" ht="30" customHeight="1" x14ac:dyDescent="0.3">
      <c r="A11" s="19" t="s">
        <v>37</v>
      </c>
      <c r="B11" s="19" t="s">
        <v>39</v>
      </c>
      <c r="C11" s="23">
        <v>500</v>
      </c>
      <c r="D11" s="23">
        <v>550</v>
      </c>
      <c r="E11" s="28">
        <f>Таблица2[[#This Row],[Факт]]-Таблица2[[#This Row],[План]]</f>
        <v>50</v>
      </c>
    </row>
    <row r="12" spans="1:25" ht="30" customHeight="1" x14ac:dyDescent="0.3">
      <c r="A12" s="18" t="s">
        <v>40</v>
      </c>
      <c r="B12" s="17" t="s">
        <v>39</v>
      </c>
      <c r="C12" s="22">
        <v>69000000</v>
      </c>
      <c r="D12" s="22">
        <v>63750000</v>
      </c>
      <c r="E12" s="24">
        <f>Таблица2[[#This Row],[Факт]]-Таблица2[[#This Row],[План]]</f>
        <v>-5250000</v>
      </c>
    </row>
    <row r="13" spans="1:25" ht="30" customHeight="1" x14ac:dyDescent="0.3">
      <c r="A13" s="19" t="s">
        <v>35</v>
      </c>
      <c r="B13" s="19" t="s">
        <v>39</v>
      </c>
      <c r="C13" s="23">
        <v>10000000</v>
      </c>
      <c r="D13" s="23">
        <v>8250000</v>
      </c>
      <c r="E13" s="25">
        <f>Таблица2[[#This Row],[Факт]]-Таблица2[[#This Row],[План]]</f>
        <v>-1750000</v>
      </c>
      <c r="H13" s="30"/>
      <c r="I13" s="30"/>
    </row>
    <row r="14" spans="1:25" ht="30" customHeight="1" x14ac:dyDescent="0.3">
      <c r="A14" s="19" t="s">
        <v>36</v>
      </c>
      <c r="B14" s="19" t="s">
        <v>39</v>
      </c>
      <c r="C14" s="23">
        <v>24000000</v>
      </c>
      <c r="D14" s="23">
        <v>22500000</v>
      </c>
      <c r="E14" s="25">
        <f>Таблица2[[#This Row],[Факт]]-Таблица2[[#This Row],[План]]</f>
        <v>-1500000</v>
      </c>
      <c r="G14" s="30"/>
    </row>
    <row r="15" spans="1:25" ht="30" customHeight="1" x14ac:dyDescent="0.3">
      <c r="A15" s="19" t="s">
        <v>37</v>
      </c>
      <c r="B15" s="19" t="s">
        <v>39</v>
      </c>
      <c r="C15" s="23">
        <v>35000000</v>
      </c>
      <c r="D15" s="23">
        <v>33000000</v>
      </c>
      <c r="E15" s="25">
        <f>Таблица2[[#This Row],[Факт]]-Таблица2[[#This Row],[План]]</f>
        <v>-2000000</v>
      </c>
    </row>
    <row r="16" spans="1:25" x14ac:dyDescent="0.3">
      <c r="A16" s="20"/>
      <c r="B16" s="20"/>
      <c r="C16" s="20"/>
      <c r="D16" s="20"/>
      <c r="E16" s="20"/>
    </row>
    <row r="17" spans="1:20" ht="18" x14ac:dyDescent="0.3">
      <c r="J17" s="30"/>
      <c r="K17" s="30"/>
      <c r="L17" s="30"/>
    </row>
    <row r="18" spans="1:20" ht="216" x14ac:dyDescent="0.3">
      <c r="A18" s="71" t="s">
        <v>78</v>
      </c>
      <c r="B18" s="26"/>
      <c r="C18" s="26"/>
      <c r="D18" s="26"/>
      <c r="E18" s="26"/>
      <c r="F18" s="26"/>
      <c r="M18" s="30"/>
      <c r="N18" s="30"/>
      <c r="O18" s="30"/>
      <c r="P18" s="30"/>
      <c r="Q18" s="30"/>
      <c r="R18" s="30"/>
      <c r="S18" s="30"/>
      <c r="T18" s="30"/>
    </row>
    <row r="19" spans="1:20" ht="18" customHeight="1" x14ac:dyDescent="0.3">
      <c r="A19" s="39" t="s">
        <v>42</v>
      </c>
      <c r="B19" s="39"/>
      <c r="C19" s="39"/>
      <c r="D19" s="39"/>
      <c r="E19" s="39"/>
    </row>
    <row r="23" spans="1:20" x14ac:dyDescent="0.3">
      <c r="A23" s="29"/>
    </row>
    <row r="24" spans="1:20" x14ac:dyDescent="0.3">
      <c r="A24" s="29"/>
    </row>
    <row r="25" spans="1:20" x14ac:dyDescent="0.3">
      <c r="A25" s="29"/>
    </row>
  </sheetData>
  <mergeCells count="1">
    <mergeCell ref="A19:E19"/>
  </mergeCells>
  <phoneticPr fontId="10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5620-3164-44C5-99CE-68B28C2A1734}">
  <dimension ref="A1:N31"/>
  <sheetViews>
    <sheetView zoomScale="55" zoomScaleNormal="55" workbookViewId="0">
      <selection activeCell="L31" sqref="L31"/>
    </sheetView>
  </sheetViews>
  <sheetFormatPr defaultRowHeight="14.4" x14ac:dyDescent="0.3"/>
  <cols>
    <col min="1" max="5" width="30.77734375" customWidth="1"/>
    <col min="6" max="6" width="16" customWidth="1"/>
    <col min="7" max="7" width="56.109375" customWidth="1"/>
    <col min="9" max="9" width="12.33203125" customWidth="1"/>
    <col min="10" max="10" width="11.33203125" customWidth="1"/>
    <col min="11" max="11" width="16.33203125" customWidth="1"/>
    <col min="12" max="12" width="17.44140625" customWidth="1"/>
    <col min="13" max="13" width="13.44140625" customWidth="1"/>
    <col min="14" max="14" width="14.77734375" customWidth="1"/>
  </cols>
  <sheetData>
    <row r="1" spans="1:14" ht="25.8" x14ac:dyDescent="0.5">
      <c r="A1" s="56" t="s">
        <v>49</v>
      </c>
      <c r="B1" s="47"/>
      <c r="C1" s="47"/>
      <c r="D1" s="47"/>
      <c r="E1" s="47"/>
      <c r="F1" s="47"/>
      <c r="G1" s="47"/>
    </row>
    <row r="3" spans="1:14" ht="70.05" customHeight="1" x14ac:dyDescent="0.3">
      <c r="A3" s="50" t="s">
        <v>50</v>
      </c>
      <c r="B3" s="51" t="s">
        <v>59</v>
      </c>
      <c r="C3" s="51" t="s">
        <v>60</v>
      </c>
      <c r="D3" s="51" t="s">
        <v>61</v>
      </c>
      <c r="E3" s="51" t="s">
        <v>62</v>
      </c>
      <c r="F3" s="51" t="s">
        <v>63</v>
      </c>
      <c r="G3" s="51" t="s">
        <v>64</v>
      </c>
    </row>
    <row r="4" spans="1:14" x14ac:dyDescent="0.3">
      <c r="A4" t="s">
        <v>51</v>
      </c>
      <c r="B4" s="57">
        <v>55186</v>
      </c>
      <c r="C4" s="57">
        <v>66223</v>
      </c>
      <c r="D4" s="49">
        <f>C4-B4</f>
        <v>11037</v>
      </c>
      <c r="E4" s="48">
        <f>(C4/B4)-1</f>
        <v>0.19999637589243657</v>
      </c>
      <c r="F4" s="48">
        <f>B4/$B$11</f>
        <v>9.1330805652692706E-2</v>
      </c>
      <c r="G4" s="52">
        <f>E4*F4</f>
        <v>1.8265830137875E-2</v>
      </c>
    </row>
    <row r="5" spans="1:14" x14ac:dyDescent="0.3">
      <c r="A5" t="s">
        <v>52</v>
      </c>
      <c r="B5" s="57">
        <v>20264</v>
      </c>
      <c r="C5" s="57">
        <v>22290</v>
      </c>
      <c r="D5" s="49">
        <f t="shared" ref="D5:D11" si="0">C5-B5</f>
        <v>2026</v>
      </c>
      <c r="E5" s="48">
        <f t="shared" ref="E5:E11" si="1">(C5/B5)-1</f>
        <v>9.9980260560600165E-2</v>
      </c>
      <c r="F5" s="48">
        <f t="shared" ref="F5:F11" si="2">B5/$B$11</f>
        <v>3.3536176670644097E-2</v>
      </c>
      <c r="G5" s="52">
        <f t="shared" ref="G5:G11" si="3">E5*F5</f>
        <v>3.3529556817373171E-3</v>
      </c>
    </row>
    <row r="6" spans="1:14" x14ac:dyDescent="0.3">
      <c r="A6" t="s">
        <v>53</v>
      </c>
      <c r="B6" s="57">
        <v>72165</v>
      </c>
      <c r="C6" s="57">
        <v>82990</v>
      </c>
      <c r="D6" s="49">
        <f t="shared" si="0"/>
        <v>10825</v>
      </c>
      <c r="E6" s="48">
        <f t="shared" si="1"/>
        <v>0.15000346428323974</v>
      </c>
      <c r="F6" s="48">
        <f t="shared" si="2"/>
        <v>0.11943042782456727</v>
      </c>
      <c r="G6" s="52">
        <f t="shared" si="3"/>
        <v>1.7914977914514518E-2</v>
      </c>
    </row>
    <row r="7" spans="1:14" x14ac:dyDescent="0.3">
      <c r="A7" t="s">
        <v>54</v>
      </c>
      <c r="B7" s="57">
        <v>105294</v>
      </c>
      <c r="C7" s="57">
        <v>94765</v>
      </c>
      <c r="D7" s="49">
        <f t="shared" si="0"/>
        <v>-10529</v>
      </c>
      <c r="E7" s="48">
        <f t="shared" si="1"/>
        <v>-9.9996201113073835E-2</v>
      </c>
      <c r="F7" s="48">
        <f t="shared" si="2"/>
        <v>0.17425770757791154</v>
      </c>
      <c r="G7" s="52">
        <f t="shared" si="3"/>
        <v>-1.7425108772464053E-2</v>
      </c>
    </row>
    <row r="8" spans="1:14" x14ac:dyDescent="0.3">
      <c r="A8" t="s">
        <v>55</v>
      </c>
      <c r="B8" s="57">
        <v>108012</v>
      </c>
      <c r="C8" s="57">
        <v>111252</v>
      </c>
      <c r="D8" s="49">
        <f t="shared" si="0"/>
        <v>3240</v>
      </c>
      <c r="E8" s="48">
        <f t="shared" si="1"/>
        <v>2.9996667036995994E-2</v>
      </c>
      <c r="F8" s="48">
        <f t="shared" si="2"/>
        <v>0.17875589787552359</v>
      </c>
      <c r="G8" s="52">
        <f t="shared" si="3"/>
        <v>5.362081149471341E-3</v>
      </c>
    </row>
    <row r="9" spans="1:14" x14ac:dyDescent="0.3">
      <c r="A9" t="s">
        <v>56</v>
      </c>
      <c r="B9" s="57">
        <v>101082</v>
      </c>
      <c r="C9" s="57">
        <v>109169</v>
      </c>
      <c r="D9" s="49">
        <f t="shared" si="0"/>
        <v>8087</v>
      </c>
      <c r="E9" s="48">
        <f t="shared" si="1"/>
        <v>8.000435290160457E-2</v>
      </c>
      <c r="F9" s="48">
        <f t="shared" si="2"/>
        <v>0.16728700208359881</v>
      </c>
      <c r="G9" s="52">
        <f t="shared" si="3"/>
        <v>1.3383688350547698E-2</v>
      </c>
    </row>
    <row r="10" spans="1:14" x14ac:dyDescent="0.3">
      <c r="A10" t="s">
        <v>57</v>
      </c>
      <c r="B10" s="57">
        <v>142240</v>
      </c>
      <c r="C10" s="57">
        <v>125171</v>
      </c>
      <c r="D10" s="49">
        <f t="shared" si="0"/>
        <v>-17069</v>
      </c>
      <c r="E10" s="48">
        <f t="shared" si="1"/>
        <v>-0.1200014060742407</v>
      </c>
      <c r="F10" s="48">
        <f t="shared" si="2"/>
        <v>0.23540198231506199</v>
      </c>
      <c r="G10" s="52">
        <f t="shared" si="3"/>
        <v>-2.8248568870470982E-2</v>
      </c>
    </row>
    <row r="11" spans="1:14" x14ac:dyDescent="0.3">
      <c r="A11" s="47" t="s">
        <v>58</v>
      </c>
      <c r="B11" s="60">
        <f>SUM(B4:B10)</f>
        <v>604243</v>
      </c>
      <c r="C11" s="60">
        <f>SUM(C4:C10)</f>
        <v>611860</v>
      </c>
      <c r="D11" s="49">
        <f t="shared" si="0"/>
        <v>7617</v>
      </c>
      <c r="E11" s="48">
        <f t="shared" si="1"/>
        <v>1.2605855591210746E-2</v>
      </c>
      <c r="F11" s="48">
        <f t="shared" si="2"/>
        <v>1</v>
      </c>
      <c r="G11" s="52">
        <f t="shared" si="3"/>
        <v>1.2605855591210746E-2</v>
      </c>
    </row>
    <row r="12" spans="1:14" x14ac:dyDescent="0.3">
      <c r="A12" s="53"/>
      <c r="B12" s="53"/>
      <c r="C12" s="53"/>
      <c r="D12" s="53"/>
      <c r="E12" s="53"/>
      <c r="F12" s="53"/>
      <c r="G12" s="53"/>
    </row>
    <row r="13" spans="1:14" ht="25.8" x14ac:dyDescent="0.5">
      <c r="A13" s="53"/>
      <c r="B13" s="55" t="s">
        <v>71</v>
      </c>
      <c r="C13" s="53"/>
      <c r="D13" s="53"/>
      <c r="E13" s="53"/>
      <c r="F13" s="53"/>
      <c r="G13" s="53"/>
    </row>
    <row r="14" spans="1:14" ht="43.2" x14ac:dyDescent="0.3">
      <c r="A14" s="61" t="s">
        <v>69</v>
      </c>
      <c r="B14" s="61" t="s">
        <v>65</v>
      </c>
      <c r="C14" s="61" t="s">
        <v>66</v>
      </c>
      <c r="D14" s="61" t="s">
        <v>67</v>
      </c>
      <c r="E14" s="61" t="s">
        <v>65</v>
      </c>
      <c r="F14" s="61" t="s">
        <v>66</v>
      </c>
      <c r="G14" s="61" t="s">
        <v>68</v>
      </c>
      <c r="I14" s="65" t="s">
        <v>72</v>
      </c>
      <c r="J14" s="66" t="s">
        <v>73</v>
      </c>
      <c r="K14" s="64" t="s">
        <v>74</v>
      </c>
      <c r="L14" s="65" t="s">
        <v>75</v>
      </c>
      <c r="M14" s="69" t="s">
        <v>76</v>
      </c>
      <c r="N14" s="64" t="s">
        <v>77</v>
      </c>
    </row>
    <row r="15" spans="1:14" x14ac:dyDescent="0.3">
      <c r="A15" s="62" t="s">
        <v>51</v>
      </c>
      <c r="B15" s="58">
        <v>86</v>
      </c>
      <c r="C15" s="57">
        <v>642</v>
      </c>
      <c r="D15" s="57">
        <f>C15*B15</f>
        <v>55212</v>
      </c>
      <c r="E15" s="58">
        <v>93</v>
      </c>
      <c r="F15" s="57">
        <v>712</v>
      </c>
      <c r="G15" s="57">
        <f>F15*E15</f>
        <v>66216</v>
      </c>
      <c r="I15" s="58">
        <f>E15</f>
        <v>93</v>
      </c>
      <c r="J15" s="67">
        <f>C15</f>
        <v>642</v>
      </c>
      <c r="K15" s="57">
        <f>J15*I15</f>
        <v>59706</v>
      </c>
      <c r="L15" s="68">
        <f>K15-D15</f>
        <v>4494</v>
      </c>
      <c r="M15" s="57">
        <f>N15-L15</f>
        <v>6510</v>
      </c>
      <c r="N15" s="68">
        <f>G15-D15</f>
        <v>11004</v>
      </c>
    </row>
    <row r="16" spans="1:14" x14ac:dyDescent="0.3">
      <c r="A16" s="62" t="s">
        <v>52</v>
      </c>
      <c r="B16" s="58">
        <v>38</v>
      </c>
      <c r="C16" s="57">
        <v>533</v>
      </c>
      <c r="D16" s="57">
        <f t="shared" ref="D16:D21" si="4">C16*B16</f>
        <v>20254</v>
      </c>
      <c r="E16" s="58">
        <v>38</v>
      </c>
      <c r="F16" s="57">
        <v>587</v>
      </c>
      <c r="G16" s="57">
        <f t="shared" ref="G16:G21" si="5">F16*E16</f>
        <v>22306</v>
      </c>
      <c r="I16" s="58">
        <f t="shared" ref="I16:I21" si="6">E16</f>
        <v>38</v>
      </c>
      <c r="J16" s="67">
        <f t="shared" ref="J16:J21" si="7">C16</f>
        <v>533</v>
      </c>
      <c r="K16" s="57">
        <f t="shared" ref="K16:K21" si="8">J16*I16</f>
        <v>20254</v>
      </c>
      <c r="L16" s="68">
        <f t="shared" ref="L16:L21" si="9">K16-D16</f>
        <v>0</v>
      </c>
      <c r="M16" s="57">
        <f t="shared" ref="M16:M22" si="10">N16-L16</f>
        <v>2052</v>
      </c>
      <c r="N16" s="68">
        <f t="shared" ref="N16:N21" si="11">G16-D16</f>
        <v>2052</v>
      </c>
    </row>
    <row r="17" spans="1:14" x14ac:dyDescent="0.3">
      <c r="A17" s="62" t="s">
        <v>53</v>
      </c>
      <c r="B17" s="58">
        <v>78</v>
      </c>
      <c r="C17" s="57">
        <v>952</v>
      </c>
      <c r="D17" s="57">
        <f t="shared" si="4"/>
        <v>74256</v>
      </c>
      <c r="E17" s="58">
        <v>81</v>
      </c>
      <c r="F17" s="57">
        <v>1025</v>
      </c>
      <c r="G17" s="57">
        <f t="shared" si="5"/>
        <v>83025</v>
      </c>
      <c r="I17" s="58">
        <f t="shared" si="6"/>
        <v>81</v>
      </c>
      <c r="J17" s="67">
        <f t="shared" si="7"/>
        <v>952</v>
      </c>
      <c r="K17" s="57">
        <f t="shared" si="8"/>
        <v>77112</v>
      </c>
      <c r="L17" s="68">
        <f t="shared" si="9"/>
        <v>2856</v>
      </c>
      <c r="M17" s="57">
        <f t="shared" si="10"/>
        <v>5913</v>
      </c>
      <c r="N17" s="68">
        <f t="shared" si="11"/>
        <v>8769</v>
      </c>
    </row>
    <row r="18" spans="1:14" x14ac:dyDescent="0.3">
      <c r="A18" s="62" t="s">
        <v>54</v>
      </c>
      <c r="B18" s="58">
        <v>74</v>
      </c>
      <c r="C18" s="57">
        <v>1423</v>
      </c>
      <c r="D18" s="57">
        <f t="shared" si="4"/>
        <v>105302</v>
      </c>
      <c r="E18" s="58">
        <v>60</v>
      </c>
      <c r="F18" s="57">
        <v>1579</v>
      </c>
      <c r="G18" s="57">
        <f t="shared" si="5"/>
        <v>94740</v>
      </c>
      <c r="I18" s="58">
        <f t="shared" si="6"/>
        <v>60</v>
      </c>
      <c r="J18" s="67">
        <f t="shared" si="7"/>
        <v>1423</v>
      </c>
      <c r="K18" s="57">
        <f t="shared" si="8"/>
        <v>85380</v>
      </c>
      <c r="L18" s="68">
        <f t="shared" si="9"/>
        <v>-19922</v>
      </c>
      <c r="M18" s="57">
        <f t="shared" si="10"/>
        <v>9360</v>
      </c>
      <c r="N18" s="68">
        <f t="shared" si="11"/>
        <v>-10562</v>
      </c>
    </row>
    <row r="19" spans="1:14" x14ac:dyDescent="0.3">
      <c r="A19" s="62" t="s">
        <v>55</v>
      </c>
      <c r="B19" s="58">
        <v>70</v>
      </c>
      <c r="C19" s="57">
        <v>1543</v>
      </c>
      <c r="D19" s="57">
        <f t="shared" si="4"/>
        <v>108010</v>
      </c>
      <c r="E19" s="58">
        <v>65</v>
      </c>
      <c r="F19" s="57">
        <v>1712</v>
      </c>
      <c r="G19" s="57">
        <f t="shared" si="5"/>
        <v>111280</v>
      </c>
      <c r="I19" s="58">
        <f t="shared" si="6"/>
        <v>65</v>
      </c>
      <c r="J19" s="67">
        <f t="shared" si="7"/>
        <v>1543</v>
      </c>
      <c r="K19" s="57">
        <f t="shared" si="8"/>
        <v>100295</v>
      </c>
      <c r="L19" s="68">
        <f t="shared" si="9"/>
        <v>-7715</v>
      </c>
      <c r="M19" s="57">
        <f t="shared" si="10"/>
        <v>10985</v>
      </c>
      <c r="N19" s="68">
        <f t="shared" si="11"/>
        <v>3270</v>
      </c>
    </row>
    <row r="20" spans="1:14" x14ac:dyDescent="0.3">
      <c r="A20" s="62" t="s">
        <v>56</v>
      </c>
      <c r="B20" s="58">
        <v>79</v>
      </c>
      <c r="C20" s="57">
        <v>1280</v>
      </c>
      <c r="D20" s="57">
        <f t="shared" si="4"/>
        <v>101120</v>
      </c>
      <c r="E20" s="58">
        <v>77</v>
      </c>
      <c r="F20" s="57">
        <v>1418</v>
      </c>
      <c r="G20" s="57">
        <f t="shared" si="5"/>
        <v>109186</v>
      </c>
      <c r="I20" s="58">
        <f t="shared" si="6"/>
        <v>77</v>
      </c>
      <c r="J20" s="67">
        <f t="shared" si="7"/>
        <v>1280</v>
      </c>
      <c r="K20" s="57">
        <f t="shared" si="8"/>
        <v>98560</v>
      </c>
      <c r="L20" s="68">
        <f t="shared" si="9"/>
        <v>-2560</v>
      </c>
      <c r="M20" s="57">
        <f t="shared" si="10"/>
        <v>10626</v>
      </c>
      <c r="N20" s="68">
        <f t="shared" si="11"/>
        <v>8066</v>
      </c>
    </row>
    <row r="21" spans="1:14" x14ac:dyDescent="0.3">
      <c r="A21" s="62" t="s">
        <v>57</v>
      </c>
      <c r="B21" s="58">
        <v>57</v>
      </c>
      <c r="C21" s="57">
        <v>2495</v>
      </c>
      <c r="D21" s="57">
        <f t="shared" si="4"/>
        <v>142215</v>
      </c>
      <c r="E21" s="58">
        <v>45</v>
      </c>
      <c r="F21" s="57">
        <v>2782</v>
      </c>
      <c r="G21" s="57">
        <f t="shared" si="5"/>
        <v>125190</v>
      </c>
      <c r="I21" s="58">
        <f t="shared" si="6"/>
        <v>45</v>
      </c>
      <c r="J21" s="67">
        <f t="shared" si="7"/>
        <v>2495</v>
      </c>
      <c r="K21" s="57">
        <f t="shared" si="8"/>
        <v>112275</v>
      </c>
      <c r="L21" s="68">
        <f t="shared" si="9"/>
        <v>-29940</v>
      </c>
      <c r="M21" s="57">
        <f t="shared" si="10"/>
        <v>12915</v>
      </c>
      <c r="N21" s="68">
        <f t="shared" si="11"/>
        <v>-17025</v>
      </c>
    </row>
    <row r="22" spans="1:14" ht="15.6" x14ac:dyDescent="0.3">
      <c r="A22" s="63" t="s">
        <v>70</v>
      </c>
      <c r="B22" s="54"/>
      <c r="C22" s="54"/>
      <c r="D22" s="59">
        <f>SUM(D15:D21)</f>
        <v>606369</v>
      </c>
      <c r="E22" s="15"/>
      <c r="F22" s="15"/>
      <c r="G22" s="59">
        <f>SUM(G15:G21)</f>
        <v>611943</v>
      </c>
      <c r="H22" s="47"/>
      <c r="I22" s="47"/>
      <c r="J22" s="47"/>
      <c r="K22" s="47"/>
      <c r="L22" s="70">
        <f>SUM(L15:L21)</f>
        <v>-52787</v>
      </c>
      <c r="M22" s="60">
        <f>SUM(M15:M21)</f>
        <v>58361</v>
      </c>
      <c r="N22" s="60">
        <f>SUM(N15:N21)</f>
        <v>5574</v>
      </c>
    </row>
    <row r="31" spans="1:14" x14ac:dyDescent="0.3">
      <c r="L3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Constantine</dc:creator>
  <cp:lastModifiedBy>Константин</cp:lastModifiedBy>
  <dcterms:created xsi:type="dcterms:W3CDTF">2015-06-05T18:19:34Z</dcterms:created>
  <dcterms:modified xsi:type="dcterms:W3CDTF">2024-04-03T17:34:47Z</dcterms:modified>
</cp:coreProperties>
</file>