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525" yWindow="-15" windowWidth="17955" windowHeight="6645" tabRatio="669"/>
  </bookViews>
  <sheets>
    <sheet name="Lista global" sheetId="51" r:id="rId1"/>
    <sheet name="Lista global IngeRev" sheetId="67" r:id="rId2"/>
    <sheet name="Taric" sheetId="71" r:id="rId3"/>
    <sheet name="10-11-12,5kW v_G" sheetId="15" r:id="rId4"/>
    <sheet name="15 kW v_D" sheetId="17" r:id="rId5"/>
    <sheet name="20-25 kW IP20" sheetId="4" r:id="rId6"/>
    <sheet name="20kW v_A" sheetId="20" r:id="rId7"/>
    <sheet name="25kW v_B" sheetId="21" r:id="rId8"/>
    <sheet name="30kW v_B" sheetId="18" r:id="rId9"/>
    <sheet name="50-60 kW v_I" sheetId="6" r:id="rId10"/>
    <sheet name="70-80 kW v_J" sheetId="7" r:id="rId11"/>
    <sheet name="90-100 kW v_J" sheetId="22" r:id="rId12"/>
    <sheet name="Power TL" sheetId="43" r:id="rId13"/>
    <sheet name="100TL v_D" sheetId="29" r:id="rId14"/>
    <sheet name="110TL" sheetId="46" r:id="rId15"/>
    <sheet name="125-156TL v _A" sheetId="23" r:id="rId16"/>
    <sheet name="Power UL" sheetId="61" r:id="rId17"/>
    <sheet name="Power Max UL" sheetId="62" r:id="rId18"/>
    <sheet name="PMax MS Acometida Agrupada DCAC" sheetId="57" r:id="rId19"/>
    <sheet name="PMax Modulares" sheetId="65" r:id="rId20"/>
    <sheet name="PMax Modulares con Rediseño" sheetId="70" r:id="rId21"/>
    <sheet name="PMax Modulares 400A" sheetId="73" r:id="rId22"/>
    <sheet name="Monobloque Provisional" sheetId="69" r:id="rId23"/>
    <sheet name="Monobloque definitivo" sheetId="72" r:id="rId24"/>
    <sheet name="Mayores de 125TL DC-AC" sheetId="32" r:id="rId25"/>
    <sheet name="Mayores de 125TL DC" sheetId="34" r:id="rId26"/>
    <sheet name="500 TL analógicos v_D" sheetId="9" r:id="rId27"/>
    <sheet name="Caja strings" sheetId="31" r:id="rId28"/>
    <sheet name="Híbridos" sheetId="28" r:id="rId29"/>
    <sheet name="Smart TL-3Play" sheetId="68" r:id="rId30"/>
    <sheet name="INGEREV" sheetId="53" r:id="rId31"/>
    <sheet name="tarjetas" sheetId="24" r:id="rId32"/>
    <sheet name="Kits" sheetId="26" r:id="rId33"/>
    <sheet name="Conectores, tornillería, mecáni" sheetId="27" r:id="rId34"/>
    <sheet name="Moura" sheetId="35" r:id="rId35"/>
    <sheet name="Lote Smart" sheetId="37" r:id="rId36"/>
    <sheet name="Lote Power" sheetId="41" r:id="rId37"/>
    <sheet name="Lote PowerMax" sheetId="42" r:id="rId38"/>
    <sheet name="Tasas-garantías" sheetId="54" r:id="rId39"/>
    <sheet name="TIA-MTBF" sheetId="52" r:id="rId40"/>
    <sheet name="PMax AcomAgr parte trasera +MT" sheetId="56" r:id="rId41"/>
    <sheet name="Termosolar" sheetId="66" r:id="rId42"/>
    <sheet name="Elementos parte trasera" sheetId="63" r:id="rId43"/>
    <sheet name="PMax v_ a _E retrofitados" sheetId="64" r:id="rId44"/>
    <sheet name="Variadores" sheetId="59" r:id="rId45"/>
  </sheets>
  <definedNames>
    <definedName name="_xlnm._FilterDatabase" localSheetId="0" hidden="1">'Lista global'!$T$1:$AA$344</definedName>
    <definedName name="_xlnm._FilterDatabase" localSheetId="2" hidden="1">Taric!$A$2:$V$2</definedName>
    <definedName name="_xlnm.Print_Area" localSheetId="11">'90-100 kW v_J'!$C$2:$I$42</definedName>
    <definedName name="_xlnm.Print_Area" localSheetId="30">INGEREV!$A$1:$H$39</definedName>
    <definedName name="_xlnm.Print_Area" localSheetId="32">Kits!$R$1:$Y$17</definedName>
    <definedName name="_xlnm.Print_Area" localSheetId="0">'Lista global'!$A$2:$S$315</definedName>
    <definedName name="_xlnm.Print_Area" localSheetId="1">'Lista global IngeRev'!$A$2:$S$30</definedName>
    <definedName name="_xlnm.Print_Area" localSheetId="24">'Mayores de 125TL DC-AC'!$C$75:$J$150</definedName>
    <definedName name="_xlnm.Print_Area" localSheetId="40">'PMax AcomAgr parte trasera +MT'!$A$2:$H$32</definedName>
    <definedName name="_xlnm.Print_Area" localSheetId="19">'PMax Modulares'!$A$1:$Q$71</definedName>
    <definedName name="_xlnm.Print_Area" localSheetId="21">'PMax Modulares 400A'!$A$1:$Q$70</definedName>
    <definedName name="_xlnm.Print_Area" localSheetId="20">'PMax Modulares con Rediseño'!$A$1:$Q$77</definedName>
    <definedName name="_xlnm.Print_Area" localSheetId="18">'PMax MS Acometida Agrupada DCAC'!$A$2:$I$67</definedName>
    <definedName name="_xlnm.Print_Area" localSheetId="43">'PMax v_ a _E retrofitados'!#REF!</definedName>
    <definedName name="_xlnm.Print_Area" localSheetId="17">'Power Max UL'!$A$2:$I$68</definedName>
    <definedName name="_xlnm.Print_Area" localSheetId="12">'Power TL'!$A$2:$H$64</definedName>
    <definedName name="_xlnm.Print_Area" localSheetId="16">'Power UL'!#REF!</definedName>
    <definedName name="_xlnm.Print_Area" localSheetId="2">Taric!$A$2:$F$315</definedName>
    <definedName name="_xlnm.Print_Area" localSheetId="31">tarjetas!$A$1:$H$15</definedName>
    <definedName name="_xlnm.Print_Area" localSheetId="38">'Tasas-garantías'!$J$1:$J$29</definedName>
    <definedName name="_xlnm.Print_Area" localSheetId="39">'TIA-MTBF'!$A$1:$K$36</definedName>
    <definedName name="Referencia" localSheetId="11">'90-100 kW v_J'!$C$51:$P$91</definedName>
    <definedName name="REPUESTOSIS100" localSheetId="17">#REF!</definedName>
    <definedName name="REPUESTOSIS100">'90-100 kW v_J'!$C$50:$P$91</definedName>
    <definedName name="_xlnm.Print_Titles" localSheetId="0">'Lista global'!$2:$2</definedName>
    <definedName name="_xlnm.Print_Titles" localSheetId="1">'Lista global IngeRev'!$2:$2</definedName>
    <definedName name="_xlnm.Print_Titles" localSheetId="2">Taric!$2:$2</definedName>
  </definedNames>
  <calcPr calcId="145621"/>
</workbook>
</file>

<file path=xl/calcChain.xml><?xml version="1.0" encoding="utf-8"?>
<calcChain xmlns="http://schemas.openxmlformats.org/spreadsheetml/2006/main">
  <c r="F66" i="27" l="1"/>
  <c r="E66" i="27"/>
  <c r="E56" i="24" l="1"/>
  <c r="E37" i="24" l="1"/>
  <c r="F37" i="24"/>
  <c r="J80" i="73" l="1"/>
  <c r="P85" i="73"/>
  <c r="P84" i="73"/>
  <c r="L83" i="73"/>
  <c r="K83" i="73"/>
  <c r="P83" i="73" s="1"/>
  <c r="J83" i="73"/>
  <c r="L82" i="73"/>
  <c r="K82" i="73"/>
  <c r="P82" i="73" s="1"/>
  <c r="J82" i="73"/>
  <c r="L81" i="73"/>
  <c r="K81" i="73"/>
  <c r="P81" i="73" s="1"/>
  <c r="L80" i="73"/>
  <c r="K80" i="73"/>
  <c r="P80" i="73" s="1"/>
  <c r="O52" i="73"/>
  <c r="N52" i="73"/>
  <c r="Q26" i="73"/>
  <c r="P26" i="73"/>
  <c r="U26" i="73"/>
  <c r="N20" i="73"/>
  <c r="M20" i="73"/>
  <c r="L20" i="73"/>
  <c r="K20" i="73"/>
  <c r="J20" i="73"/>
  <c r="N20" i="70"/>
  <c r="Q26" i="70"/>
  <c r="P26" i="70"/>
  <c r="U26" i="70"/>
  <c r="M20" i="70"/>
  <c r="L21" i="70"/>
  <c r="L20" i="70"/>
  <c r="K20" i="70"/>
  <c r="J20" i="70"/>
  <c r="Q375" i="51"/>
  <c r="P375" i="51"/>
  <c r="L16" i="73"/>
  <c r="K16" i="73"/>
  <c r="J16" i="73"/>
  <c r="P373" i="51"/>
  <c r="Q373" i="51"/>
  <c r="M69" i="73"/>
  <c r="K68" i="73"/>
  <c r="K69" i="73" s="1"/>
  <c r="J65" i="73"/>
  <c r="K65" i="73"/>
  <c r="L65" i="73"/>
  <c r="J66" i="73"/>
  <c r="K66" i="73"/>
  <c r="L66" i="73"/>
  <c r="J67" i="73"/>
  <c r="J68" i="73" s="1"/>
  <c r="J69" i="73" s="1"/>
  <c r="K67" i="73"/>
  <c r="L67" i="73"/>
  <c r="L68" i="73" s="1"/>
  <c r="L69" i="73" s="1"/>
  <c r="L64" i="73"/>
  <c r="K64" i="73"/>
  <c r="J64" i="73"/>
  <c r="M68" i="73"/>
  <c r="O68" i="73" s="1"/>
  <c r="M63" i="73"/>
  <c r="N63" i="73" s="1"/>
  <c r="L25" i="65"/>
  <c r="K25" i="65"/>
  <c r="J25" i="65"/>
  <c r="M75" i="70"/>
  <c r="O75" i="70" s="1"/>
  <c r="M76" i="70"/>
  <c r="N76" i="70" s="1"/>
  <c r="M68" i="70"/>
  <c r="M67" i="70"/>
  <c r="O67" i="70" s="1"/>
  <c r="Q67" i="70" s="1"/>
  <c r="J76" i="70"/>
  <c r="K76" i="70"/>
  <c r="L76" i="70"/>
  <c r="L74" i="70"/>
  <c r="L75" i="70" s="1"/>
  <c r="K74" i="70"/>
  <c r="J74" i="70"/>
  <c r="L73" i="70"/>
  <c r="K73" i="70"/>
  <c r="J73" i="70"/>
  <c r="L72" i="70"/>
  <c r="K72" i="70"/>
  <c r="J72" i="70"/>
  <c r="L71" i="70"/>
  <c r="K71" i="70"/>
  <c r="J71" i="70"/>
  <c r="L70" i="70"/>
  <c r="K70" i="70"/>
  <c r="J70" i="70"/>
  <c r="L69" i="70"/>
  <c r="K69" i="70"/>
  <c r="J69" i="70"/>
  <c r="K75" i="70"/>
  <c r="J75" i="70"/>
  <c r="K68" i="70"/>
  <c r="L68" i="70"/>
  <c r="J68" i="70"/>
  <c r="J67" i="70"/>
  <c r="K67" i="70"/>
  <c r="L67" i="70"/>
  <c r="K70" i="65"/>
  <c r="L70" i="65"/>
  <c r="J70" i="65"/>
  <c r="L69" i="65"/>
  <c r="K69" i="65"/>
  <c r="J69" i="65"/>
  <c r="L68" i="65"/>
  <c r="K68" i="65"/>
  <c r="J68" i="65"/>
  <c r="L67" i="65"/>
  <c r="K67" i="65"/>
  <c r="J67" i="65"/>
  <c r="L66" i="65"/>
  <c r="K66" i="65"/>
  <c r="J66" i="65"/>
  <c r="L65" i="65"/>
  <c r="K65" i="65"/>
  <c r="J65" i="65"/>
  <c r="L64" i="65"/>
  <c r="K64" i="65"/>
  <c r="J64" i="65"/>
  <c r="O20" i="73" l="1"/>
  <c r="O20" i="70"/>
  <c r="Q20" i="70" s="1"/>
  <c r="P68" i="73"/>
  <c r="U68" i="73"/>
  <c r="Q68" i="73"/>
  <c r="N68" i="73"/>
  <c r="O63" i="73"/>
  <c r="N75" i="70"/>
  <c r="P75" i="70"/>
  <c r="U75" i="70"/>
  <c r="Q75" i="70"/>
  <c r="P67" i="70"/>
  <c r="U67" i="70"/>
  <c r="N67" i="70"/>
  <c r="P68" i="26"/>
  <c r="P20" i="70" l="1"/>
  <c r="P20" i="73"/>
  <c r="Q20" i="73"/>
  <c r="L26" i="65"/>
  <c r="K26" i="65"/>
  <c r="J26" i="65"/>
  <c r="M13" i="73" l="1"/>
  <c r="N13" i="73" s="1"/>
  <c r="M14" i="73"/>
  <c r="N14" i="73" s="1"/>
  <c r="M15" i="73"/>
  <c r="N15" i="73" s="1"/>
  <c r="L78" i="73" l="1"/>
  <c r="K78" i="73"/>
  <c r="J78" i="73"/>
  <c r="L85" i="70"/>
  <c r="K85" i="70"/>
  <c r="J85" i="70"/>
  <c r="L48" i="73"/>
  <c r="K48" i="73"/>
  <c r="J48" i="73"/>
  <c r="Q372" i="51"/>
  <c r="P372" i="51"/>
  <c r="J35" i="73"/>
  <c r="J41" i="70"/>
  <c r="M77" i="65" l="1"/>
  <c r="M76" i="65"/>
  <c r="N77" i="65"/>
  <c r="N76" i="65"/>
  <c r="N91" i="73" l="1"/>
  <c r="J89" i="73"/>
  <c r="J88" i="73"/>
  <c r="J87" i="73"/>
  <c r="O75" i="73"/>
  <c r="J75" i="73"/>
  <c r="O74" i="73"/>
  <c r="J74" i="73"/>
  <c r="O73" i="73"/>
  <c r="J73" i="73"/>
  <c r="L73" i="73" s="1"/>
  <c r="O72" i="73"/>
  <c r="J72" i="73"/>
  <c r="L72" i="73" s="1"/>
  <c r="N71" i="73"/>
  <c r="O71" i="73" s="1"/>
  <c r="J71" i="73"/>
  <c r="K71" i="73" s="1"/>
  <c r="O69" i="73"/>
  <c r="M67" i="73"/>
  <c r="N67" i="73" s="1"/>
  <c r="M66" i="73"/>
  <c r="O66" i="73" s="1"/>
  <c r="M65" i="73"/>
  <c r="N65" i="73" s="1"/>
  <c r="M64" i="73"/>
  <c r="O64" i="73" s="1"/>
  <c r="M62" i="73"/>
  <c r="N62" i="73" s="1"/>
  <c r="L62" i="73"/>
  <c r="L63" i="73" s="1"/>
  <c r="Q63" i="73" s="1"/>
  <c r="K62" i="73"/>
  <c r="K63" i="73" s="1"/>
  <c r="P63" i="73" s="1"/>
  <c r="J62" i="73"/>
  <c r="J63" i="73" s="1"/>
  <c r="U63" i="73" s="1"/>
  <c r="M61" i="73"/>
  <c r="O61" i="73" s="1"/>
  <c r="L61" i="73"/>
  <c r="K61" i="73"/>
  <c r="J61" i="73"/>
  <c r="M60" i="73"/>
  <c r="O60" i="73" s="1"/>
  <c r="L60" i="73"/>
  <c r="K60" i="73"/>
  <c r="J60" i="73"/>
  <c r="M59" i="73"/>
  <c r="N59" i="73" s="1"/>
  <c r="L59" i="73"/>
  <c r="K59" i="73"/>
  <c r="J59" i="73"/>
  <c r="M58" i="73"/>
  <c r="N58" i="73" s="1"/>
  <c r="L58" i="73"/>
  <c r="K58" i="73"/>
  <c r="J58" i="73"/>
  <c r="N57" i="73"/>
  <c r="J57" i="73"/>
  <c r="N56" i="73"/>
  <c r="J56" i="73"/>
  <c r="N55" i="73"/>
  <c r="O55" i="73" s="1"/>
  <c r="J55" i="73"/>
  <c r="N54" i="73"/>
  <c r="O54" i="73" s="1"/>
  <c r="J54" i="73"/>
  <c r="N53" i="73"/>
  <c r="O53" i="73" s="1"/>
  <c r="J53" i="73"/>
  <c r="N51" i="73"/>
  <c r="O51" i="73" s="1"/>
  <c r="J51" i="73"/>
  <c r="N77" i="73"/>
  <c r="N78" i="73" s="1"/>
  <c r="M77" i="73"/>
  <c r="M78" i="73" s="1"/>
  <c r="J77" i="73"/>
  <c r="N50" i="73"/>
  <c r="J50" i="73"/>
  <c r="O49" i="73"/>
  <c r="N49" i="73"/>
  <c r="J49" i="73"/>
  <c r="N48" i="73"/>
  <c r="N47" i="73"/>
  <c r="O47" i="73" s="1"/>
  <c r="J47" i="73"/>
  <c r="N46" i="73"/>
  <c r="J46" i="73"/>
  <c r="N45" i="73"/>
  <c r="O45" i="73" s="1"/>
  <c r="J45" i="73"/>
  <c r="J44" i="73"/>
  <c r="N43" i="73"/>
  <c r="O43" i="73" s="1"/>
  <c r="J43" i="73"/>
  <c r="N42" i="73"/>
  <c r="J42" i="73"/>
  <c r="N39" i="73"/>
  <c r="O39" i="73" s="1"/>
  <c r="O42" i="73" s="1"/>
  <c r="J39" i="73"/>
  <c r="N38" i="73"/>
  <c r="O38" i="73" s="1"/>
  <c r="J38" i="73"/>
  <c r="N37" i="73"/>
  <c r="O37" i="73" s="1"/>
  <c r="J37" i="73"/>
  <c r="N36" i="73"/>
  <c r="O36" i="73" s="1"/>
  <c r="J36" i="73"/>
  <c r="M35" i="73"/>
  <c r="N35" i="73" s="1"/>
  <c r="O35" i="73" s="1"/>
  <c r="O34" i="73"/>
  <c r="J34" i="73"/>
  <c r="O33" i="73"/>
  <c r="N33" i="73"/>
  <c r="J33" i="73"/>
  <c r="J32" i="73"/>
  <c r="N31" i="73"/>
  <c r="N32" i="73" s="1"/>
  <c r="O32" i="73" s="1"/>
  <c r="J31" i="73"/>
  <c r="O30" i="73"/>
  <c r="N30" i="73"/>
  <c r="J30" i="73"/>
  <c r="N29" i="73"/>
  <c r="O29" i="73" s="1"/>
  <c r="J29" i="73"/>
  <c r="N28" i="73"/>
  <c r="J28" i="73"/>
  <c r="N27" i="73"/>
  <c r="M27" i="73"/>
  <c r="J27" i="73"/>
  <c r="N26" i="73"/>
  <c r="U25" i="73"/>
  <c r="P25" i="73"/>
  <c r="N25" i="73"/>
  <c r="U24" i="73"/>
  <c r="P24" i="73"/>
  <c r="N24" i="73"/>
  <c r="U23" i="73"/>
  <c r="P23" i="73"/>
  <c r="N23" i="73"/>
  <c r="U22" i="73"/>
  <c r="P22" i="73"/>
  <c r="N22" i="73"/>
  <c r="N21" i="73"/>
  <c r="N19" i="73"/>
  <c r="O19" i="73" s="1"/>
  <c r="J19" i="73"/>
  <c r="M18" i="73"/>
  <c r="N18" i="73" s="1"/>
  <c r="J18" i="73"/>
  <c r="J52" i="73" s="1"/>
  <c r="M17" i="73"/>
  <c r="N17" i="73" s="1"/>
  <c r="J17" i="73"/>
  <c r="U15" i="73"/>
  <c r="Q15" i="73"/>
  <c r="P15" i="73"/>
  <c r="U14" i="73"/>
  <c r="Q14" i="73"/>
  <c r="P14" i="73"/>
  <c r="U13" i="73"/>
  <c r="Q13" i="73"/>
  <c r="P13" i="73"/>
  <c r="M12" i="73"/>
  <c r="J12" i="73"/>
  <c r="M11" i="73"/>
  <c r="N11" i="73" s="1"/>
  <c r="O11" i="73" s="1"/>
  <c r="J11" i="73"/>
  <c r="N10" i="73"/>
  <c r="J10" i="73"/>
  <c r="U10" i="73" s="1"/>
  <c r="N9" i="73"/>
  <c r="J9" i="73"/>
  <c r="U9" i="73" s="1"/>
  <c r="N8" i="73"/>
  <c r="J8" i="73"/>
  <c r="U8" i="73" s="1"/>
  <c r="N7" i="73"/>
  <c r="J7" i="73"/>
  <c r="U7" i="73" s="1"/>
  <c r="N6" i="73"/>
  <c r="J6" i="73"/>
  <c r="U6" i="73" s="1"/>
  <c r="N5" i="73"/>
  <c r="J5" i="73"/>
  <c r="U5" i="73" s="1"/>
  <c r="M4" i="73"/>
  <c r="N4" i="73" s="1"/>
  <c r="O4" i="73" s="1"/>
  <c r="J4" i="73"/>
  <c r="N12" i="73" l="1"/>
  <c r="O12" i="73" s="1"/>
  <c r="M16" i="73"/>
  <c r="N16" i="73" s="1"/>
  <c r="O77" i="73"/>
  <c r="O78" i="73" s="1"/>
  <c r="O27" i="73"/>
  <c r="U29" i="73"/>
  <c r="O59" i="73"/>
  <c r="P59" i="73" s="1"/>
  <c r="O65" i="73"/>
  <c r="U65" i="73" s="1"/>
  <c r="P71" i="73"/>
  <c r="U21" i="73"/>
  <c r="O31" i="73"/>
  <c r="U31" i="73" s="1"/>
  <c r="N61" i="73"/>
  <c r="O58" i="73"/>
  <c r="O62" i="73"/>
  <c r="P62" i="73" s="1"/>
  <c r="O67" i="73"/>
  <c r="U67" i="73" s="1"/>
  <c r="U32" i="73"/>
  <c r="U33" i="73"/>
  <c r="U38" i="73"/>
  <c r="U51" i="73"/>
  <c r="U53" i="73"/>
  <c r="U54" i="73"/>
  <c r="U55" i="73"/>
  <c r="U19" i="73"/>
  <c r="U42" i="73"/>
  <c r="U45" i="73"/>
  <c r="U36" i="73"/>
  <c r="U47" i="73"/>
  <c r="K72" i="73"/>
  <c r="P72" i="73" s="1"/>
  <c r="U37" i="73"/>
  <c r="U49" i="73"/>
  <c r="L71" i="73"/>
  <c r="Q61" i="73"/>
  <c r="U35" i="73"/>
  <c r="O44" i="73"/>
  <c r="U43" i="73"/>
  <c r="U60" i="73"/>
  <c r="Q60" i="73"/>
  <c r="U61" i="73"/>
  <c r="P61" i="73"/>
  <c r="P69" i="73"/>
  <c r="U69" i="73"/>
  <c r="Q69" i="73"/>
  <c r="P66" i="73"/>
  <c r="U66" i="73"/>
  <c r="Q66" i="73"/>
  <c r="U4" i="73"/>
  <c r="P60" i="73"/>
  <c r="P64" i="73"/>
  <c r="U64" i="73"/>
  <c r="Q64" i="73"/>
  <c r="U39" i="73"/>
  <c r="N60" i="73"/>
  <c r="N64" i="73"/>
  <c r="N66" i="73"/>
  <c r="N69" i="73"/>
  <c r="K73" i="73"/>
  <c r="P73" i="73" s="1"/>
  <c r="P61" i="72"/>
  <c r="R61" i="72" s="1"/>
  <c r="T60" i="72"/>
  <c r="P60" i="72"/>
  <c r="R60" i="72" s="1"/>
  <c r="P58" i="72"/>
  <c r="Q58" i="72" s="1"/>
  <c r="M58" i="72"/>
  <c r="L58" i="72"/>
  <c r="M34" i="72"/>
  <c r="L34" i="72"/>
  <c r="M33" i="72"/>
  <c r="L33" i="72"/>
  <c r="M32" i="72"/>
  <c r="L32" i="72"/>
  <c r="M31" i="72"/>
  <c r="L31" i="72"/>
  <c r="R29" i="72"/>
  <c r="P29" i="72"/>
  <c r="M29" i="72"/>
  <c r="L29" i="72"/>
  <c r="Q29" i="72" s="1"/>
  <c r="P26" i="72"/>
  <c r="R26" i="72" s="1"/>
  <c r="M26" i="72"/>
  <c r="L26" i="72"/>
  <c r="P24" i="72"/>
  <c r="R24" i="72" s="1"/>
  <c r="M24" i="72"/>
  <c r="L24" i="72"/>
  <c r="P21" i="72"/>
  <c r="Q21" i="72" s="1"/>
  <c r="M21" i="72"/>
  <c r="L21" i="72"/>
  <c r="R20" i="72"/>
  <c r="Q20" i="72"/>
  <c r="M20" i="72"/>
  <c r="L20" i="72"/>
  <c r="R17" i="72"/>
  <c r="Q17" i="72"/>
  <c r="P17" i="72"/>
  <c r="M17" i="72"/>
  <c r="L17" i="72"/>
  <c r="P16" i="72"/>
  <c r="R16" i="72" s="1"/>
  <c r="M16" i="72"/>
  <c r="L16" i="72"/>
  <c r="P14" i="72"/>
  <c r="R14" i="72" s="1"/>
  <c r="M14" i="72"/>
  <c r="L14" i="72"/>
  <c r="P12" i="72"/>
  <c r="Q12" i="72" s="1"/>
  <c r="M12" i="72"/>
  <c r="L12" i="72"/>
  <c r="R9" i="72"/>
  <c r="P9" i="72"/>
  <c r="M9" i="72"/>
  <c r="L9" i="72"/>
  <c r="Q9" i="72" s="1"/>
  <c r="P8" i="72"/>
  <c r="R8" i="72" s="1"/>
  <c r="M8" i="72"/>
  <c r="L8" i="72"/>
  <c r="P7" i="72"/>
  <c r="R7" i="72" s="1"/>
  <c r="M7" i="72"/>
  <c r="L7" i="72"/>
  <c r="P6" i="72"/>
  <c r="R6" i="72" s="1"/>
  <c r="M6" i="72"/>
  <c r="L6" i="72"/>
  <c r="R4" i="72"/>
  <c r="P4" i="72"/>
  <c r="M4" i="72"/>
  <c r="L4" i="72"/>
  <c r="Q4" i="72" s="1"/>
  <c r="O18" i="73" l="1"/>
  <c r="U18" i="73" s="1"/>
  <c r="O17" i="73"/>
  <c r="U17" i="73" s="1"/>
  <c r="U12" i="73"/>
  <c r="O16" i="73"/>
  <c r="U58" i="73"/>
  <c r="O56" i="73"/>
  <c r="U56" i="73" s="1"/>
  <c r="O28" i="73"/>
  <c r="U28" i="73" s="1"/>
  <c r="O50" i="73"/>
  <c r="U50" i="73" s="1"/>
  <c r="O48" i="73"/>
  <c r="O57" i="73"/>
  <c r="O46" i="73"/>
  <c r="U59" i="73"/>
  <c r="Q58" i="73"/>
  <c r="P78" i="73"/>
  <c r="Q78" i="73"/>
  <c r="U77" i="73"/>
  <c r="Q65" i="73"/>
  <c r="Q59" i="73"/>
  <c r="P58" i="73"/>
  <c r="U62" i="73"/>
  <c r="Q62" i="73"/>
  <c r="P65" i="73"/>
  <c r="P67" i="73"/>
  <c r="Q67" i="73"/>
  <c r="Q6" i="72"/>
  <c r="Q62" i="72" s="1"/>
  <c r="R12" i="72"/>
  <c r="Q14" i="72"/>
  <c r="R21" i="72"/>
  <c r="R62" i="72" s="1"/>
  <c r="Q24" i="72"/>
  <c r="R58" i="72"/>
  <c r="Q61" i="72"/>
  <c r="Q7" i="72"/>
  <c r="Q8" i="72"/>
  <c r="Q16" i="72"/>
  <c r="Q26" i="72"/>
  <c r="Q60" i="72"/>
  <c r="Q16" i="73" l="1"/>
  <c r="P16" i="73"/>
  <c r="U46" i="73"/>
  <c r="U48" i="73"/>
  <c r="U57" i="73"/>
  <c r="E93" i="27"/>
  <c r="U92" i="73" l="1"/>
  <c r="E47" i="27"/>
  <c r="F47" i="27"/>
  <c r="E48" i="27"/>
  <c r="F48" i="27"/>
  <c r="E49" i="27"/>
  <c r="F49" i="27"/>
  <c r="E50" i="27"/>
  <c r="F50" i="27"/>
  <c r="E51" i="27"/>
  <c r="F51" i="27"/>
  <c r="F46" i="27"/>
  <c r="E46" i="27"/>
  <c r="L83" i="65" l="1"/>
  <c r="K83" i="65"/>
  <c r="P366" i="51"/>
  <c r="Q366" i="51"/>
  <c r="G366" i="51"/>
  <c r="F366" i="51"/>
  <c r="F29" i="24" l="1"/>
  <c r="V13" i="26" l="1"/>
  <c r="J80" i="70" l="1"/>
  <c r="L80" i="70" s="1"/>
  <c r="J68" i="43"/>
  <c r="J74" i="65"/>
  <c r="L74" i="65" s="1"/>
  <c r="I68" i="43"/>
  <c r="K68" i="43"/>
  <c r="M25" i="69"/>
  <c r="L25" i="69"/>
  <c r="K25" i="69"/>
  <c r="J79" i="70"/>
  <c r="K79" i="70" s="1"/>
  <c r="J73" i="65"/>
  <c r="K73" i="65" s="1"/>
  <c r="J67" i="43"/>
  <c r="K67" i="43"/>
  <c r="I67" i="43"/>
  <c r="J78" i="70"/>
  <c r="K78" i="70" s="1"/>
  <c r="K80" i="70" l="1"/>
  <c r="L78" i="70"/>
  <c r="K74" i="65"/>
  <c r="L79" i="70"/>
  <c r="L73" i="65"/>
  <c r="W3" i="26" l="1"/>
  <c r="W4" i="26"/>
  <c r="W14" i="26" s="1"/>
  <c r="W8" i="26"/>
  <c r="W16" i="26" s="1"/>
  <c r="W9" i="26"/>
  <c r="W17" i="26" s="1"/>
  <c r="W10" i="26"/>
  <c r="W11" i="26"/>
  <c r="W12" i="26"/>
  <c r="W2" i="26"/>
  <c r="W15" i="26" l="1"/>
  <c r="W13" i="26"/>
  <c r="F48" i="56"/>
  <c r="F47" i="56" l="1"/>
  <c r="M364" i="51" l="1"/>
  <c r="Q364" i="51" s="1"/>
  <c r="E35" i="24"/>
  <c r="F35" i="24"/>
  <c r="P364" i="51" l="1"/>
  <c r="J18" i="65"/>
  <c r="J18" i="70" l="1"/>
  <c r="Q365" i="51"/>
  <c r="P365" i="51"/>
  <c r="K18" i="65" l="1"/>
  <c r="K18" i="73"/>
  <c r="L18" i="65"/>
  <c r="L18" i="73"/>
  <c r="K18" i="70"/>
  <c r="L18" i="70"/>
  <c r="P28" i="69"/>
  <c r="P27" i="69"/>
  <c r="K28" i="69"/>
  <c r="K27" i="69"/>
  <c r="P18" i="73" l="1"/>
  <c r="K52" i="73"/>
  <c r="P52" i="73" s="1"/>
  <c r="Q18" i="73"/>
  <c r="L52" i="73"/>
  <c r="Q52" i="73" s="1"/>
  <c r="T27" i="69"/>
  <c r="K63" i="34" l="1"/>
  <c r="N93" i="32"/>
  <c r="J50" i="70"/>
  <c r="J46" i="65"/>
  <c r="I10" i="43"/>
  <c r="Q363" i="51"/>
  <c r="P363" i="51"/>
  <c r="O363" i="51"/>
  <c r="N363" i="51"/>
  <c r="G363" i="51"/>
  <c r="F363" i="51"/>
  <c r="I63" i="34" l="1"/>
  <c r="K46" i="73"/>
  <c r="P46" i="73" s="1"/>
  <c r="M18" i="32"/>
  <c r="L46" i="73"/>
  <c r="Q46" i="73" s="1"/>
  <c r="M93" i="32"/>
  <c r="J10" i="43"/>
  <c r="K50" i="70"/>
  <c r="J63" i="34"/>
  <c r="K10" i="43"/>
  <c r="L50" i="70"/>
  <c r="L93" i="32"/>
  <c r="J27" i="57"/>
  <c r="L46" i="65"/>
  <c r="L18" i="32"/>
  <c r="K46" i="65"/>
  <c r="K27" i="57"/>
  <c r="F153" i="26" l="1"/>
  <c r="X13" i="26" l="1"/>
  <c r="J37" i="65" l="1"/>
  <c r="P362" i="51" l="1"/>
  <c r="Q362" i="51"/>
  <c r="F362" i="51" l="1"/>
  <c r="G362" i="51"/>
  <c r="P361" i="51" l="1"/>
  <c r="Q361" i="51"/>
  <c r="G361" i="51"/>
  <c r="F361" i="51"/>
  <c r="J28" i="70" l="1"/>
  <c r="J27" i="70"/>
  <c r="P360" i="51"/>
  <c r="Q360" i="51"/>
  <c r="F360" i="51"/>
  <c r="G360" i="51"/>
  <c r="L27" i="70" l="1"/>
  <c r="L27" i="73"/>
  <c r="Q27" i="73" s="1"/>
  <c r="K27" i="70"/>
  <c r="K27" i="73"/>
  <c r="P27" i="73" s="1"/>
  <c r="J48" i="65"/>
  <c r="J52" i="70"/>
  <c r="P359" i="51"/>
  <c r="Q359" i="51"/>
  <c r="F359" i="51"/>
  <c r="G359" i="51"/>
  <c r="L52" i="70" l="1"/>
  <c r="Q48" i="73"/>
  <c r="K52" i="70"/>
  <c r="P48" i="73"/>
  <c r="L48" i="65"/>
  <c r="K48" i="65"/>
  <c r="X15" i="26"/>
  <c r="V15" i="26"/>
  <c r="M74" i="70" l="1"/>
  <c r="N74" i="70" s="1"/>
  <c r="M70" i="65"/>
  <c r="M69" i="65"/>
  <c r="O69" i="65" s="1"/>
  <c r="N93" i="65"/>
  <c r="N91" i="70"/>
  <c r="O74" i="70" l="1"/>
  <c r="P69" i="65"/>
  <c r="U69" i="65"/>
  <c r="Q69" i="65"/>
  <c r="N69" i="65"/>
  <c r="M277" i="51"/>
  <c r="M269" i="51"/>
  <c r="M268" i="51"/>
  <c r="M290" i="51"/>
  <c r="M250" i="51"/>
  <c r="M249" i="51"/>
  <c r="U74" i="70" l="1"/>
  <c r="Q74" i="70"/>
  <c r="P74" i="70"/>
  <c r="M9" i="51"/>
  <c r="M49" i="51"/>
  <c r="M127" i="51"/>
  <c r="M128" i="51"/>
  <c r="M129" i="51"/>
  <c r="M214" i="51"/>
  <c r="M212" i="51"/>
  <c r="M215" i="51"/>
  <c r="M213" i="51"/>
  <c r="M123" i="51"/>
  <c r="M216" i="51"/>
  <c r="M211" i="51"/>
  <c r="M26" i="51"/>
  <c r="M230" i="51"/>
  <c r="M229" i="51"/>
  <c r="P35" i="67" l="1"/>
  <c r="P36" i="67"/>
  <c r="P37" i="67"/>
  <c r="Q37" i="67"/>
  <c r="Q36" i="67"/>
  <c r="Q35" i="67"/>
  <c r="P33" i="67"/>
  <c r="Q33" i="67"/>
  <c r="P337" i="51"/>
  <c r="Q337" i="51"/>
  <c r="P338" i="51"/>
  <c r="Q338" i="51"/>
  <c r="P339" i="51"/>
  <c r="Q339" i="51"/>
  <c r="P340" i="51"/>
  <c r="Q340" i="51"/>
  <c r="P342" i="51"/>
  <c r="Q342" i="51"/>
  <c r="P343" i="51"/>
  <c r="Q343" i="51"/>
  <c r="P344" i="51"/>
  <c r="Q344" i="51"/>
  <c r="P322" i="51"/>
  <c r="Q322" i="51"/>
  <c r="N26" i="70" l="1"/>
  <c r="N70" i="26"/>
  <c r="N66" i="26"/>
  <c r="N67" i="26"/>
  <c r="N68" i="26"/>
  <c r="N69" i="26"/>
  <c r="N65" i="26"/>
  <c r="N63" i="26"/>
  <c r="N52" i="26"/>
  <c r="N53" i="26"/>
  <c r="N54" i="26"/>
  <c r="N55" i="26"/>
  <c r="N51" i="26"/>
  <c r="N39" i="26"/>
  <c r="N40" i="26"/>
  <c r="N41" i="26"/>
  <c r="N42" i="26"/>
  <c r="N43" i="26"/>
  <c r="N44" i="26"/>
  <c r="N45" i="26"/>
  <c r="N46" i="26"/>
  <c r="N47" i="26"/>
  <c r="N48" i="26"/>
  <c r="N49" i="26"/>
  <c r="N38" i="26"/>
  <c r="N36" i="26"/>
  <c r="N31" i="26"/>
  <c r="N32" i="26"/>
  <c r="N33" i="26"/>
  <c r="N30" i="26"/>
  <c r="N23" i="26"/>
  <c r="N24" i="26"/>
  <c r="N25" i="26"/>
  <c r="N26" i="26"/>
  <c r="N27" i="26"/>
  <c r="N28" i="26"/>
  <c r="N22" i="26"/>
  <c r="N19" i="26"/>
  <c r="N20" i="26"/>
  <c r="N18" i="26"/>
  <c r="N9" i="26"/>
  <c r="N6" i="26"/>
  <c r="N7" i="26"/>
  <c r="N5" i="26"/>
  <c r="N2" i="26"/>
  <c r="P66" i="26" l="1"/>
  <c r="P69" i="26"/>
  <c r="O82" i="70" l="1"/>
  <c r="J82" i="70"/>
  <c r="J40" i="70" l="1"/>
  <c r="J36" i="65"/>
  <c r="J39" i="70"/>
  <c r="J35" i="65"/>
  <c r="J38" i="70"/>
  <c r="J34" i="65"/>
  <c r="J37" i="70"/>
  <c r="J33" i="65"/>
  <c r="J36" i="70"/>
  <c r="J32" i="65"/>
  <c r="J10" i="70"/>
  <c r="J10" i="65"/>
  <c r="J9" i="70"/>
  <c r="J9" i="65"/>
  <c r="J8" i="70"/>
  <c r="J8" i="65"/>
  <c r="J7" i="70"/>
  <c r="J7" i="65"/>
  <c r="J6" i="70"/>
  <c r="J6" i="65"/>
  <c r="J5" i="70"/>
  <c r="L5" i="65"/>
  <c r="J5" i="65"/>
  <c r="K26" i="69" l="1"/>
  <c r="J81" i="70"/>
  <c r="J75" i="65"/>
  <c r="I69" i="43"/>
  <c r="F358" i="51"/>
  <c r="G358" i="51"/>
  <c r="P358" i="51"/>
  <c r="Q358" i="51"/>
  <c r="K69" i="43" l="1"/>
  <c r="L74" i="73"/>
  <c r="L26" i="69"/>
  <c r="K74" i="73"/>
  <c r="P74" i="73" s="1"/>
  <c r="M26" i="69"/>
  <c r="L75" i="65"/>
  <c r="K81" i="70"/>
  <c r="K75" i="65"/>
  <c r="L81" i="70"/>
  <c r="J69" i="43"/>
  <c r="J88" i="70"/>
  <c r="P357" i="51"/>
  <c r="Q357" i="51"/>
  <c r="F357" i="51"/>
  <c r="G357" i="51"/>
  <c r="J89" i="70"/>
  <c r="J87" i="70"/>
  <c r="K88" i="70" l="1"/>
  <c r="K88" i="73"/>
  <c r="P88" i="73" s="1"/>
  <c r="L88" i="70"/>
  <c r="L88" i="73"/>
  <c r="P21" i="32"/>
  <c r="P20" i="32"/>
  <c r="O20" i="32"/>
  <c r="O21" i="32"/>
  <c r="Q21" i="32" l="1"/>
  <c r="M27" i="70" l="1"/>
  <c r="N27" i="70"/>
  <c r="O30" i="70"/>
  <c r="N30" i="70"/>
  <c r="J30" i="70"/>
  <c r="O27" i="65"/>
  <c r="N27" i="65"/>
  <c r="J27" i="65"/>
  <c r="O27" i="70" l="1"/>
  <c r="Q356" i="51"/>
  <c r="P356" i="51"/>
  <c r="O356" i="51"/>
  <c r="N356" i="51"/>
  <c r="G356" i="51"/>
  <c r="F356" i="51"/>
  <c r="P27" i="70" l="1"/>
  <c r="Q27" i="70"/>
  <c r="M14" i="43"/>
  <c r="M15" i="43"/>
  <c r="M16" i="43"/>
  <c r="M13" i="43"/>
  <c r="K54" i="43"/>
  <c r="K55" i="43"/>
  <c r="K56" i="43"/>
  <c r="K57" i="43"/>
  <c r="K58" i="43"/>
  <c r="K59" i="43"/>
  <c r="J59" i="43"/>
  <c r="J58" i="43"/>
  <c r="J57" i="43"/>
  <c r="J56" i="43"/>
  <c r="J55" i="43"/>
  <c r="J54" i="43"/>
  <c r="I59" i="43"/>
  <c r="I58" i="43"/>
  <c r="I57" i="43"/>
  <c r="I56" i="43"/>
  <c r="I55" i="43"/>
  <c r="I54" i="43"/>
  <c r="I53" i="43"/>
  <c r="I52" i="43"/>
  <c r="I51" i="43"/>
  <c r="I50" i="43"/>
  <c r="I49" i="43"/>
  <c r="I48" i="43"/>
  <c r="I47" i="43"/>
  <c r="I46" i="43"/>
  <c r="I45" i="43"/>
  <c r="I44" i="43"/>
  <c r="I43" i="43"/>
  <c r="I42" i="43"/>
  <c r="I41" i="43"/>
  <c r="I40" i="43"/>
  <c r="I39" i="43"/>
  <c r="I38" i="43"/>
  <c r="I37" i="43"/>
  <c r="I36" i="43"/>
  <c r="I35" i="43"/>
  <c r="I34" i="43"/>
  <c r="I33" i="43"/>
  <c r="I32" i="43"/>
  <c r="I31" i="43"/>
  <c r="I30" i="43"/>
  <c r="I29" i="43"/>
  <c r="I28" i="43"/>
  <c r="I27" i="43"/>
  <c r="I26" i="43"/>
  <c r="I25" i="43"/>
  <c r="I24" i="43"/>
  <c r="I23" i="43"/>
  <c r="I22" i="43"/>
  <c r="I21" i="43"/>
  <c r="I20" i="43"/>
  <c r="I19" i="43"/>
  <c r="I18" i="43"/>
  <c r="I17" i="43"/>
  <c r="I16" i="43"/>
  <c r="I15" i="43"/>
  <c r="I14" i="43"/>
  <c r="I13" i="43"/>
  <c r="I12" i="43"/>
  <c r="I11" i="43"/>
  <c r="I9" i="43"/>
  <c r="I8" i="43"/>
  <c r="I7" i="43"/>
  <c r="I6" i="43"/>
  <c r="I5" i="43"/>
  <c r="I4" i="43" l="1"/>
  <c r="I74" i="43"/>
  <c r="J80" i="65"/>
  <c r="I85" i="43"/>
  <c r="I84" i="43"/>
  <c r="I83" i="43"/>
  <c r="I79" i="43"/>
  <c r="I78" i="43"/>
  <c r="I77" i="43"/>
  <c r="I73" i="43"/>
  <c r="J82" i="65"/>
  <c r="M73" i="43"/>
  <c r="M74" i="43" s="1"/>
  <c r="M68" i="43"/>
  <c r="M69" i="43"/>
  <c r="M70" i="43"/>
  <c r="M71" i="43"/>
  <c r="M67" i="43"/>
  <c r="M66" i="43"/>
  <c r="I71" i="43"/>
  <c r="I70" i="43"/>
  <c r="I66" i="43"/>
  <c r="J91" i="65"/>
  <c r="J90" i="65"/>
  <c r="J89" i="65"/>
  <c r="J85" i="65"/>
  <c r="J84" i="65"/>
  <c r="J79" i="65"/>
  <c r="J77" i="65"/>
  <c r="J76" i="65"/>
  <c r="J72" i="65"/>
  <c r="N81" i="43"/>
  <c r="N80" i="43"/>
  <c r="U73" i="43"/>
  <c r="L73" i="43"/>
  <c r="L74" i="43" s="1"/>
  <c r="M11" i="43"/>
  <c r="M12" i="43"/>
  <c r="I30" i="22"/>
  <c r="N26" i="57"/>
  <c r="M7" i="43"/>
  <c r="M6" i="43"/>
  <c r="M17" i="43"/>
  <c r="M18" i="43"/>
  <c r="M38" i="43"/>
  <c r="M36" i="43"/>
  <c r="M37" i="43"/>
  <c r="M35" i="43"/>
  <c r="I40" i="22"/>
  <c r="G35" i="29"/>
  <c r="Q38" i="32"/>
  <c r="Q118" i="32"/>
  <c r="N32" i="57"/>
  <c r="O33" i="70"/>
  <c r="O30" i="65"/>
  <c r="M24" i="43"/>
  <c r="M22" i="43"/>
  <c r="M9" i="43"/>
  <c r="M8" i="43"/>
  <c r="M20" i="43"/>
  <c r="M5" i="43"/>
  <c r="M25" i="43"/>
  <c r="L55" i="43"/>
  <c r="M55" i="43" s="1"/>
  <c r="L56" i="43"/>
  <c r="M56" i="43" s="1"/>
  <c r="L57" i="43"/>
  <c r="M57" i="43" s="1"/>
  <c r="L58" i="43"/>
  <c r="M58" i="43" s="1"/>
  <c r="L59" i="43"/>
  <c r="M59" i="43" s="1"/>
  <c r="L54" i="43"/>
  <c r="M54" i="43" s="1"/>
  <c r="K66" i="43" l="1"/>
  <c r="J66" i="43"/>
  <c r="L72" i="65"/>
  <c r="K72" i="65"/>
  <c r="O66" i="43"/>
  <c r="O67" i="43"/>
  <c r="O68" i="43"/>
  <c r="M19" i="43"/>
  <c r="N56" i="43"/>
  <c r="O56" i="43"/>
  <c r="O59" i="43"/>
  <c r="N59" i="43"/>
  <c r="O55" i="43"/>
  <c r="N55" i="43"/>
  <c r="N54" i="43"/>
  <c r="O54" i="43"/>
  <c r="N58" i="43"/>
  <c r="O58" i="43"/>
  <c r="N57" i="43"/>
  <c r="O57" i="43"/>
  <c r="M23" i="43"/>
  <c r="N66" i="43"/>
  <c r="N67" i="43"/>
  <c r="N68" i="43"/>
  <c r="M10" i="43"/>
  <c r="M4" i="43"/>
  <c r="M53" i="43"/>
  <c r="M52" i="43"/>
  <c r="N10" i="59"/>
  <c r="N11" i="59"/>
  <c r="M10" i="59"/>
  <c r="M11" i="59"/>
  <c r="L11" i="59"/>
  <c r="L10" i="59"/>
  <c r="P32" i="67"/>
  <c r="Q32" i="67"/>
  <c r="P34" i="67"/>
  <c r="Q34" i="67"/>
  <c r="F64" i="27" l="1"/>
  <c r="E64" i="27"/>
  <c r="P84" i="26" l="1"/>
  <c r="O84" i="26"/>
  <c r="I137" i="9" l="1"/>
  <c r="I131" i="9"/>
  <c r="I130" i="9"/>
  <c r="I129" i="9"/>
  <c r="I127" i="9"/>
  <c r="I126" i="9"/>
  <c r="I125" i="9"/>
  <c r="I124" i="9"/>
  <c r="I123" i="9"/>
  <c r="I122" i="9"/>
  <c r="I121" i="9"/>
  <c r="I120" i="9"/>
  <c r="I119" i="9"/>
  <c r="I118" i="9"/>
  <c r="I117" i="9"/>
  <c r="I116" i="9"/>
  <c r="I115" i="9"/>
  <c r="I114" i="9"/>
  <c r="I113" i="9"/>
  <c r="I112" i="9"/>
  <c r="I111" i="9"/>
  <c r="I110" i="9"/>
  <c r="H133" i="9"/>
  <c r="G133" i="9"/>
  <c r="H128" i="9"/>
  <c r="G128" i="9"/>
  <c r="H122" i="9"/>
  <c r="G122" i="9"/>
  <c r="I109" i="9"/>
  <c r="R36" i="67" l="1"/>
  <c r="R37" i="67"/>
  <c r="R35" i="67"/>
  <c r="J11" i="70" l="1"/>
  <c r="J11" i="65"/>
  <c r="P355" i="51"/>
  <c r="Q355" i="51"/>
  <c r="F350" i="51"/>
  <c r="G350" i="51"/>
  <c r="F349" i="51"/>
  <c r="G349" i="51"/>
  <c r="F351" i="51"/>
  <c r="G351" i="51"/>
  <c r="F352" i="51"/>
  <c r="G352" i="51"/>
  <c r="F353" i="51"/>
  <c r="G353" i="51"/>
  <c r="F354" i="51"/>
  <c r="G354" i="51"/>
  <c r="F355" i="51"/>
  <c r="G355" i="51"/>
  <c r="P354" i="51"/>
  <c r="Q354" i="51"/>
  <c r="K82" i="70" l="1"/>
  <c r="P82" i="70" s="1"/>
  <c r="K75" i="73"/>
  <c r="P75" i="73" s="1"/>
  <c r="L82" i="70"/>
  <c r="L75" i="73"/>
  <c r="L11" i="70"/>
  <c r="L11" i="73"/>
  <c r="Q11" i="73" s="1"/>
  <c r="K11" i="70"/>
  <c r="K11" i="73"/>
  <c r="P11" i="73" s="1"/>
  <c r="J71" i="43"/>
  <c r="N71" i="43" s="1"/>
  <c r="K77" i="65"/>
  <c r="K71" i="43"/>
  <c r="O71" i="43" s="1"/>
  <c r="L77" i="65"/>
  <c r="L11" i="65"/>
  <c r="K11" i="65"/>
  <c r="O67" i="26"/>
  <c r="P67" i="26"/>
  <c r="P26" i="69" l="1"/>
  <c r="Q26" i="69" s="1"/>
  <c r="R26" i="69" l="1"/>
  <c r="F120" i="27"/>
  <c r="P353" i="51" l="1"/>
  <c r="Q353" i="51"/>
  <c r="P352" i="51"/>
  <c r="Q352" i="51"/>
  <c r="O34" i="70"/>
  <c r="J34" i="70"/>
  <c r="P351" i="51"/>
  <c r="Q351" i="51"/>
  <c r="L34" i="70" l="1"/>
  <c r="Q34" i="70" s="1"/>
  <c r="L34" i="73"/>
  <c r="Q34" i="73" s="1"/>
  <c r="K34" i="70"/>
  <c r="P34" i="70" s="1"/>
  <c r="K34" i="73"/>
  <c r="P34" i="73" s="1"/>
  <c r="L84" i="65"/>
  <c r="K78" i="43"/>
  <c r="J78" i="43"/>
  <c r="N78" i="43" s="1"/>
  <c r="K84" i="65"/>
  <c r="K79" i="43"/>
  <c r="L85" i="65"/>
  <c r="J79" i="43"/>
  <c r="N79" i="43" s="1"/>
  <c r="K85" i="65"/>
  <c r="F347" i="51"/>
  <c r="G347" i="51"/>
  <c r="F348" i="51"/>
  <c r="G348" i="51"/>
  <c r="P350" i="51" l="1"/>
  <c r="K89" i="73" s="1"/>
  <c r="P89" i="73" s="1"/>
  <c r="Q350" i="51"/>
  <c r="L89" i="73" s="1"/>
  <c r="Q349" i="51"/>
  <c r="P349" i="51"/>
  <c r="P348" i="51"/>
  <c r="K87" i="73" s="1"/>
  <c r="P87" i="73" s="1"/>
  <c r="Q348" i="51"/>
  <c r="L87" i="73" s="1"/>
  <c r="P84" i="65"/>
  <c r="P85" i="65"/>
  <c r="P86" i="65"/>
  <c r="P87" i="65"/>
  <c r="P347" i="51"/>
  <c r="Q347" i="51"/>
  <c r="K76" i="43" l="1"/>
  <c r="L82" i="65"/>
  <c r="L89" i="70"/>
  <c r="L91" i="65"/>
  <c r="K85" i="43"/>
  <c r="P88" i="70"/>
  <c r="K90" i="65"/>
  <c r="P90" i="65" s="1"/>
  <c r="J84" i="43"/>
  <c r="N84" i="43" s="1"/>
  <c r="K82" i="65"/>
  <c r="P82" i="65" s="1"/>
  <c r="J76" i="43"/>
  <c r="N76" i="43" s="1"/>
  <c r="L90" i="65"/>
  <c r="K84" i="43"/>
  <c r="L87" i="70"/>
  <c r="K83" i="43"/>
  <c r="L89" i="65"/>
  <c r="K87" i="70"/>
  <c r="P87" i="70" s="1"/>
  <c r="K89" i="65"/>
  <c r="P89" i="65" s="1"/>
  <c r="J83" i="43"/>
  <c r="N83" i="43" s="1"/>
  <c r="K89" i="70"/>
  <c r="P89" i="70" s="1"/>
  <c r="J85" i="43"/>
  <c r="N85" i="43" s="1"/>
  <c r="K91" i="65"/>
  <c r="P91" i="65" s="1"/>
  <c r="E120" i="27"/>
  <c r="F61" i="4" l="1"/>
  <c r="J48" i="70" l="1"/>
  <c r="O318" i="51" l="1"/>
  <c r="O319" i="51"/>
  <c r="O320" i="51"/>
  <c r="O321" i="51"/>
  <c r="O322" i="51"/>
  <c r="O323" i="51"/>
  <c r="O324" i="51"/>
  <c r="O325" i="51"/>
  <c r="O326" i="51"/>
  <c r="O327" i="51"/>
  <c r="O328" i="51"/>
  <c r="O329" i="51"/>
  <c r="O330" i="51"/>
  <c r="O331" i="51"/>
  <c r="O332" i="51"/>
  <c r="O333" i="51"/>
  <c r="O334" i="51"/>
  <c r="O335" i="51"/>
  <c r="O336" i="51"/>
  <c r="O337" i="51"/>
  <c r="O338" i="51"/>
  <c r="O339" i="51"/>
  <c r="O340" i="51"/>
  <c r="O341" i="51"/>
  <c r="O342" i="51"/>
  <c r="O343" i="51"/>
  <c r="O344" i="51"/>
  <c r="O345" i="51"/>
  <c r="O346" i="51"/>
  <c r="G346" i="51"/>
  <c r="Q346" i="51"/>
  <c r="P346" i="51"/>
  <c r="N346" i="51"/>
  <c r="F346" i="51"/>
  <c r="J44" i="65"/>
  <c r="N79" i="65"/>
  <c r="N80" i="65" s="1"/>
  <c r="M79" i="65"/>
  <c r="M80" i="65" s="1"/>
  <c r="Q345" i="51"/>
  <c r="P345" i="51"/>
  <c r="F345" i="51"/>
  <c r="G345" i="51"/>
  <c r="Q77" i="65"/>
  <c r="K48" i="70" l="1"/>
  <c r="K44" i="73"/>
  <c r="P44" i="73" s="1"/>
  <c r="L48" i="70"/>
  <c r="L44" i="73"/>
  <c r="Q44" i="73" s="1"/>
  <c r="O69" i="43"/>
  <c r="L44" i="65"/>
  <c r="K44" i="65"/>
  <c r="O79" i="65"/>
  <c r="P77" i="65"/>
  <c r="J29" i="70"/>
  <c r="Q138" i="51"/>
  <c r="P138" i="51"/>
  <c r="O138" i="51"/>
  <c r="N138" i="51"/>
  <c r="G138" i="51"/>
  <c r="F138" i="51"/>
  <c r="K29" i="70" l="1"/>
  <c r="K29" i="73"/>
  <c r="P29" i="73" s="1"/>
  <c r="L29" i="70"/>
  <c r="L29" i="73"/>
  <c r="Q29" i="73" s="1"/>
  <c r="O80" i="65"/>
  <c r="U79" i="65"/>
  <c r="O81" i="70"/>
  <c r="O80" i="70"/>
  <c r="P80" i="70" s="1"/>
  <c r="O79" i="70"/>
  <c r="P79" i="70" s="1"/>
  <c r="N78" i="70"/>
  <c r="O78" i="70" s="1"/>
  <c r="P78" i="70" s="1"/>
  <c r="O76" i="70"/>
  <c r="M73" i="70"/>
  <c r="N73" i="70" s="1"/>
  <c r="M72" i="70"/>
  <c r="O72" i="70" s="1"/>
  <c r="M71" i="70"/>
  <c r="N71" i="70" s="1"/>
  <c r="M70" i="70"/>
  <c r="O70" i="70" s="1"/>
  <c r="M69" i="70"/>
  <c r="N69" i="70" s="1"/>
  <c r="O68" i="70"/>
  <c r="M66" i="70"/>
  <c r="O66" i="70" s="1"/>
  <c r="L66" i="70"/>
  <c r="K66" i="70"/>
  <c r="J66" i="70"/>
  <c r="M65" i="70"/>
  <c r="N65" i="70" s="1"/>
  <c r="L65" i="70"/>
  <c r="K65" i="70"/>
  <c r="J65" i="70"/>
  <c r="M64" i="70"/>
  <c r="O64" i="70" s="1"/>
  <c r="L64" i="70"/>
  <c r="K64" i="70"/>
  <c r="J64" i="70"/>
  <c r="M63" i="70"/>
  <c r="O63" i="70" s="1"/>
  <c r="L63" i="70"/>
  <c r="K63" i="70"/>
  <c r="J63" i="70"/>
  <c r="M62" i="70"/>
  <c r="N62" i="70" s="1"/>
  <c r="L62" i="70"/>
  <c r="K62" i="70"/>
  <c r="J62" i="70"/>
  <c r="M61" i="70"/>
  <c r="N61" i="70" s="1"/>
  <c r="L61" i="70"/>
  <c r="K61" i="70"/>
  <c r="J61" i="70"/>
  <c r="N60" i="70"/>
  <c r="J60" i="70"/>
  <c r="N59" i="70"/>
  <c r="J59" i="70"/>
  <c r="N58" i="70"/>
  <c r="O58" i="70" s="1"/>
  <c r="J58" i="70"/>
  <c r="N57" i="70"/>
  <c r="O57" i="70" s="1"/>
  <c r="J57" i="70"/>
  <c r="N56" i="70"/>
  <c r="O56" i="70" s="1"/>
  <c r="J56" i="70"/>
  <c r="N55" i="70"/>
  <c r="O55" i="70" s="1"/>
  <c r="J55" i="70"/>
  <c r="N84" i="70"/>
  <c r="N85" i="70" s="1"/>
  <c r="M84" i="70"/>
  <c r="M85" i="70" s="1"/>
  <c r="J84" i="70"/>
  <c r="N54" i="70"/>
  <c r="J54" i="70"/>
  <c r="O53" i="70"/>
  <c r="N53" i="70"/>
  <c r="J53" i="70"/>
  <c r="N52" i="70"/>
  <c r="N51" i="70"/>
  <c r="O51" i="70" s="1"/>
  <c r="J51" i="70"/>
  <c r="N50" i="70"/>
  <c r="N49" i="70"/>
  <c r="O49" i="70" s="1"/>
  <c r="J49" i="70"/>
  <c r="N47" i="70"/>
  <c r="O47" i="70" s="1"/>
  <c r="O48" i="70" s="1"/>
  <c r="J47" i="70"/>
  <c r="N46" i="70"/>
  <c r="J46" i="70"/>
  <c r="N45" i="70"/>
  <c r="O45" i="70" s="1"/>
  <c r="O46" i="70" s="1"/>
  <c r="J45" i="70"/>
  <c r="N44" i="70"/>
  <c r="O44" i="70" s="1"/>
  <c r="J44" i="70"/>
  <c r="N43" i="70"/>
  <c r="O43" i="70" s="1"/>
  <c r="J43" i="70"/>
  <c r="N42" i="70"/>
  <c r="O42" i="70" s="1"/>
  <c r="J42" i="70"/>
  <c r="M41" i="70"/>
  <c r="N41" i="70" s="1"/>
  <c r="O41" i="70" s="1"/>
  <c r="Q40" i="70"/>
  <c r="P40" i="70"/>
  <c r="N40" i="70"/>
  <c r="U40" i="70"/>
  <c r="Q39" i="70"/>
  <c r="P39" i="70"/>
  <c r="N39" i="70"/>
  <c r="U39" i="70"/>
  <c r="Q38" i="70"/>
  <c r="P38" i="70"/>
  <c r="N38" i="70"/>
  <c r="U38" i="70"/>
  <c r="Q37" i="70"/>
  <c r="P37" i="70"/>
  <c r="N37" i="70"/>
  <c r="U37" i="70"/>
  <c r="Q36" i="70"/>
  <c r="P36" i="70"/>
  <c r="N36" i="70"/>
  <c r="U36" i="70"/>
  <c r="N35" i="70"/>
  <c r="J35" i="70"/>
  <c r="N33" i="70"/>
  <c r="J33" i="70"/>
  <c r="J32" i="70"/>
  <c r="N31" i="70"/>
  <c r="N32" i="70" s="1"/>
  <c r="O32" i="70" s="1"/>
  <c r="J31" i="70"/>
  <c r="N29" i="70"/>
  <c r="O29" i="70" s="1"/>
  <c r="N28" i="70"/>
  <c r="U25" i="70"/>
  <c r="P25" i="70"/>
  <c r="N25" i="70"/>
  <c r="U24" i="70"/>
  <c r="P24" i="70"/>
  <c r="N24" i="70"/>
  <c r="U23" i="70"/>
  <c r="P23" i="70"/>
  <c r="N23" i="70"/>
  <c r="U22" i="70"/>
  <c r="P22" i="70"/>
  <c r="N22" i="70"/>
  <c r="N21" i="70"/>
  <c r="N19" i="70"/>
  <c r="O19" i="70" s="1"/>
  <c r="J19" i="70"/>
  <c r="M18" i="70"/>
  <c r="N18" i="70" s="1"/>
  <c r="M17" i="70"/>
  <c r="N17" i="70" s="1"/>
  <c r="J17" i="70"/>
  <c r="U16" i="70"/>
  <c r="Q16" i="70"/>
  <c r="P16" i="70"/>
  <c r="U15" i="70"/>
  <c r="Q15" i="70"/>
  <c r="P15" i="70"/>
  <c r="U14" i="70"/>
  <c r="Q14" i="70"/>
  <c r="P14" i="70"/>
  <c r="U13" i="70"/>
  <c r="Q13" i="70"/>
  <c r="P13" i="70"/>
  <c r="M12" i="70"/>
  <c r="N12" i="70" s="1"/>
  <c r="O12" i="70" s="1"/>
  <c r="J12" i="70"/>
  <c r="M11" i="70"/>
  <c r="N11" i="70" s="1"/>
  <c r="O11" i="70" s="1"/>
  <c r="U10" i="70"/>
  <c r="N10" i="70"/>
  <c r="U9" i="70"/>
  <c r="N9" i="70"/>
  <c r="U8" i="70"/>
  <c r="N8" i="70"/>
  <c r="U7" i="70"/>
  <c r="N7" i="70"/>
  <c r="U6" i="70"/>
  <c r="N6" i="70"/>
  <c r="U5" i="70"/>
  <c r="N5" i="70"/>
  <c r="M4" i="70"/>
  <c r="N4" i="70" s="1"/>
  <c r="O4" i="70" s="1"/>
  <c r="J4" i="70"/>
  <c r="N20" i="65"/>
  <c r="M20" i="65"/>
  <c r="J20" i="65"/>
  <c r="O18" i="70" l="1"/>
  <c r="U18" i="70" s="1"/>
  <c r="O17" i="70"/>
  <c r="U17" i="70" s="1"/>
  <c r="N70" i="70"/>
  <c r="O73" i="70"/>
  <c r="U73" i="70" s="1"/>
  <c r="O31" i="70"/>
  <c r="U31" i="70" s="1"/>
  <c r="O61" i="70"/>
  <c r="O84" i="70"/>
  <c r="Q48" i="70"/>
  <c r="P48" i="70"/>
  <c r="N63" i="70"/>
  <c r="O65" i="70"/>
  <c r="P65" i="70" s="1"/>
  <c r="N68" i="70"/>
  <c r="U46" i="70"/>
  <c r="U66" i="70"/>
  <c r="U19" i="70"/>
  <c r="N66" i="70"/>
  <c r="U35" i="70"/>
  <c r="P63" i="70"/>
  <c r="P29" i="70"/>
  <c r="Q29" i="70"/>
  <c r="O62" i="70"/>
  <c r="P62" i="70" s="1"/>
  <c r="P66" i="70"/>
  <c r="O71" i="70"/>
  <c r="Q66" i="70"/>
  <c r="U21" i="70"/>
  <c r="O69" i="70"/>
  <c r="Q69" i="70" s="1"/>
  <c r="N72" i="70"/>
  <c r="U49" i="70"/>
  <c r="U29" i="70"/>
  <c r="U32" i="70"/>
  <c r="U43" i="70"/>
  <c r="U4" i="70"/>
  <c r="U33" i="70"/>
  <c r="U44" i="70"/>
  <c r="U47" i="70"/>
  <c r="U55" i="70"/>
  <c r="U56" i="70"/>
  <c r="U57" i="70"/>
  <c r="U51" i="70"/>
  <c r="U42" i="70"/>
  <c r="U53" i="70"/>
  <c r="U58" i="70"/>
  <c r="Q11" i="70"/>
  <c r="P11" i="70"/>
  <c r="U12" i="70"/>
  <c r="Q70" i="70"/>
  <c r="U70" i="70"/>
  <c r="P70" i="70"/>
  <c r="Q68" i="70"/>
  <c r="U68" i="70"/>
  <c r="U41" i="70"/>
  <c r="P68" i="70"/>
  <c r="Q72" i="70"/>
  <c r="P72" i="70"/>
  <c r="U72" i="70"/>
  <c r="P64" i="70"/>
  <c r="Q64" i="70"/>
  <c r="U64" i="70"/>
  <c r="Q63" i="70"/>
  <c r="U63" i="70"/>
  <c r="Q76" i="70"/>
  <c r="P76" i="70"/>
  <c r="U76" i="70"/>
  <c r="U45" i="70"/>
  <c r="N64" i="70"/>
  <c r="O20" i="65"/>
  <c r="U84" i="70" l="1"/>
  <c r="O85" i="70"/>
  <c r="O59" i="70"/>
  <c r="O28" i="70"/>
  <c r="O52" i="70"/>
  <c r="O50" i="70"/>
  <c r="U50" i="70" s="1"/>
  <c r="O54" i="70"/>
  <c r="U54" i="70" s="1"/>
  <c r="O60" i="70"/>
  <c r="U60" i="70" s="1"/>
  <c r="Q73" i="70"/>
  <c r="Q61" i="70"/>
  <c r="P73" i="70"/>
  <c r="U61" i="70"/>
  <c r="P61" i="70"/>
  <c r="Q65" i="70"/>
  <c r="U65" i="70"/>
  <c r="U62" i="70"/>
  <c r="Q62" i="70"/>
  <c r="U69" i="70"/>
  <c r="P69" i="70"/>
  <c r="U71" i="70"/>
  <c r="P71" i="70"/>
  <c r="Q71" i="70"/>
  <c r="P85" i="70" l="1"/>
  <c r="Q85" i="70"/>
  <c r="U52" i="70"/>
  <c r="U59" i="70"/>
  <c r="P25" i="69"/>
  <c r="R25" i="69" s="1"/>
  <c r="Q25" i="69" l="1"/>
  <c r="P18" i="69" l="1"/>
  <c r="P17" i="69"/>
  <c r="P15" i="69"/>
  <c r="G29" i="29"/>
  <c r="P14" i="69" l="1"/>
  <c r="P12" i="69"/>
  <c r="P11" i="69"/>
  <c r="P10" i="69"/>
  <c r="P9" i="69"/>
  <c r="E57" i="24" l="1"/>
  <c r="F57" i="24"/>
  <c r="F56" i="24"/>
  <c r="M5" i="69" l="1"/>
  <c r="M6" i="69"/>
  <c r="M7" i="69"/>
  <c r="M8" i="69"/>
  <c r="M9" i="69"/>
  <c r="R9" i="69" s="1"/>
  <c r="M10" i="69"/>
  <c r="R10" i="69" s="1"/>
  <c r="M11" i="69"/>
  <c r="R11" i="69" s="1"/>
  <c r="M12" i="69"/>
  <c r="R12" i="69" s="1"/>
  <c r="M13" i="69"/>
  <c r="R13" i="69" s="1"/>
  <c r="M14" i="69"/>
  <c r="R14" i="69" s="1"/>
  <c r="M15" i="69"/>
  <c r="R15" i="69" s="1"/>
  <c r="M16" i="69"/>
  <c r="M17" i="69"/>
  <c r="R17" i="69" s="1"/>
  <c r="M18" i="69"/>
  <c r="R18" i="69" s="1"/>
  <c r="M20" i="69"/>
  <c r="M21" i="69"/>
  <c r="M22" i="69"/>
  <c r="M23" i="69"/>
  <c r="M24" i="69"/>
  <c r="M4" i="69"/>
  <c r="L5" i="69"/>
  <c r="L6" i="69"/>
  <c r="L7" i="69"/>
  <c r="L8" i="69"/>
  <c r="L9" i="69"/>
  <c r="Q9" i="69" s="1"/>
  <c r="L10" i="69"/>
  <c r="Q10" i="69" s="1"/>
  <c r="L11" i="69"/>
  <c r="Q11" i="69" s="1"/>
  <c r="L12" i="69"/>
  <c r="Q12" i="69" s="1"/>
  <c r="L13" i="69"/>
  <c r="Q13" i="69" s="1"/>
  <c r="L14" i="69"/>
  <c r="Q14" i="69" s="1"/>
  <c r="L15" i="69"/>
  <c r="Q15" i="69" s="1"/>
  <c r="L16" i="69"/>
  <c r="L17" i="69"/>
  <c r="Q17" i="69" s="1"/>
  <c r="L18" i="69"/>
  <c r="Q18" i="69" s="1"/>
  <c r="L20" i="69"/>
  <c r="L21" i="69"/>
  <c r="L22" i="69"/>
  <c r="L23" i="69"/>
  <c r="L24" i="69"/>
  <c r="L4" i="69"/>
  <c r="P16" i="69"/>
  <c r="P7" i="69"/>
  <c r="P6" i="69"/>
  <c r="Q6" i="69" l="1"/>
  <c r="R6" i="69"/>
  <c r="Q16" i="69"/>
  <c r="R16" i="69"/>
  <c r="R7" i="69"/>
  <c r="Q7" i="69"/>
  <c r="P8" i="69"/>
  <c r="P20" i="69"/>
  <c r="P21" i="69"/>
  <c r="P24" i="69"/>
  <c r="P23" i="69"/>
  <c r="P4" i="69"/>
  <c r="P22" i="69"/>
  <c r="Q8" i="69" l="1"/>
  <c r="R8" i="69"/>
  <c r="R24" i="69"/>
  <c r="Q24" i="69"/>
  <c r="R22" i="69"/>
  <c r="Q22" i="69"/>
  <c r="Q21" i="69"/>
  <c r="R21" i="69"/>
  <c r="Q4" i="69"/>
  <c r="R4" i="69"/>
  <c r="R20" i="69"/>
  <c r="Q20" i="69"/>
  <c r="Q23" i="69"/>
  <c r="R23" i="69"/>
  <c r="P5" i="69"/>
  <c r="D15" i="24"/>
  <c r="R5" i="69" l="1"/>
  <c r="Q5" i="69"/>
  <c r="D15" i="66"/>
  <c r="P48" i="26" l="1"/>
  <c r="O48" i="26" l="1"/>
  <c r="F185" i="26" l="1"/>
  <c r="F110" i="27" l="1"/>
  <c r="E110" i="27"/>
  <c r="F109" i="27"/>
  <c r="E109" i="27"/>
  <c r="E161" i="27" l="1"/>
  <c r="F161" i="27"/>
  <c r="E162" i="27"/>
  <c r="F162" i="27"/>
  <c r="E163" i="27" l="1"/>
  <c r="F163" i="27"/>
  <c r="Q75" i="65" l="1"/>
  <c r="Q74" i="65"/>
  <c r="O73" i="65"/>
  <c r="Q73" i="65" s="1"/>
  <c r="F80" i="27" l="1"/>
  <c r="F81" i="27"/>
  <c r="F82" i="27"/>
  <c r="F84" i="27"/>
  <c r="F79" i="27"/>
  <c r="E6" i="68" l="1"/>
  <c r="F114" i="27" l="1"/>
  <c r="P62" i="26" l="1"/>
  <c r="Q55" i="26"/>
  <c r="Q40" i="26"/>
  <c r="Q41" i="26"/>
  <c r="Q42" i="26"/>
  <c r="Q43" i="26"/>
  <c r="Q44" i="26"/>
  <c r="Q45" i="26"/>
  <c r="Q46" i="26"/>
  <c r="Q47" i="26"/>
  <c r="Q39" i="26"/>
  <c r="N72" i="65" l="1"/>
  <c r="O72" i="65" s="1"/>
  <c r="P73" i="65"/>
  <c r="P74" i="65"/>
  <c r="P72" i="65" l="1"/>
  <c r="Q72" i="65"/>
  <c r="U20" i="65"/>
  <c r="U21" i="65"/>
  <c r="U22" i="65"/>
  <c r="U23" i="65"/>
  <c r="U24" i="65"/>
  <c r="P21" i="65"/>
  <c r="P22" i="65"/>
  <c r="P23" i="65"/>
  <c r="P24" i="65"/>
  <c r="N25" i="65"/>
  <c r="F2" i="59" l="1"/>
  <c r="F3" i="59"/>
  <c r="F4" i="59"/>
  <c r="F5" i="59"/>
  <c r="F6" i="59"/>
  <c r="F7" i="59"/>
  <c r="F8" i="59"/>
  <c r="F9" i="59"/>
  <c r="F12" i="59"/>
  <c r="F13" i="59"/>
  <c r="F14" i="59"/>
  <c r="F15" i="59"/>
  <c r="F16" i="59"/>
  <c r="F17" i="59"/>
  <c r="F18" i="59"/>
  <c r="F19" i="59"/>
  <c r="F20" i="59"/>
  <c r="F21" i="59"/>
  <c r="F22" i="59"/>
  <c r="F23" i="59"/>
  <c r="F24" i="59"/>
  <c r="F25" i="59"/>
  <c r="F26" i="59"/>
  <c r="F27" i="59"/>
  <c r="F28" i="59"/>
  <c r="F29" i="59"/>
  <c r="F30" i="59"/>
  <c r="F31" i="59"/>
  <c r="F32" i="59"/>
  <c r="F33" i="59"/>
  <c r="F34" i="59"/>
  <c r="F35" i="59"/>
  <c r="F36" i="59"/>
  <c r="F37" i="59"/>
  <c r="F38" i="59"/>
  <c r="F39" i="59"/>
  <c r="F40" i="59"/>
  <c r="F41" i="59"/>
  <c r="F42" i="59"/>
  <c r="F43" i="59"/>
  <c r="F44" i="59"/>
  <c r="F45" i="59"/>
  <c r="F46" i="59"/>
  <c r="F47" i="59"/>
  <c r="F48" i="59"/>
  <c r="F49" i="59"/>
  <c r="F50" i="59"/>
  <c r="F51" i="59"/>
  <c r="E51" i="59"/>
  <c r="E50" i="59"/>
  <c r="E49" i="59"/>
  <c r="E48" i="59"/>
  <c r="E47" i="59"/>
  <c r="E46" i="59"/>
  <c r="E45" i="59"/>
  <c r="E44" i="59"/>
  <c r="E43" i="59"/>
  <c r="E42" i="59"/>
  <c r="E41" i="59"/>
  <c r="E40" i="59"/>
  <c r="E39" i="59"/>
  <c r="E38" i="59"/>
  <c r="E37" i="59"/>
  <c r="E36" i="59"/>
  <c r="E35" i="59"/>
  <c r="E34" i="59"/>
  <c r="E33" i="59"/>
  <c r="E32" i="59"/>
  <c r="E31" i="59"/>
  <c r="E30" i="59"/>
  <c r="E29" i="59"/>
  <c r="E28" i="59"/>
  <c r="E27" i="59"/>
  <c r="E26" i="59"/>
  <c r="E25" i="59"/>
  <c r="E24" i="59"/>
  <c r="E23" i="59"/>
  <c r="E22" i="59"/>
  <c r="E21" i="59"/>
  <c r="E20" i="59"/>
  <c r="K20" i="59" s="1"/>
  <c r="E19" i="59"/>
  <c r="E18" i="59"/>
  <c r="E17" i="59"/>
  <c r="E16" i="59"/>
  <c r="K16" i="59" s="1"/>
  <c r="E15" i="59"/>
  <c r="E14" i="59"/>
  <c r="E13" i="59"/>
  <c r="E12" i="59"/>
  <c r="K12" i="59" s="1"/>
  <c r="E8" i="59"/>
  <c r="E7" i="59"/>
  <c r="K7" i="59" s="1"/>
  <c r="E6" i="59"/>
  <c r="K6" i="59" s="1"/>
  <c r="E5" i="59"/>
  <c r="K5" i="59" s="1"/>
  <c r="E4" i="59"/>
  <c r="E3" i="59"/>
  <c r="K3" i="59" s="1"/>
  <c r="E9" i="59"/>
  <c r="K4" i="59" l="1"/>
  <c r="K13" i="59"/>
  <c r="K17" i="59"/>
  <c r="K21" i="59"/>
  <c r="K25" i="59"/>
  <c r="K9" i="59"/>
  <c r="K29" i="59"/>
  <c r="K33" i="59"/>
  <c r="K37" i="59"/>
  <c r="K41" i="59"/>
  <c r="K45" i="59"/>
  <c r="K49" i="59"/>
  <c r="K15" i="59"/>
  <c r="K19" i="59"/>
  <c r="K23" i="59"/>
  <c r="K27" i="59"/>
  <c r="K31" i="59"/>
  <c r="K35" i="59"/>
  <c r="K39" i="59"/>
  <c r="K43" i="59"/>
  <c r="K47" i="59"/>
  <c r="K8" i="59"/>
  <c r="K51" i="59"/>
  <c r="K24" i="59"/>
  <c r="K28" i="59"/>
  <c r="K32" i="59"/>
  <c r="K36" i="59"/>
  <c r="K40" i="59"/>
  <c r="K44" i="59"/>
  <c r="K48" i="59"/>
  <c r="K14" i="59"/>
  <c r="K18" i="59"/>
  <c r="K22" i="59"/>
  <c r="K26" i="59"/>
  <c r="K30" i="59"/>
  <c r="K34" i="59"/>
  <c r="K38" i="59"/>
  <c r="K42" i="59"/>
  <c r="K46" i="59"/>
  <c r="K50" i="59"/>
  <c r="E2" i="59"/>
  <c r="K2" i="59" s="1"/>
  <c r="F318" i="51"/>
  <c r="G318" i="51"/>
  <c r="F319" i="51"/>
  <c r="G319" i="51"/>
  <c r="F320" i="51"/>
  <c r="G320" i="51"/>
  <c r="F321" i="51"/>
  <c r="G321" i="51"/>
  <c r="F322" i="51"/>
  <c r="G322" i="51"/>
  <c r="F323" i="51"/>
  <c r="G323" i="51"/>
  <c r="F324" i="51"/>
  <c r="G324" i="51"/>
  <c r="F325" i="51"/>
  <c r="G325" i="51"/>
  <c r="I76" i="43" s="1"/>
  <c r="F326" i="51"/>
  <c r="G326" i="51"/>
  <c r="F327" i="51"/>
  <c r="G327" i="51"/>
  <c r="F328" i="51"/>
  <c r="G328" i="51"/>
  <c r="F329" i="51"/>
  <c r="G329" i="51"/>
  <c r="F330" i="51"/>
  <c r="G330" i="51"/>
  <c r="F331" i="51"/>
  <c r="G331" i="51"/>
  <c r="F332" i="51"/>
  <c r="G332" i="51"/>
  <c r="F333" i="51"/>
  <c r="G333" i="51"/>
  <c r="F334" i="51"/>
  <c r="G334" i="51"/>
  <c r="F335" i="51"/>
  <c r="G335" i="51"/>
  <c r="F336" i="51"/>
  <c r="G336" i="51"/>
  <c r="F337" i="51"/>
  <c r="G337" i="51"/>
  <c r="F338" i="51"/>
  <c r="G338" i="51"/>
  <c r="F339" i="51"/>
  <c r="G339" i="51"/>
  <c r="F340" i="51"/>
  <c r="G340" i="51"/>
  <c r="F341" i="51"/>
  <c r="G341" i="51"/>
  <c r="F342" i="51"/>
  <c r="G342" i="51"/>
  <c r="F343" i="51"/>
  <c r="G343" i="51"/>
  <c r="F344" i="51"/>
  <c r="G344" i="51"/>
  <c r="F65" i="27" l="1"/>
  <c r="E65" i="27"/>
  <c r="P31" i="67" l="1"/>
  <c r="Q31" i="67"/>
  <c r="E114" i="27" l="1"/>
  <c r="M102" i="51" l="1"/>
  <c r="M101" i="51"/>
  <c r="M83" i="51"/>
  <c r="M82" i="51"/>
  <c r="M70" i="51"/>
  <c r="M50" i="51"/>
  <c r="M10" i="51"/>
  <c r="M146" i="51" l="1"/>
  <c r="L17" i="63" l="1"/>
  <c r="K17" i="63"/>
  <c r="J30" i="65" l="1"/>
  <c r="Q200" i="51"/>
  <c r="F200" i="51"/>
  <c r="G200" i="51"/>
  <c r="M27" i="69" l="1"/>
  <c r="R27" i="69" s="1"/>
  <c r="L33" i="73"/>
  <c r="Q33" i="73" s="1"/>
  <c r="L30" i="65"/>
  <c r="L33" i="70"/>
  <c r="Q33" i="70" s="1"/>
  <c r="P200" i="51"/>
  <c r="N19" i="65"/>
  <c r="L27" i="69" l="1"/>
  <c r="Q27" i="69" s="1"/>
  <c r="K33" i="73"/>
  <c r="P33" i="73" s="1"/>
  <c r="K30" i="65"/>
  <c r="K33" i="70"/>
  <c r="P33" i="70" s="1"/>
  <c r="F27" i="67"/>
  <c r="O27" i="67"/>
  <c r="O28" i="67"/>
  <c r="O29" i="67"/>
  <c r="O30" i="67"/>
  <c r="O26" i="67"/>
  <c r="P336" i="51"/>
  <c r="L46" i="32" s="1"/>
  <c r="Q336" i="51"/>
  <c r="M46" i="32" s="1"/>
  <c r="P335" i="51"/>
  <c r="Q335" i="51"/>
  <c r="P333" i="51"/>
  <c r="Q333" i="51"/>
  <c r="P332" i="51"/>
  <c r="Q332" i="51"/>
  <c r="P331" i="51"/>
  <c r="Q331" i="51"/>
  <c r="Q330" i="51"/>
  <c r="P330" i="51"/>
  <c r="P324" i="51"/>
  <c r="Q324" i="51"/>
  <c r="Q323" i="51"/>
  <c r="P323" i="51"/>
  <c r="P321" i="51"/>
  <c r="Q321" i="51"/>
  <c r="P320" i="51"/>
  <c r="Q320" i="51"/>
  <c r="P318" i="51"/>
  <c r="Q318" i="51"/>
  <c r="M28" i="69" l="1"/>
  <c r="R28" i="69" s="1"/>
  <c r="R29" i="69" s="1"/>
  <c r="L30" i="73"/>
  <c r="Q30" i="73" s="1"/>
  <c r="L28" i="69"/>
  <c r="Q28" i="69" s="1"/>
  <c r="Q29" i="69" s="1"/>
  <c r="K30" i="73"/>
  <c r="P30" i="73" s="1"/>
  <c r="M37" i="32"/>
  <c r="L30" i="70"/>
  <c r="Q30" i="70" s="1"/>
  <c r="L27" i="65"/>
  <c r="Q27" i="65" s="1"/>
  <c r="L37" i="32"/>
  <c r="K30" i="70"/>
  <c r="P30" i="70" s="1"/>
  <c r="K27" i="65"/>
  <c r="P27" i="65" s="1"/>
  <c r="Q30" i="67"/>
  <c r="P30" i="67"/>
  <c r="G30" i="67"/>
  <c r="F30" i="67"/>
  <c r="Q29" i="67"/>
  <c r="P29" i="67"/>
  <c r="G29" i="67"/>
  <c r="F29" i="67"/>
  <c r="Q28" i="67"/>
  <c r="P28" i="67"/>
  <c r="G28" i="67"/>
  <c r="F28" i="67"/>
  <c r="Q27" i="67"/>
  <c r="P27" i="67"/>
  <c r="G27" i="67"/>
  <c r="Q26" i="67"/>
  <c r="P26" i="67"/>
  <c r="G26" i="67"/>
  <c r="F26" i="67"/>
  <c r="Q25" i="67"/>
  <c r="P25" i="67"/>
  <c r="O25" i="67"/>
  <c r="N25" i="67"/>
  <c r="G25" i="67"/>
  <c r="F25" i="67"/>
  <c r="Q24" i="67"/>
  <c r="P24" i="67"/>
  <c r="O24" i="67"/>
  <c r="N24" i="67"/>
  <c r="G24" i="67"/>
  <c r="F24" i="67"/>
  <c r="Q23" i="67"/>
  <c r="P23" i="67"/>
  <c r="O23" i="67"/>
  <c r="N23" i="67"/>
  <c r="G23" i="67"/>
  <c r="F23" i="67"/>
  <c r="Q22" i="67"/>
  <c r="P22" i="67"/>
  <c r="O22" i="67"/>
  <c r="N22" i="67"/>
  <c r="G22" i="67"/>
  <c r="F22" i="67"/>
  <c r="Q21" i="67"/>
  <c r="P21" i="67"/>
  <c r="O21" i="67"/>
  <c r="N21" i="67"/>
  <c r="G21" i="67"/>
  <c r="F21" i="67"/>
  <c r="Q20" i="67"/>
  <c r="P20" i="67"/>
  <c r="O20" i="67"/>
  <c r="N20" i="67"/>
  <c r="G20" i="67"/>
  <c r="F20" i="67"/>
  <c r="Q19" i="67"/>
  <c r="P19" i="67"/>
  <c r="O19" i="67"/>
  <c r="N19" i="67"/>
  <c r="G19" i="67"/>
  <c r="F19" i="67"/>
  <c r="Q18" i="67"/>
  <c r="P18" i="67"/>
  <c r="O18" i="67"/>
  <c r="N18" i="67"/>
  <c r="G18" i="67"/>
  <c r="F18" i="67"/>
  <c r="Q17" i="67"/>
  <c r="P17" i="67"/>
  <c r="O17" i="67"/>
  <c r="N17" i="67"/>
  <c r="G17" i="67"/>
  <c r="F17" i="67"/>
  <c r="Q16" i="67"/>
  <c r="P16" i="67"/>
  <c r="O16" i="67"/>
  <c r="N16" i="67"/>
  <c r="G16" i="67"/>
  <c r="F16" i="67"/>
  <c r="Q15" i="67"/>
  <c r="P15" i="67"/>
  <c r="O15" i="67"/>
  <c r="N15" i="67"/>
  <c r="G15" i="67"/>
  <c r="F15" i="67"/>
  <c r="Q14" i="67"/>
  <c r="P14" i="67"/>
  <c r="O14" i="67"/>
  <c r="N14" i="67"/>
  <c r="G14" i="67"/>
  <c r="F14" i="67"/>
  <c r="Q13" i="67"/>
  <c r="P13" i="67"/>
  <c r="O13" i="67"/>
  <c r="N13" i="67"/>
  <c r="G13" i="67"/>
  <c r="F13" i="67"/>
  <c r="Q12" i="67"/>
  <c r="P12" i="67"/>
  <c r="O12" i="67"/>
  <c r="N12" i="67"/>
  <c r="G12" i="67"/>
  <c r="F12" i="67"/>
  <c r="Q11" i="67"/>
  <c r="P11" i="67"/>
  <c r="O11" i="67"/>
  <c r="N11" i="67"/>
  <c r="G11" i="67"/>
  <c r="F11" i="67"/>
  <c r="Q10" i="67"/>
  <c r="P10" i="67"/>
  <c r="O10" i="67"/>
  <c r="N10" i="67"/>
  <c r="G10" i="67"/>
  <c r="F10" i="67"/>
  <c r="Q9" i="67"/>
  <c r="P9" i="67"/>
  <c r="O9" i="67"/>
  <c r="N9" i="67"/>
  <c r="G9" i="67"/>
  <c r="F9" i="67"/>
  <c r="Q8" i="67"/>
  <c r="P8" i="67"/>
  <c r="O8" i="67"/>
  <c r="N8" i="67"/>
  <c r="G8" i="67"/>
  <c r="F8" i="67"/>
  <c r="Q7" i="67"/>
  <c r="P7" i="67"/>
  <c r="O7" i="67"/>
  <c r="N7" i="67"/>
  <c r="G7" i="67"/>
  <c r="F7" i="67"/>
  <c r="Q6" i="67"/>
  <c r="P6" i="67"/>
  <c r="O6" i="67"/>
  <c r="N6" i="67"/>
  <c r="G6" i="67"/>
  <c r="F6" i="67"/>
  <c r="Q5" i="67"/>
  <c r="P5" i="67"/>
  <c r="O5" i="67"/>
  <c r="N5" i="67"/>
  <c r="G5" i="67"/>
  <c r="F5" i="67"/>
  <c r="Q4" i="67"/>
  <c r="P4" i="67"/>
  <c r="O4" i="67"/>
  <c r="N4" i="67"/>
  <c r="G4" i="67"/>
  <c r="F4" i="67"/>
  <c r="Q3" i="67"/>
  <c r="P3" i="67"/>
  <c r="O3" i="67"/>
  <c r="N3" i="67"/>
  <c r="G3" i="67"/>
  <c r="F3" i="67"/>
  <c r="F158" i="27" l="1"/>
  <c r="F183" i="26" l="1"/>
  <c r="Q334" i="51" l="1"/>
  <c r="P334" i="51"/>
  <c r="O8" i="32" l="1"/>
  <c r="P8" i="32" s="1"/>
  <c r="O13" i="32"/>
  <c r="Q319" i="51" l="1"/>
  <c r="P319" i="51"/>
  <c r="F93" i="27"/>
  <c r="E82" i="27" l="1"/>
  <c r="E81" i="27"/>
  <c r="P75" i="65" l="1"/>
  <c r="N69" i="43"/>
  <c r="P81" i="70"/>
  <c r="P317" i="51" l="1"/>
  <c r="Q317" i="51"/>
  <c r="O317" i="51"/>
  <c r="F317" i="51"/>
  <c r="G317" i="51"/>
  <c r="U5" i="65" l="1"/>
  <c r="U6" i="65"/>
  <c r="U7" i="65"/>
  <c r="U8" i="65"/>
  <c r="U9" i="65"/>
  <c r="U10" i="65"/>
  <c r="U13" i="65"/>
  <c r="U14" i="65"/>
  <c r="U15" i="65"/>
  <c r="U16" i="65"/>
  <c r="Q316" i="51"/>
  <c r="P316" i="51"/>
  <c r="O316" i="51"/>
  <c r="N316" i="51"/>
  <c r="G316" i="51"/>
  <c r="F316" i="51"/>
  <c r="K37" i="65" l="1"/>
  <c r="K41" i="70"/>
  <c r="K35" i="73"/>
  <c r="P35" i="73" s="1"/>
  <c r="L37" i="65"/>
  <c r="L41" i="70"/>
  <c r="L35" i="73"/>
  <c r="Q35" i="73" s="1"/>
  <c r="P63" i="26"/>
  <c r="F53" i="27" l="1"/>
  <c r="E59" i="27" l="1"/>
  <c r="P82" i="26" l="1"/>
  <c r="P81" i="26"/>
  <c r="E10" i="66"/>
  <c r="E11" i="66"/>
  <c r="E12" i="66"/>
  <c r="E13" i="66"/>
  <c r="E14" i="66"/>
  <c r="E9" i="66"/>
  <c r="D10" i="66"/>
  <c r="D11" i="66"/>
  <c r="D12" i="66"/>
  <c r="D13" i="66"/>
  <c r="D14" i="66"/>
  <c r="D9" i="66"/>
  <c r="F181" i="26" l="1"/>
  <c r="N315" i="51" l="1"/>
  <c r="F315" i="51"/>
  <c r="G315" i="51"/>
  <c r="Q315" i="51"/>
  <c r="P315" i="51"/>
  <c r="O315" i="51"/>
  <c r="E69" i="27" l="1"/>
  <c r="G65" i="34" l="1"/>
  <c r="G19" i="34"/>
  <c r="G120" i="34"/>
  <c r="G222" i="32"/>
  <c r="G169" i="32"/>
  <c r="N54" i="65" l="1"/>
  <c r="N47" i="65"/>
  <c r="O47" i="65" s="1"/>
  <c r="N46" i="65"/>
  <c r="N26" i="65"/>
  <c r="M37" i="65" l="1"/>
  <c r="N37" i="65" s="1"/>
  <c r="O37" i="65" s="1"/>
  <c r="K41" i="57" l="1"/>
  <c r="K51" i="57"/>
  <c r="K52" i="57"/>
  <c r="K53" i="57"/>
  <c r="K54" i="57"/>
  <c r="K55" i="57"/>
  <c r="K56" i="57"/>
  <c r="F150" i="26" l="1"/>
  <c r="N248" i="51" l="1"/>
  <c r="N249" i="51"/>
  <c r="O249" i="51"/>
  <c r="P249" i="51"/>
  <c r="O248" i="51"/>
  <c r="F249" i="51"/>
  <c r="G249" i="51"/>
  <c r="F248" i="51"/>
  <c r="G248" i="51"/>
  <c r="Q249" i="51" l="1"/>
  <c r="N305" i="51" l="1"/>
  <c r="O305" i="51"/>
  <c r="N306" i="51"/>
  <c r="O306" i="51"/>
  <c r="N307" i="51"/>
  <c r="O307" i="51"/>
  <c r="N308" i="51"/>
  <c r="O308" i="51"/>
  <c r="N309" i="51"/>
  <c r="O309" i="51"/>
  <c r="N310" i="51"/>
  <c r="O310" i="51"/>
  <c r="N311" i="51"/>
  <c r="O311" i="51"/>
  <c r="N312" i="51"/>
  <c r="O312" i="51"/>
  <c r="N313" i="51"/>
  <c r="O313" i="51"/>
  <c r="N314" i="51"/>
  <c r="O314" i="51"/>
  <c r="F305" i="51"/>
  <c r="G305" i="51"/>
  <c r="F306" i="51"/>
  <c r="G306" i="51"/>
  <c r="F307" i="51"/>
  <c r="G307" i="51"/>
  <c r="F308" i="51"/>
  <c r="G308" i="51"/>
  <c r="F309" i="51"/>
  <c r="G309" i="51"/>
  <c r="F310" i="51"/>
  <c r="G310" i="51"/>
  <c r="F311" i="51"/>
  <c r="G311" i="51"/>
  <c r="F312" i="51"/>
  <c r="G312" i="51"/>
  <c r="F313" i="51"/>
  <c r="G313" i="51"/>
  <c r="F314" i="51"/>
  <c r="G314" i="51"/>
  <c r="F179" i="26"/>
  <c r="Q13" i="65" l="1"/>
  <c r="Q14" i="65"/>
  <c r="Q15" i="65"/>
  <c r="Q16" i="65"/>
  <c r="Q32" i="65"/>
  <c r="Q33" i="65"/>
  <c r="Q34" i="65"/>
  <c r="Q35" i="65"/>
  <c r="Q36" i="65"/>
  <c r="L57" i="65"/>
  <c r="L58" i="65"/>
  <c r="L59" i="65"/>
  <c r="L60" i="65"/>
  <c r="L61" i="65"/>
  <c r="L62" i="65"/>
  <c r="L63" i="65"/>
  <c r="F177" i="26"/>
  <c r="P16" i="65" l="1"/>
  <c r="P15" i="65"/>
  <c r="P14" i="65"/>
  <c r="P13" i="65"/>
  <c r="N45" i="65"/>
  <c r="O45" i="65" s="1"/>
  <c r="M18" i="65"/>
  <c r="N18" i="65" s="1"/>
  <c r="M17" i="65"/>
  <c r="N17" i="65" s="1"/>
  <c r="J17" i="65"/>
  <c r="N38" i="65"/>
  <c r="O38" i="65" s="1"/>
  <c r="J12" i="65"/>
  <c r="M12" i="65"/>
  <c r="N12" i="65" s="1"/>
  <c r="O12" i="65" s="1"/>
  <c r="M11" i="65"/>
  <c r="N11" i="65" s="1"/>
  <c r="O11" i="65" s="1"/>
  <c r="M4" i="65"/>
  <c r="N4" i="65" s="1"/>
  <c r="O4" i="65" s="1"/>
  <c r="M65" i="65"/>
  <c r="O65" i="65" s="1"/>
  <c r="U65" i="65" s="1"/>
  <c r="M66" i="65"/>
  <c r="O66" i="65" s="1"/>
  <c r="M67" i="65"/>
  <c r="O67" i="65" s="1"/>
  <c r="U67" i="65" s="1"/>
  <c r="M68" i="65"/>
  <c r="O68" i="65" s="1"/>
  <c r="O70" i="65"/>
  <c r="M64" i="65"/>
  <c r="O64" i="65" s="1"/>
  <c r="M58" i="65"/>
  <c r="N58" i="65" s="1"/>
  <c r="M59" i="65"/>
  <c r="N59" i="65" s="1"/>
  <c r="M60" i="65"/>
  <c r="N60" i="65" s="1"/>
  <c r="M61" i="65"/>
  <c r="N61" i="65" s="1"/>
  <c r="M62" i="65"/>
  <c r="N62" i="65" s="1"/>
  <c r="M63" i="65"/>
  <c r="O63" i="65" s="1"/>
  <c r="M57" i="65"/>
  <c r="N57" i="65" s="1"/>
  <c r="K63" i="65"/>
  <c r="J63" i="65"/>
  <c r="K62" i="65"/>
  <c r="J62" i="65"/>
  <c r="K61" i="65"/>
  <c r="J61" i="65"/>
  <c r="K60" i="65"/>
  <c r="J60" i="65"/>
  <c r="K59" i="65"/>
  <c r="J59" i="65"/>
  <c r="K58" i="65"/>
  <c r="J58" i="65"/>
  <c r="K57" i="65"/>
  <c r="J57" i="65"/>
  <c r="N56" i="65"/>
  <c r="J56" i="65"/>
  <c r="N55" i="65"/>
  <c r="J55" i="65"/>
  <c r="O54" i="65"/>
  <c r="J54" i="65"/>
  <c r="N53" i="65"/>
  <c r="O53" i="65" s="1"/>
  <c r="J53" i="65"/>
  <c r="N52" i="65"/>
  <c r="O52" i="65" s="1"/>
  <c r="J52" i="65"/>
  <c r="N51" i="65"/>
  <c r="O51" i="65" s="1"/>
  <c r="J51" i="65"/>
  <c r="N50" i="65"/>
  <c r="J50" i="65"/>
  <c r="O49" i="65"/>
  <c r="N49" i="65"/>
  <c r="J49" i="65"/>
  <c r="N48" i="65"/>
  <c r="J47" i="65"/>
  <c r="U47" i="65" s="1"/>
  <c r="J45" i="65"/>
  <c r="N43" i="65"/>
  <c r="O43" i="65" s="1"/>
  <c r="O44" i="65" s="1"/>
  <c r="J43" i="65"/>
  <c r="N42" i="65"/>
  <c r="J42" i="65"/>
  <c r="N41" i="65"/>
  <c r="O41" i="65" s="1"/>
  <c r="J41" i="65"/>
  <c r="N40" i="65"/>
  <c r="O40" i="65" s="1"/>
  <c r="J40" i="65"/>
  <c r="N39" i="65"/>
  <c r="O39" i="65" s="1"/>
  <c r="J39" i="65"/>
  <c r="J38" i="65"/>
  <c r="P36" i="65"/>
  <c r="N36" i="65"/>
  <c r="U36" i="65"/>
  <c r="P35" i="65"/>
  <c r="N35" i="65"/>
  <c r="U35" i="65"/>
  <c r="P34" i="65"/>
  <c r="N34" i="65"/>
  <c r="U34" i="65"/>
  <c r="P33" i="65"/>
  <c r="N33" i="65"/>
  <c r="U33" i="65"/>
  <c r="P32" i="65"/>
  <c r="N32" i="65"/>
  <c r="U32" i="65"/>
  <c r="N31" i="65"/>
  <c r="O31" i="65" s="1"/>
  <c r="J31" i="65"/>
  <c r="N30" i="65"/>
  <c r="J29" i="65"/>
  <c r="N28" i="65"/>
  <c r="N29" i="65" s="1"/>
  <c r="O29" i="65" s="1"/>
  <c r="J28" i="65"/>
  <c r="O26" i="65"/>
  <c r="N24" i="65"/>
  <c r="N23" i="65"/>
  <c r="N22" i="65"/>
  <c r="N21" i="65"/>
  <c r="O19" i="65"/>
  <c r="J19" i="65"/>
  <c r="N10" i="65"/>
  <c r="N9" i="65"/>
  <c r="N8" i="65"/>
  <c r="N7" i="65"/>
  <c r="N6" i="65"/>
  <c r="N5" i="65"/>
  <c r="J4" i="65"/>
  <c r="P44" i="65" l="1"/>
  <c r="Q44" i="65"/>
  <c r="U12" i="65"/>
  <c r="U53" i="65"/>
  <c r="U49" i="65"/>
  <c r="U52" i="65"/>
  <c r="U29" i="65"/>
  <c r="U26" i="65"/>
  <c r="U31" i="65"/>
  <c r="U39" i="65"/>
  <c r="U41" i="65"/>
  <c r="U43" i="65"/>
  <c r="U51" i="65"/>
  <c r="U54" i="65"/>
  <c r="U19" i="65"/>
  <c r="U45" i="65"/>
  <c r="Q68" i="65"/>
  <c r="U68" i="65"/>
  <c r="Q64" i="65"/>
  <c r="U64" i="65"/>
  <c r="Q66" i="65"/>
  <c r="U66" i="65"/>
  <c r="U37" i="65"/>
  <c r="Q70" i="65"/>
  <c r="U70" i="65"/>
  <c r="U30" i="65"/>
  <c r="U40" i="65"/>
  <c r="Q63" i="65"/>
  <c r="U63" i="65"/>
  <c r="U4" i="65"/>
  <c r="U38" i="65"/>
  <c r="P11" i="65"/>
  <c r="Q11" i="65"/>
  <c r="O42" i="65"/>
  <c r="U42" i="65" s="1"/>
  <c r="P67" i="65"/>
  <c r="Q67" i="65"/>
  <c r="P65" i="65"/>
  <c r="Q65" i="65"/>
  <c r="O18" i="65"/>
  <c r="U18" i="65" s="1"/>
  <c r="O17" i="65"/>
  <c r="U17" i="65" s="1"/>
  <c r="N63" i="65"/>
  <c r="P70" i="65"/>
  <c r="P64" i="65"/>
  <c r="P66" i="65"/>
  <c r="P68" i="65"/>
  <c r="N64" i="65"/>
  <c r="N65" i="65"/>
  <c r="N66" i="65"/>
  <c r="N67" i="65"/>
  <c r="N68" i="65"/>
  <c r="N70" i="65"/>
  <c r="P63" i="65"/>
  <c r="O57" i="65"/>
  <c r="O58" i="65"/>
  <c r="U58" i="65" s="1"/>
  <c r="O59" i="65"/>
  <c r="U59" i="65" s="1"/>
  <c r="O60" i="65"/>
  <c r="U60" i="65" s="1"/>
  <c r="O61" i="65"/>
  <c r="U61" i="65" s="1"/>
  <c r="O62" i="65"/>
  <c r="U62" i="65" s="1"/>
  <c r="O28" i="65"/>
  <c r="U28" i="65" s="1"/>
  <c r="O42" i="64"/>
  <c r="P42" i="64" s="1"/>
  <c r="P41" i="64"/>
  <c r="P40" i="64"/>
  <c r="P39" i="64"/>
  <c r="P38" i="64"/>
  <c r="P37" i="64"/>
  <c r="P36" i="64"/>
  <c r="P35" i="64"/>
  <c r="P34" i="64"/>
  <c r="O34" i="64"/>
  <c r="P33" i="64"/>
  <c r="P32" i="64"/>
  <c r="P31" i="64"/>
  <c r="P30" i="64"/>
  <c r="P29" i="64"/>
  <c r="P28" i="64"/>
  <c r="P27" i="64"/>
  <c r="P26" i="64"/>
  <c r="P25" i="64"/>
  <c r="P24" i="64"/>
  <c r="P23" i="64"/>
  <c r="O23" i="64"/>
  <c r="P22" i="64"/>
  <c r="P21" i="64"/>
  <c r="P20" i="64"/>
  <c r="P19" i="64"/>
  <c r="P18" i="64"/>
  <c r="P16" i="64"/>
  <c r="P17" i="64" s="1"/>
  <c r="P15" i="64"/>
  <c r="P14" i="64"/>
  <c r="P13" i="64"/>
  <c r="O13" i="64"/>
  <c r="P12" i="64"/>
  <c r="P11" i="64"/>
  <c r="P10" i="64"/>
  <c r="P9" i="64"/>
  <c r="P8" i="64"/>
  <c r="P7" i="64"/>
  <c r="P6" i="64"/>
  <c r="P5" i="64"/>
  <c r="P4" i="64"/>
  <c r="O50" i="65" l="1"/>
  <c r="U50" i="65" s="1"/>
  <c r="O48" i="65"/>
  <c r="U48" i="65" s="1"/>
  <c r="O56" i="65"/>
  <c r="U56" i="65" s="1"/>
  <c r="O55" i="65"/>
  <c r="U55" i="65" s="1"/>
  <c r="O25" i="65"/>
  <c r="O46" i="65"/>
  <c r="U46" i="65" s="1"/>
  <c r="U57" i="65"/>
  <c r="Q57" i="65"/>
  <c r="P60" i="65"/>
  <c r="Q60" i="65"/>
  <c r="P62" i="65"/>
  <c r="Q62" i="65"/>
  <c r="P58" i="65"/>
  <c r="Q58" i="65"/>
  <c r="P61" i="65"/>
  <c r="Q61" i="65"/>
  <c r="P59" i="65"/>
  <c r="Q59" i="65"/>
  <c r="P57" i="65"/>
  <c r="P305" i="51"/>
  <c r="K39" i="73" s="1"/>
  <c r="P39" i="73" s="1"/>
  <c r="Q305" i="51"/>
  <c r="L39" i="73" s="1"/>
  <c r="Q39" i="73" s="1"/>
  <c r="P306" i="51"/>
  <c r="K43" i="73" s="1"/>
  <c r="P43" i="73" s="1"/>
  <c r="Q306" i="51"/>
  <c r="L43" i="73" s="1"/>
  <c r="Q43" i="73" s="1"/>
  <c r="P307" i="51"/>
  <c r="K53" i="73" s="1"/>
  <c r="P53" i="73" s="1"/>
  <c r="Q307" i="51"/>
  <c r="L53" i="73" s="1"/>
  <c r="Q53" i="73" s="1"/>
  <c r="P308" i="51"/>
  <c r="K32" i="73" s="1"/>
  <c r="P32" i="73" s="1"/>
  <c r="Q308" i="51"/>
  <c r="L32" i="73" s="1"/>
  <c r="Q32" i="73" s="1"/>
  <c r="P37" i="65" l="1"/>
  <c r="P41" i="70"/>
  <c r="L52" i="65"/>
  <c r="Q52" i="65" s="1"/>
  <c r="L56" i="70"/>
  <c r="Q56" i="70" s="1"/>
  <c r="L41" i="65"/>
  <c r="Q41" i="65" s="1"/>
  <c r="L45" i="70"/>
  <c r="Q45" i="70" s="1"/>
  <c r="Q37" i="65"/>
  <c r="Q41" i="70"/>
  <c r="K52" i="65"/>
  <c r="P52" i="65" s="1"/>
  <c r="K56" i="70"/>
  <c r="P56" i="70" s="1"/>
  <c r="K41" i="65"/>
  <c r="P41" i="65" s="1"/>
  <c r="K45" i="70"/>
  <c r="P45" i="70" s="1"/>
  <c r="L29" i="65"/>
  <c r="Q29" i="65" s="1"/>
  <c r="L32" i="70"/>
  <c r="Q32" i="70" s="1"/>
  <c r="L43" i="65"/>
  <c r="Q43" i="65" s="1"/>
  <c r="L47" i="70"/>
  <c r="Q47" i="70" s="1"/>
  <c r="K29" i="65"/>
  <c r="P29" i="65" s="1"/>
  <c r="K32" i="70"/>
  <c r="P32" i="70" s="1"/>
  <c r="K43" i="65"/>
  <c r="P43" i="65" s="1"/>
  <c r="K47" i="70"/>
  <c r="P47" i="70" s="1"/>
  <c r="F134" i="27"/>
  <c r="F133" i="27"/>
  <c r="N121" i="32" l="1"/>
  <c r="N120" i="32"/>
  <c r="N119" i="32"/>
  <c r="N137" i="32"/>
  <c r="N136" i="32"/>
  <c r="N135" i="32"/>
  <c r="N134" i="32"/>
  <c r="N133" i="32"/>
  <c r="N132" i="32"/>
  <c r="N131" i="32"/>
  <c r="N130" i="32"/>
  <c r="N129" i="32"/>
  <c r="N128" i="32"/>
  <c r="N127" i="32"/>
  <c r="N126" i="32"/>
  <c r="N125" i="32"/>
  <c r="N124" i="32"/>
  <c r="N123" i="32"/>
  <c r="N122" i="32"/>
  <c r="N118" i="32"/>
  <c r="N117" i="32"/>
  <c r="N116" i="32"/>
  <c r="N115" i="32"/>
  <c r="N114" i="32"/>
  <c r="N113" i="32"/>
  <c r="N112" i="32"/>
  <c r="N111" i="32"/>
  <c r="N110" i="32"/>
  <c r="N109" i="32"/>
  <c r="N108" i="32"/>
  <c r="N107" i="32"/>
  <c r="N106" i="32"/>
  <c r="N105" i="32"/>
  <c r="N104" i="32"/>
  <c r="N103" i="32"/>
  <c r="N102" i="32"/>
  <c r="N101" i="32"/>
  <c r="N100" i="32"/>
  <c r="N99" i="32"/>
  <c r="N98" i="32"/>
  <c r="N97" i="32"/>
  <c r="N96" i="32"/>
  <c r="N94" i="32"/>
  <c r="N92" i="32"/>
  <c r="N91" i="32"/>
  <c r="N90" i="32"/>
  <c r="N89" i="32"/>
  <c r="N88" i="32"/>
  <c r="N87" i="32"/>
  <c r="N86" i="32"/>
  <c r="N85" i="32"/>
  <c r="N84" i="32"/>
  <c r="N83" i="32"/>
  <c r="N82" i="32"/>
  <c r="N81" i="32"/>
  <c r="N80" i="32"/>
  <c r="N79" i="32"/>
  <c r="N78" i="32"/>
  <c r="N77" i="32"/>
  <c r="N95" i="32" l="1"/>
  <c r="P14" i="32"/>
  <c r="P9" i="32"/>
  <c r="Q9" i="32" s="1"/>
  <c r="O59" i="32" l="1"/>
  <c r="O58" i="32"/>
  <c r="O57" i="32"/>
  <c r="O56" i="32"/>
  <c r="O55" i="32"/>
  <c r="O54" i="32"/>
  <c r="O53" i="32"/>
  <c r="O52" i="32"/>
  <c r="O51" i="32"/>
  <c r="O50" i="32"/>
  <c r="P13" i="32"/>
  <c r="P86" i="32"/>
  <c r="P85" i="32"/>
  <c r="O12" i="32"/>
  <c r="O86" i="32"/>
  <c r="O85" i="32"/>
  <c r="M59" i="32" l="1"/>
  <c r="L59" i="32"/>
  <c r="M58" i="32"/>
  <c r="L58" i="32"/>
  <c r="M57" i="32"/>
  <c r="L57" i="32"/>
  <c r="M56" i="32"/>
  <c r="L56" i="32"/>
  <c r="M55" i="32"/>
  <c r="L55" i="32"/>
  <c r="M54" i="32"/>
  <c r="L54" i="32"/>
  <c r="M53" i="32"/>
  <c r="L53" i="32"/>
  <c r="M52" i="32"/>
  <c r="L52" i="32"/>
  <c r="M51" i="32"/>
  <c r="L51" i="32"/>
  <c r="M50" i="32"/>
  <c r="L50" i="32"/>
  <c r="M10" i="32"/>
  <c r="L10" i="32"/>
  <c r="M128" i="32"/>
  <c r="M129" i="32"/>
  <c r="M130" i="32"/>
  <c r="M131" i="32"/>
  <c r="M132" i="32"/>
  <c r="M133" i="32"/>
  <c r="M134" i="32"/>
  <c r="M135" i="32"/>
  <c r="M136" i="32"/>
  <c r="M137" i="32"/>
  <c r="M83" i="32"/>
  <c r="L137" i="32"/>
  <c r="L136" i="32"/>
  <c r="L135" i="32"/>
  <c r="L134" i="32"/>
  <c r="L133" i="32"/>
  <c r="L132" i="32"/>
  <c r="L131" i="32"/>
  <c r="L130" i="32"/>
  <c r="L129" i="32"/>
  <c r="L128" i="32"/>
  <c r="L83" i="32"/>
  <c r="Q44" i="32" l="1"/>
  <c r="Q42" i="32"/>
  <c r="Q37" i="32"/>
  <c r="P49" i="32"/>
  <c r="P48" i="32"/>
  <c r="P45" i="32"/>
  <c r="P44" i="32"/>
  <c r="P43" i="32"/>
  <c r="Q43" i="32" s="1"/>
  <c r="P42" i="32"/>
  <c r="P38" i="32"/>
  <c r="P37" i="32"/>
  <c r="P23" i="32"/>
  <c r="P22" i="32"/>
  <c r="Q22" i="32" s="1"/>
  <c r="Q20" i="32"/>
  <c r="P19" i="32"/>
  <c r="P18" i="32"/>
  <c r="P17" i="32"/>
  <c r="Q17" i="32" s="1"/>
  <c r="P15" i="32"/>
  <c r="Q15" i="32" s="1"/>
  <c r="Q16" i="32" s="1"/>
  <c r="P12" i="32"/>
  <c r="P11" i="32"/>
  <c r="P10" i="32"/>
  <c r="Q10" i="32" s="1"/>
  <c r="P7" i="32"/>
  <c r="Q7" i="32" s="1"/>
  <c r="P6" i="32"/>
  <c r="Q6" i="32" s="1"/>
  <c r="P5" i="32"/>
  <c r="Q5" i="32" s="1"/>
  <c r="P4" i="32"/>
  <c r="Q4" i="32" s="1"/>
  <c r="Q59" i="32"/>
  <c r="Q58" i="32"/>
  <c r="Q57" i="32"/>
  <c r="Q56" i="32"/>
  <c r="Q55" i="32"/>
  <c r="Q54" i="32"/>
  <c r="Q53" i="32"/>
  <c r="Q52" i="32"/>
  <c r="Q51" i="32"/>
  <c r="Q50" i="32"/>
  <c r="O23" i="32"/>
  <c r="O19" i="32"/>
  <c r="Q14" i="32" l="1"/>
  <c r="Q23" i="32"/>
  <c r="Q13" i="32"/>
  <c r="P16" i="32"/>
  <c r="Q19" i="32"/>
  <c r="P50" i="32"/>
  <c r="P52" i="32"/>
  <c r="P54" i="32"/>
  <c r="P56" i="32"/>
  <c r="P58" i="32"/>
  <c r="P51" i="32"/>
  <c r="P53" i="32"/>
  <c r="P55" i="32"/>
  <c r="P57" i="32"/>
  <c r="P59" i="32"/>
  <c r="Q48" i="32"/>
  <c r="Q49" i="32"/>
  <c r="Q18" i="32"/>
  <c r="Q12" i="32"/>
  <c r="P41" i="32"/>
  <c r="P40" i="32"/>
  <c r="P39" i="32"/>
  <c r="P36" i="32"/>
  <c r="P35" i="32"/>
  <c r="P34" i="32"/>
  <c r="P33" i="32"/>
  <c r="P32" i="32"/>
  <c r="P31" i="32"/>
  <c r="P30" i="32"/>
  <c r="P29" i="32"/>
  <c r="P28" i="32"/>
  <c r="P27" i="32"/>
  <c r="P26" i="32"/>
  <c r="P25" i="32"/>
  <c r="P24" i="32"/>
  <c r="Q11" i="32"/>
  <c r="O15" i="54"/>
  <c r="R10" i="32" l="1"/>
  <c r="R51" i="32"/>
  <c r="R52" i="32"/>
  <c r="R53" i="32"/>
  <c r="R54" i="32"/>
  <c r="R55" i="32"/>
  <c r="R56" i="32"/>
  <c r="R57" i="32"/>
  <c r="R58" i="32"/>
  <c r="R59" i="32"/>
  <c r="F173" i="26"/>
  <c r="L14" i="63"/>
  <c r="L13" i="63"/>
  <c r="L12" i="63"/>
  <c r="L11" i="63"/>
  <c r="L4" i="63"/>
  <c r="L5" i="63"/>
  <c r="L6" i="63"/>
  <c r="L7" i="63"/>
  <c r="L8" i="63"/>
  <c r="K3" i="63"/>
  <c r="K4" i="63"/>
  <c r="L3" i="63"/>
  <c r="R50" i="32" l="1"/>
  <c r="I104" i="26"/>
  <c r="F90" i="27" l="1"/>
  <c r="E90" i="27"/>
  <c r="F152" i="27" l="1"/>
  <c r="G104" i="34" l="1"/>
  <c r="K11" i="63"/>
  <c r="K13" i="63"/>
  <c r="K5" i="63"/>
  <c r="K6" i="63"/>
  <c r="K8" i="63" l="1"/>
  <c r="K7" i="63"/>
  <c r="K12" i="63" l="1"/>
  <c r="K14" i="63"/>
  <c r="H71" i="34"/>
  <c r="H79" i="34"/>
  <c r="H158" i="32"/>
  <c r="H175" i="32"/>
  <c r="H181" i="32"/>
  <c r="H182" i="32"/>
  <c r="H183" i="32"/>
  <c r="H188" i="32"/>
  <c r="H187" i="32" s="1"/>
  <c r="H177" i="32"/>
  <c r="H173" i="32" l="1"/>
  <c r="H166" i="32"/>
  <c r="H186" i="32"/>
  <c r="H164" i="32"/>
  <c r="H167" i="32"/>
  <c r="M46" i="57" l="1"/>
  <c r="L46" i="57"/>
  <c r="J53" i="57"/>
  <c r="O298" i="51"/>
  <c r="N298" i="51"/>
  <c r="G298" i="51"/>
  <c r="F298" i="51"/>
  <c r="N33" i="59"/>
  <c r="N34" i="59"/>
  <c r="J56" i="57"/>
  <c r="J55" i="57"/>
  <c r="J54" i="57"/>
  <c r="O5" i="57"/>
  <c r="O6" i="57"/>
  <c r="O7" i="57"/>
  <c r="O8" i="57"/>
  <c r="O11" i="57"/>
  <c r="O12" i="57"/>
  <c r="O13" i="57"/>
  <c r="O14" i="57"/>
  <c r="O15" i="57"/>
  <c r="O16" i="57"/>
  <c r="O17" i="57"/>
  <c r="O18" i="57"/>
  <c r="O19" i="57"/>
  <c r="O20" i="57"/>
  <c r="O34" i="57"/>
  <c r="O35" i="57"/>
  <c r="O36" i="57"/>
  <c r="O37" i="57"/>
  <c r="O38" i="57"/>
  <c r="N44" i="57"/>
  <c r="N46" i="57" l="1"/>
  <c r="F119" i="27" l="1"/>
  <c r="E119" i="27"/>
  <c r="N295" i="51"/>
  <c r="O295" i="51"/>
  <c r="N296" i="51"/>
  <c r="O296" i="51"/>
  <c r="N297" i="51"/>
  <c r="O297" i="51"/>
  <c r="N299" i="51"/>
  <c r="O299" i="51"/>
  <c r="N300" i="51"/>
  <c r="O300" i="51"/>
  <c r="N301" i="51"/>
  <c r="O301" i="51"/>
  <c r="N302" i="51"/>
  <c r="O302" i="51"/>
  <c r="N303" i="51"/>
  <c r="O303" i="51"/>
  <c r="N304" i="51"/>
  <c r="O304" i="51"/>
  <c r="F289" i="51"/>
  <c r="G289" i="51"/>
  <c r="F290" i="51"/>
  <c r="G290" i="51"/>
  <c r="F291" i="51"/>
  <c r="G291" i="51"/>
  <c r="F292" i="51"/>
  <c r="G292" i="51"/>
  <c r="F293" i="51"/>
  <c r="G293" i="51"/>
  <c r="F294" i="51"/>
  <c r="G294" i="51"/>
  <c r="F295" i="51"/>
  <c r="G295" i="51"/>
  <c r="F296" i="51"/>
  <c r="G296" i="51"/>
  <c r="F297" i="51"/>
  <c r="G297" i="51"/>
  <c r="F299" i="51"/>
  <c r="G299" i="51"/>
  <c r="F300" i="51"/>
  <c r="G300" i="51"/>
  <c r="F301" i="51"/>
  <c r="G301" i="51"/>
  <c r="F302" i="51"/>
  <c r="G302" i="51"/>
  <c r="N2" i="59"/>
  <c r="N4" i="59"/>
  <c r="N5" i="59"/>
  <c r="N6" i="59"/>
  <c r="N7" i="59"/>
  <c r="N8" i="59"/>
  <c r="N9" i="59"/>
  <c r="N12" i="59"/>
  <c r="N13" i="59"/>
  <c r="N14" i="59"/>
  <c r="N15" i="59"/>
  <c r="N16" i="59"/>
  <c r="N17" i="59"/>
  <c r="N19" i="59"/>
  <c r="N20" i="59"/>
  <c r="N21" i="59"/>
  <c r="N22" i="59"/>
  <c r="N23" i="59"/>
  <c r="N24" i="59"/>
  <c r="N25" i="59"/>
  <c r="N27" i="59"/>
  <c r="N29" i="59"/>
  <c r="N30" i="59"/>
  <c r="N31" i="59"/>
  <c r="N35" i="59"/>
  <c r="N36" i="59"/>
  <c r="N38" i="59"/>
  <c r="N39" i="59"/>
  <c r="N40" i="59"/>
  <c r="N41" i="59"/>
  <c r="N42" i="59"/>
  <c r="N44" i="59"/>
  <c r="N45" i="59"/>
  <c r="N46" i="59"/>
  <c r="N47" i="59"/>
  <c r="N48" i="59"/>
  <c r="N49" i="59"/>
  <c r="N50" i="59"/>
  <c r="N51" i="59"/>
  <c r="N18" i="59"/>
  <c r="I41" i="22" l="1"/>
  <c r="I37" i="22"/>
  <c r="I35" i="22"/>
  <c r="I34" i="22" s="1"/>
  <c r="I33" i="22"/>
  <c r="I32" i="22"/>
  <c r="I31" i="22"/>
  <c r="I28" i="22"/>
  <c r="I27" i="22"/>
  <c r="I26" i="22"/>
  <c r="I25" i="22"/>
  <c r="I24" i="22"/>
  <c r="I22" i="22"/>
  <c r="I21" i="22"/>
  <c r="I20" i="22"/>
  <c r="I19" i="22"/>
  <c r="I18" i="22"/>
  <c r="I17" i="22"/>
  <c r="I16" i="22"/>
  <c r="I15" i="22"/>
  <c r="I14" i="22"/>
  <c r="I13" i="22"/>
  <c r="I12" i="22"/>
  <c r="I11" i="22"/>
  <c r="I10" i="22"/>
  <c r="I9" i="22"/>
  <c r="I8" i="22"/>
  <c r="I7" i="22"/>
  <c r="I6" i="22"/>
  <c r="I5" i="22"/>
  <c r="I4" i="22"/>
  <c r="L26" i="22" l="1"/>
  <c r="K26" i="22"/>
  <c r="J26" i="22"/>
  <c r="I38" i="22"/>
  <c r="I29" i="22"/>
  <c r="I39" i="22"/>
  <c r="I23" i="22"/>
  <c r="I36" i="22"/>
  <c r="G304" i="51" l="1"/>
  <c r="F304" i="51"/>
  <c r="G303" i="51"/>
  <c r="F303" i="51"/>
  <c r="P304" i="51"/>
  <c r="J19" i="43" s="1"/>
  <c r="N19" i="43" s="1"/>
  <c r="Q304" i="51"/>
  <c r="K19" i="43" s="1"/>
  <c r="O19" i="43" s="1"/>
  <c r="Q303" i="51"/>
  <c r="P303" i="51"/>
  <c r="J18" i="43" s="1"/>
  <c r="N18" i="43" s="1"/>
  <c r="K29" i="57" l="1"/>
  <c r="K18" i="43"/>
  <c r="O18" i="43" s="1"/>
  <c r="K31" i="57"/>
  <c r="J31" i="57"/>
  <c r="L89" i="32"/>
  <c r="L15" i="32"/>
  <c r="R15" i="32" s="1"/>
  <c r="M16" i="32"/>
  <c r="M90" i="32"/>
  <c r="M15" i="32"/>
  <c r="M89" i="32"/>
  <c r="L16" i="32"/>
  <c r="R16" i="32" s="1"/>
  <c r="L90" i="32"/>
  <c r="J29" i="57"/>
  <c r="J41" i="57"/>
  <c r="J52" i="57" l="1"/>
  <c r="J51" i="57"/>
  <c r="L52" i="57"/>
  <c r="L53" i="57"/>
  <c r="L54" i="57"/>
  <c r="L55" i="57"/>
  <c r="L56" i="57"/>
  <c r="L51" i="57"/>
  <c r="M29" i="57"/>
  <c r="M5" i="57"/>
  <c r="M6" i="57"/>
  <c r="M7" i="57"/>
  <c r="M8" i="57"/>
  <c r="M9" i="57"/>
  <c r="N9" i="57" s="1"/>
  <c r="M10" i="57"/>
  <c r="N10" i="57" s="1"/>
  <c r="M11" i="57"/>
  <c r="M12" i="57"/>
  <c r="M13" i="57"/>
  <c r="M14" i="57"/>
  <c r="M15" i="57"/>
  <c r="M16" i="57"/>
  <c r="M17" i="57"/>
  <c r="M18" i="57"/>
  <c r="M19" i="57"/>
  <c r="M20" i="57"/>
  <c r="M21" i="57"/>
  <c r="N21" i="57" s="1"/>
  <c r="M22" i="57"/>
  <c r="N22" i="57" s="1"/>
  <c r="M23" i="57"/>
  <c r="N23" i="57" s="1"/>
  <c r="M24" i="57"/>
  <c r="N24" i="57" s="1"/>
  <c r="M25" i="57"/>
  <c r="M26" i="57"/>
  <c r="M27" i="57"/>
  <c r="M28" i="57"/>
  <c r="N28" i="57" s="1"/>
  <c r="M32" i="57"/>
  <c r="M33" i="57"/>
  <c r="N33" i="57" s="1"/>
  <c r="M34" i="57"/>
  <c r="M35" i="57"/>
  <c r="M36" i="57"/>
  <c r="M37" i="57"/>
  <c r="M38" i="57"/>
  <c r="M39" i="57"/>
  <c r="N39" i="57" s="1"/>
  <c r="M40" i="57"/>
  <c r="N40" i="57" s="1"/>
  <c r="M41" i="57"/>
  <c r="N41" i="57" s="1"/>
  <c r="N42" i="57" s="1"/>
  <c r="M42" i="57"/>
  <c r="M43" i="57"/>
  <c r="M44" i="57"/>
  <c r="M45" i="57"/>
  <c r="N45" i="57" s="1"/>
  <c r="M30" i="57"/>
  <c r="M47" i="57"/>
  <c r="N47" i="57" s="1"/>
  <c r="M48" i="57"/>
  <c r="N48" i="57" s="1"/>
  <c r="M49" i="57"/>
  <c r="M50" i="57"/>
  <c r="M4" i="57"/>
  <c r="N4" i="57" s="1"/>
  <c r="M51" i="57" l="1"/>
  <c r="N51" i="57"/>
  <c r="O51" i="57" s="1"/>
  <c r="M55" i="57"/>
  <c r="N55" i="57"/>
  <c r="O55" i="57" s="1"/>
  <c r="M53" i="57"/>
  <c r="N53" i="57"/>
  <c r="O53" i="57" s="1"/>
  <c r="O41" i="57"/>
  <c r="M56" i="57"/>
  <c r="N56" i="57"/>
  <c r="O56" i="57" s="1"/>
  <c r="M54" i="57"/>
  <c r="N54" i="57"/>
  <c r="O54" i="57" s="1"/>
  <c r="M52" i="57"/>
  <c r="N52" i="57"/>
  <c r="O52" i="57" s="1"/>
  <c r="M31" i="57"/>
  <c r="N29" i="57"/>
  <c r="F5" i="35"/>
  <c r="N31" i="57" l="1"/>
  <c r="O31" i="57" s="1"/>
  <c r="O29" i="57"/>
  <c r="N50" i="57"/>
  <c r="N25" i="57"/>
  <c r="N49" i="57"/>
  <c r="N30" i="57"/>
  <c r="O30" i="57" s="1"/>
  <c r="N43" i="57"/>
  <c r="N27" i="57"/>
  <c r="F73" i="27"/>
  <c r="J20" i="59" l="1"/>
  <c r="J42" i="59"/>
  <c r="J41" i="59"/>
  <c r="J39" i="59"/>
  <c r="J38" i="59"/>
  <c r="J36" i="59"/>
  <c r="J35" i="59"/>
  <c r="J30" i="59"/>
  <c r="J29" i="59"/>
  <c r="J21" i="59"/>
  <c r="J23" i="59"/>
  <c r="J19" i="59"/>
  <c r="J18" i="59"/>
  <c r="J22" i="59"/>
  <c r="N290" i="51" l="1"/>
  <c r="O290" i="51"/>
  <c r="N291" i="51"/>
  <c r="O291" i="51"/>
  <c r="N292" i="51"/>
  <c r="O292" i="51"/>
  <c r="N293" i="51"/>
  <c r="O293" i="51"/>
  <c r="N294" i="51"/>
  <c r="O294" i="51"/>
  <c r="P290" i="51"/>
  <c r="Q290" i="51"/>
  <c r="P291" i="51"/>
  <c r="Q291" i="51"/>
  <c r="P292" i="51"/>
  <c r="Q292" i="51"/>
  <c r="P293" i="51"/>
  <c r="Q293" i="51"/>
  <c r="P294" i="51"/>
  <c r="Q294" i="51"/>
  <c r="Q289" i="51"/>
  <c r="P289" i="51"/>
  <c r="P279" i="51"/>
  <c r="Q279" i="51"/>
  <c r="P280" i="51"/>
  <c r="K17" i="73" s="1"/>
  <c r="P17" i="73" s="1"/>
  <c r="Q280" i="51"/>
  <c r="L17" i="73" s="1"/>
  <c r="Q17" i="73" s="1"/>
  <c r="P281" i="51"/>
  <c r="P18" i="70" s="1"/>
  <c r="Q281" i="51"/>
  <c r="Q18" i="70" s="1"/>
  <c r="P282" i="51"/>
  <c r="J22" i="57" s="1"/>
  <c r="O22" i="57" s="1"/>
  <c r="Q282" i="51"/>
  <c r="K22" i="57" s="1"/>
  <c r="P283" i="51"/>
  <c r="Q283" i="51"/>
  <c r="P284" i="51"/>
  <c r="Q284" i="51"/>
  <c r="P285" i="51"/>
  <c r="Q285" i="51"/>
  <c r="P286" i="51"/>
  <c r="K50" i="73" s="1"/>
  <c r="P50" i="73" s="1"/>
  <c r="Q286" i="51"/>
  <c r="L50" i="73" s="1"/>
  <c r="Q50" i="73" s="1"/>
  <c r="P287" i="51"/>
  <c r="Q287" i="51"/>
  <c r="L31" i="73" s="1"/>
  <c r="Q31" i="73" s="1"/>
  <c r="P288" i="51"/>
  <c r="Q288" i="51"/>
  <c r="Q278" i="51"/>
  <c r="L12" i="73" s="1"/>
  <c r="Q12" i="73" s="1"/>
  <c r="P278" i="51"/>
  <c r="K12" i="73" s="1"/>
  <c r="P12" i="73" s="1"/>
  <c r="O289" i="51"/>
  <c r="N289" i="51"/>
  <c r="N279" i="51"/>
  <c r="O279" i="51"/>
  <c r="N280" i="51"/>
  <c r="O280" i="51"/>
  <c r="N281" i="51"/>
  <c r="O281" i="51"/>
  <c r="N282" i="51"/>
  <c r="O282" i="51"/>
  <c r="N283" i="51"/>
  <c r="O283" i="51"/>
  <c r="N284" i="51"/>
  <c r="O284" i="51"/>
  <c r="N285" i="51"/>
  <c r="O285" i="51"/>
  <c r="N286" i="51"/>
  <c r="O286" i="51"/>
  <c r="N287" i="51"/>
  <c r="O287" i="51"/>
  <c r="N288" i="51"/>
  <c r="O288" i="51"/>
  <c r="O278" i="51"/>
  <c r="N278" i="51"/>
  <c r="F279" i="51"/>
  <c r="G279" i="51"/>
  <c r="F280" i="51"/>
  <c r="G280" i="51"/>
  <c r="F281" i="51"/>
  <c r="G281" i="51"/>
  <c r="F282" i="51"/>
  <c r="G282" i="51"/>
  <c r="F283" i="51"/>
  <c r="G283" i="51"/>
  <c r="F284" i="51"/>
  <c r="G284" i="51"/>
  <c r="F285" i="51"/>
  <c r="G285" i="51"/>
  <c r="F286" i="51"/>
  <c r="G286" i="51"/>
  <c r="F287" i="51"/>
  <c r="G287" i="51"/>
  <c r="F288" i="51"/>
  <c r="G288" i="51"/>
  <c r="G278" i="51"/>
  <c r="F278" i="51"/>
  <c r="K31" i="70" l="1"/>
  <c r="P31" i="70" s="1"/>
  <c r="K31" i="73"/>
  <c r="P31" i="73" s="1"/>
  <c r="K12" i="70"/>
  <c r="P12" i="70" s="1"/>
  <c r="L21" i="32"/>
  <c r="R21" i="32" s="1"/>
  <c r="L12" i="70"/>
  <c r="Q12" i="70" s="1"/>
  <c r="M21" i="32"/>
  <c r="L28" i="65"/>
  <c r="Q28" i="65" s="1"/>
  <c r="L31" i="70"/>
  <c r="Q31" i="70" s="1"/>
  <c r="L54" i="70"/>
  <c r="Q54" i="70" s="1"/>
  <c r="L17" i="65"/>
  <c r="Q17" i="65" s="1"/>
  <c r="L17" i="70"/>
  <c r="Q17" i="70" s="1"/>
  <c r="K50" i="65"/>
  <c r="P50" i="65" s="1"/>
  <c r="K54" i="70"/>
  <c r="P54" i="70" s="1"/>
  <c r="K17" i="65"/>
  <c r="P17" i="65" s="1"/>
  <c r="K17" i="70"/>
  <c r="P17" i="70" s="1"/>
  <c r="L12" i="65"/>
  <c r="Q12" i="65" s="1"/>
  <c r="K4" i="57"/>
  <c r="K10" i="57"/>
  <c r="Q18" i="65"/>
  <c r="K28" i="57"/>
  <c r="J28" i="57"/>
  <c r="O28" i="57" s="1"/>
  <c r="P18" i="65"/>
  <c r="J4" i="57"/>
  <c r="O4" i="57" s="1"/>
  <c r="K12" i="65"/>
  <c r="P12" i="65" s="1"/>
  <c r="M47" i="32"/>
  <c r="L50" i="65"/>
  <c r="Q50" i="65" s="1"/>
  <c r="K28" i="65"/>
  <c r="P28" i="65" s="1"/>
  <c r="L47" i="32"/>
  <c r="J10" i="57"/>
  <c r="O10" i="57" s="1"/>
  <c r="P84" i="32"/>
  <c r="B188" i="32"/>
  <c r="C188" i="32"/>
  <c r="D188" i="32"/>
  <c r="E188" i="32"/>
  <c r="F188" i="32"/>
  <c r="F151" i="27"/>
  <c r="F150" i="27"/>
  <c r="F149" i="27"/>
  <c r="O137" i="32" l="1"/>
  <c r="P137" i="32" s="1"/>
  <c r="O136" i="32"/>
  <c r="P136" i="32" s="1"/>
  <c r="O135" i="32"/>
  <c r="P135" i="32" s="1"/>
  <c r="O134" i="32"/>
  <c r="P134" i="32" s="1"/>
  <c r="O133" i="32"/>
  <c r="P133" i="32" s="1"/>
  <c r="O132" i="32"/>
  <c r="P132" i="32" s="1"/>
  <c r="O130" i="32"/>
  <c r="P130" i="32" s="1"/>
  <c r="O131" i="32"/>
  <c r="P131" i="32" s="1"/>
  <c r="O129" i="32"/>
  <c r="P129" i="32" s="1"/>
  <c r="O128" i="32"/>
  <c r="P128" i="32" s="1"/>
  <c r="O103" i="32"/>
  <c r="P103" i="32"/>
  <c r="O94" i="32"/>
  <c r="P94" i="32"/>
  <c r="P126" i="32"/>
  <c r="P127" i="32"/>
  <c r="Q124" i="32"/>
  <c r="Q122" i="32"/>
  <c r="Q117" i="32"/>
  <c r="P117" i="32"/>
  <c r="P118" i="32"/>
  <c r="P119" i="32"/>
  <c r="P120" i="32"/>
  <c r="P121" i="32"/>
  <c r="P122" i="32"/>
  <c r="P123" i="32"/>
  <c r="Q123" i="32" s="1"/>
  <c r="P124" i="32"/>
  <c r="P125" i="32"/>
  <c r="P104" i="32"/>
  <c r="P105" i="32"/>
  <c r="P106" i="32"/>
  <c r="P107" i="32"/>
  <c r="P108" i="32"/>
  <c r="P109" i="32"/>
  <c r="P110" i="32"/>
  <c r="P111" i="32"/>
  <c r="P112" i="32"/>
  <c r="P113" i="32"/>
  <c r="P114" i="32"/>
  <c r="P115" i="32"/>
  <c r="P116" i="32"/>
  <c r="Q94" i="32" l="1"/>
  <c r="Q137" i="32"/>
  <c r="R137" i="32" s="1"/>
  <c r="Q135" i="32"/>
  <c r="R135" i="32" s="1"/>
  <c r="Q133" i="32"/>
  <c r="R133" i="32" s="1"/>
  <c r="Q131" i="32"/>
  <c r="R131" i="32" s="1"/>
  <c r="Q129" i="32"/>
  <c r="R129" i="32" s="1"/>
  <c r="Q128" i="32"/>
  <c r="Q136" i="32"/>
  <c r="R136" i="32" s="1"/>
  <c r="Q134" i="32"/>
  <c r="R134" i="32" s="1"/>
  <c r="Q132" i="32"/>
  <c r="R132" i="32" s="1"/>
  <c r="Q130" i="32"/>
  <c r="R130" i="32" s="1"/>
  <c r="P96" i="32"/>
  <c r="P97" i="32"/>
  <c r="P98" i="32"/>
  <c r="P99" i="32"/>
  <c r="P100" i="32"/>
  <c r="Q103" i="32"/>
  <c r="P101" i="32"/>
  <c r="P95" i="32"/>
  <c r="Q95" i="32" s="1"/>
  <c r="R128" i="32" l="1"/>
  <c r="Q92" i="32"/>
  <c r="Q127" i="32"/>
  <c r="Q101" i="32"/>
  <c r="Q93" i="32"/>
  <c r="Q87" i="32"/>
  <c r="Q126" i="32"/>
  <c r="Q88" i="32"/>
  <c r="P92" i="32"/>
  <c r="P93" i="32"/>
  <c r="P102" i="32"/>
  <c r="Q102" i="32" s="1"/>
  <c r="P91" i="32"/>
  <c r="Q91" i="32" s="1"/>
  <c r="F107" i="27"/>
  <c r="F106" i="27"/>
  <c r="F105" i="27"/>
  <c r="F143" i="27"/>
  <c r="F142" i="27"/>
  <c r="F141" i="27"/>
  <c r="F144" i="27"/>
  <c r="F145" i="27"/>
  <c r="F146" i="27"/>
  <c r="F140" i="27"/>
  <c r="F102" i="27" l="1"/>
  <c r="F103" i="27"/>
  <c r="F104" i="27"/>
  <c r="I25" i="56" l="1"/>
  <c r="L41" i="56"/>
  <c r="L40" i="56"/>
  <c r="L39" i="56"/>
  <c r="L38" i="56"/>
  <c r="L37" i="56"/>
  <c r="N36" i="56" l="1"/>
  <c r="O36" i="56" s="1"/>
  <c r="N41" i="56"/>
  <c r="O41" i="56" s="1"/>
  <c r="N35" i="56"/>
  <c r="O35" i="56" s="1"/>
  <c r="N37" i="56"/>
  <c r="O37" i="56" s="1"/>
  <c r="N38" i="56"/>
  <c r="O38" i="56" s="1"/>
  <c r="N39" i="56"/>
  <c r="O39" i="56" s="1"/>
  <c r="N40" i="56"/>
  <c r="O40" i="56" s="1"/>
  <c r="P89" i="32" l="1"/>
  <c r="Q89" i="32" s="1"/>
  <c r="P88" i="32"/>
  <c r="P87" i="32"/>
  <c r="Q86" i="32"/>
  <c r="Q90" i="32" l="1"/>
  <c r="P90" i="32"/>
  <c r="Q85" i="32"/>
  <c r="P83" i="32"/>
  <c r="Q83" i="32" s="1"/>
  <c r="P82" i="32"/>
  <c r="Q82" i="32" s="1"/>
  <c r="P81" i="32"/>
  <c r="Q81" i="32" s="1"/>
  <c r="P80" i="32"/>
  <c r="Q80" i="32" s="1"/>
  <c r="P79" i="32"/>
  <c r="Q79" i="32" s="1"/>
  <c r="P78" i="32"/>
  <c r="Q78" i="32" s="1"/>
  <c r="P77" i="32"/>
  <c r="Q77" i="32" s="1"/>
  <c r="R83" i="32" l="1"/>
  <c r="Q84" i="32"/>
  <c r="O277" i="51"/>
  <c r="N277" i="51"/>
  <c r="G277" i="51"/>
  <c r="F277" i="51"/>
  <c r="N276" i="51"/>
  <c r="O276" i="51"/>
  <c r="F276" i="51"/>
  <c r="G276" i="51"/>
  <c r="P263" i="51"/>
  <c r="K5" i="73" s="1"/>
  <c r="P5" i="73" s="1"/>
  <c r="Q263" i="51"/>
  <c r="P264" i="51"/>
  <c r="K7" i="73" s="1"/>
  <c r="P7" i="73" s="1"/>
  <c r="Q264" i="51"/>
  <c r="L7" i="73" s="1"/>
  <c r="Q7" i="73" s="1"/>
  <c r="P265" i="51"/>
  <c r="K8" i="73" s="1"/>
  <c r="P8" i="73" s="1"/>
  <c r="Q265" i="51"/>
  <c r="L8" i="73" s="1"/>
  <c r="Q8" i="73" s="1"/>
  <c r="P266" i="51"/>
  <c r="K9" i="73" s="1"/>
  <c r="P9" i="73" s="1"/>
  <c r="Q266" i="51"/>
  <c r="L9" i="73" s="1"/>
  <c r="Q9" i="73" s="1"/>
  <c r="P267" i="51"/>
  <c r="K10" i="73" s="1"/>
  <c r="P10" i="73" s="1"/>
  <c r="Q267" i="51"/>
  <c r="L10" i="73" s="1"/>
  <c r="Q10" i="73" s="1"/>
  <c r="P268" i="51"/>
  <c r="P21" i="73" s="1"/>
  <c r="Q268" i="51"/>
  <c r="L21" i="73" s="1"/>
  <c r="Q21" i="73" s="1"/>
  <c r="P269" i="51"/>
  <c r="Q269" i="51"/>
  <c r="L22" i="73" s="1"/>
  <c r="Q22" i="73" s="1"/>
  <c r="P270" i="51"/>
  <c r="Q270" i="51"/>
  <c r="L24" i="73" s="1"/>
  <c r="Q24" i="73" s="1"/>
  <c r="P271" i="51"/>
  <c r="Q271" i="51"/>
  <c r="L25" i="73" s="1"/>
  <c r="Q25" i="73" s="1"/>
  <c r="P272" i="51"/>
  <c r="K37" i="73" s="1"/>
  <c r="P37" i="73" s="1"/>
  <c r="Q272" i="51"/>
  <c r="P273" i="51"/>
  <c r="Q273" i="51"/>
  <c r="P274" i="51"/>
  <c r="Q274" i="51"/>
  <c r="P275" i="51"/>
  <c r="K49" i="73" s="1"/>
  <c r="P49" i="73" s="1"/>
  <c r="Q275" i="51"/>
  <c r="Q250" i="51"/>
  <c r="P250" i="51"/>
  <c r="K4" i="73" s="1"/>
  <c r="P4" i="73" s="1"/>
  <c r="N263" i="51"/>
  <c r="O263" i="51"/>
  <c r="N264" i="51"/>
  <c r="O264" i="51"/>
  <c r="N265" i="51"/>
  <c r="O265" i="51"/>
  <c r="N266" i="51"/>
  <c r="O266" i="51"/>
  <c r="N267" i="51"/>
  <c r="O267" i="51"/>
  <c r="N268" i="51"/>
  <c r="O268" i="51"/>
  <c r="N269" i="51"/>
  <c r="O269" i="51"/>
  <c r="N270" i="51"/>
  <c r="O270" i="51"/>
  <c r="N271" i="51"/>
  <c r="O271" i="51"/>
  <c r="N272" i="51"/>
  <c r="O272" i="51"/>
  <c r="N273" i="51"/>
  <c r="O273" i="51"/>
  <c r="N274" i="51"/>
  <c r="O274" i="51"/>
  <c r="N275" i="51"/>
  <c r="O275" i="51"/>
  <c r="O250" i="51"/>
  <c r="N250" i="51"/>
  <c r="F263" i="51"/>
  <c r="G263" i="51"/>
  <c r="F264" i="51"/>
  <c r="G264" i="51"/>
  <c r="F265" i="51"/>
  <c r="G265" i="51"/>
  <c r="F266" i="51"/>
  <c r="G266" i="51"/>
  <c r="F267" i="51"/>
  <c r="G267" i="51"/>
  <c r="F268" i="51"/>
  <c r="G268" i="51"/>
  <c r="F269" i="51"/>
  <c r="G269" i="51"/>
  <c r="F270" i="51"/>
  <c r="G270" i="51"/>
  <c r="F271" i="51"/>
  <c r="G271" i="51"/>
  <c r="F272" i="51"/>
  <c r="G272" i="51"/>
  <c r="F273" i="51"/>
  <c r="G273" i="51"/>
  <c r="F274" i="51"/>
  <c r="G274" i="51"/>
  <c r="F275" i="51"/>
  <c r="G275" i="51"/>
  <c r="G250" i="51"/>
  <c r="F250" i="51"/>
  <c r="J20" i="18"/>
  <c r="Q116" i="51"/>
  <c r="I20" i="18" s="1"/>
  <c r="P116" i="51"/>
  <c r="H20" i="18" s="1"/>
  <c r="O116" i="51"/>
  <c r="N116" i="51"/>
  <c r="G116" i="51"/>
  <c r="F116" i="51"/>
  <c r="J17" i="18"/>
  <c r="I17" i="18"/>
  <c r="H17" i="18"/>
  <c r="J16" i="18"/>
  <c r="J15" i="18"/>
  <c r="J14" i="18"/>
  <c r="J13" i="18"/>
  <c r="J12" i="18"/>
  <c r="J11" i="18"/>
  <c r="J10" i="18"/>
  <c r="J9" i="18"/>
  <c r="J8" i="18"/>
  <c r="J7" i="18"/>
  <c r="J6" i="18"/>
  <c r="J5" i="18"/>
  <c r="L53" i="70" l="1"/>
  <c r="Q53" i="70" s="1"/>
  <c r="L49" i="73"/>
  <c r="Q49" i="73" s="1"/>
  <c r="L5" i="70"/>
  <c r="L5" i="73"/>
  <c r="Q5" i="73" s="1"/>
  <c r="L43" i="70"/>
  <c r="Q43" i="70" s="1"/>
  <c r="L37" i="73"/>
  <c r="Q37" i="73" s="1"/>
  <c r="L4" i="70"/>
  <c r="Q4" i="70" s="1"/>
  <c r="L4" i="73"/>
  <c r="Q4" i="73" s="1"/>
  <c r="L10" i="65"/>
  <c r="L10" i="70"/>
  <c r="K10" i="65"/>
  <c r="K10" i="70"/>
  <c r="K8" i="65"/>
  <c r="K8" i="70"/>
  <c r="K5" i="70"/>
  <c r="K5" i="65"/>
  <c r="L9" i="65"/>
  <c r="L9" i="70"/>
  <c r="L7" i="65"/>
  <c r="L7" i="70"/>
  <c r="L8" i="70"/>
  <c r="L8" i="65"/>
  <c r="K9" i="70"/>
  <c r="K9" i="65"/>
  <c r="K7" i="65"/>
  <c r="K7" i="70"/>
  <c r="L25" i="70"/>
  <c r="Q25" i="70" s="1"/>
  <c r="L24" i="65"/>
  <c r="Q24" i="65" s="1"/>
  <c r="L22" i="70"/>
  <c r="Q22" i="70" s="1"/>
  <c r="L21" i="65"/>
  <c r="Q21" i="65" s="1"/>
  <c r="K49" i="65"/>
  <c r="P49" i="65" s="1"/>
  <c r="K53" i="70"/>
  <c r="P53" i="70" s="1"/>
  <c r="P248" i="51"/>
  <c r="L20" i="32" s="1"/>
  <c r="R20" i="32" s="1"/>
  <c r="K4" i="70"/>
  <c r="P4" i="70" s="1"/>
  <c r="K43" i="57"/>
  <c r="Q52" i="70"/>
  <c r="L24" i="70"/>
  <c r="Q24" i="70" s="1"/>
  <c r="L23" i="65"/>
  <c r="Q23" i="65" s="1"/>
  <c r="Q21" i="70"/>
  <c r="L20" i="65"/>
  <c r="Q20" i="65" s="1"/>
  <c r="P52" i="70"/>
  <c r="K39" i="65"/>
  <c r="P39" i="65" s="1"/>
  <c r="K43" i="70"/>
  <c r="P43" i="70" s="1"/>
  <c r="K20" i="65"/>
  <c r="P20" i="65" s="1"/>
  <c r="P21" i="70"/>
  <c r="L49" i="65"/>
  <c r="Q49" i="65" s="1"/>
  <c r="K44" i="57"/>
  <c r="L39" i="65"/>
  <c r="Q39" i="65" s="1"/>
  <c r="K39" i="57"/>
  <c r="L4" i="65"/>
  <c r="Q4" i="65" s="1"/>
  <c r="Q248" i="51"/>
  <c r="M20" i="32" s="1"/>
  <c r="M14" i="32"/>
  <c r="Q48" i="65"/>
  <c r="L14" i="32"/>
  <c r="R14" i="32" s="1"/>
  <c r="P48" i="65"/>
  <c r="K4" i="65"/>
  <c r="P4" i="65" s="1"/>
  <c r="L77" i="32"/>
  <c r="R77" i="32" s="1"/>
  <c r="L4" i="32"/>
  <c r="R4" i="32" s="1"/>
  <c r="M4" i="32"/>
  <c r="M77" i="32"/>
  <c r="J44" i="57"/>
  <c r="O44" i="57" s="1"/>
  <c r="J43" i="57"/>
  <c r="O43" i="57" s="1"/>
  <c r="J39" i="57"/>
  <c r="O39" i="57" s="1"/>
  <c r="D83" i="34"/>
  <c r="E83" i="34"/>
  <c r="F83" i="34"/>
  <c r="F54" i="27"/>
  <c r="F6" i="27" l="1"/>
  <c r="E6" i="27" s="1"/>
  <c r="F7" i="27"/>
  <c r="E7" i="27" s="1"/>
  <c r="B83" i="34" l="1"/>
  <c r="C83" i="34"/>
  <c r="L32" i="56" l="1"/>
  <c r="L31" i="56"/>
  <c r="L30" i="56"/>
  <c r="L27" i="56"/>
  <c r="I27" i="56" s="1"/>
  <c r="O27" i="56" s="1"/>
  <c r="L26" i="56"/>
  <c r="I26" i="56" s="1"/>
  <c r="O26" i="56" s="1"/>
  <c r="L25" i="56"/>
  <c r="L24" i="56"/>
  <c r="L23" i="56"/>
  <c r="L22" i="56"/>
  <c r="L21" i="56"/>
  <c r="L20" i="56"/>
  <c r="L19" i="56"/>
  <c r="L18" i="56"/>
  <c r="L17" i="56"/>
  <c r="L16" i="56"/>
  <c r="I16" i="56" s="1"/>
  <c r="O16" i="56" s="1"/>
  <c r="L15" i="56"/>
  <c r="L14" i="56"/>
  <c r="L13" i="56"/>
  <c r="L12" i="56"/>
  <c r="I12" i="56" s="1"/>
  <c r="O12" i="56" s="1"/>
  <c r="L11" i="56"/>
  <c r="L10" i="56"/>
  <c r="L6" i="56"/>
  <c r="L5" i="56"/>
  <c r="I5" i="56" s="1"/>
  <c r="O5" i="56" s="1"/>
  <c r="L4" i="56"/>
  <c r="O25" i="56"/>
  <c r="I32" i="56"/>
  <c r="I31" i="56" s="1"/>
  <c r="O31" i="56" s="1"/>
  <c r="L29" i="56"/>
  <c r="I29" i="56" s="1"/>
  <c r="O29" i="56" s="1"/>
  <c r="L28" i="56"/>
  <c r="I28" i="56" s="1"/>
  <c r="O28" i="56" s="1"/>
  <c r="I23" i="56"/>
  <c r="O23" i="56" s="1"/>
  <c r="I22" i="56"/>
  <c r="O22" i="56" s="1"/>
  <c r="I21" i="56"/>
  <c r="O21" i="56" s="1"/>
  <c r="I20" i="56"/>
  <c r="O20" i="56" s="1"/>
  <c r="I19" i="56"/>
  <c r="O19" i="56" s="1"/>
  <c r="I18" i="56"/>
  <c r="O18" i="56" s="1"/>
  <c r="I17" i="56"/>
  <c r="O17" i="56" s="1"/>
  <c r="I15" i="56"/>
  <c r="O15" i="56" s="1"/>
  <c r="I14" i="56"/>
  <c r="O14" i="56" s="1"/>
  <c r="I13" i="56"/>
  <c r="O13" i="56" s="1"/>
  <c r="I11" i="56"/>
  <c r="O11" i="56" s="1"/>
  <c r="I10" i="56"/>
  <c r="O10" i="56" s="1"/>
  <c r="L8" i="56"/>
  <c r="I8" i="56" s="1"/>
  <c r="L7" i="56"/>
  <c r="I7" i="56" s="1"/>
  <c r="O7" i="56" s="1"/>
  <c r="I6" i="56"/>
  <c r="O6" i="56" s="1"/>
  <c r="I4" i="56"/>
  <c r="O4" i="56" s="1"/>
  <c r="O8" i="56" l="1"/>
  <c r="I9" i="56"/>
  <c r="O9" i="56" s="1"/>
  <c r="I24" i="56"/>
  <c r="O24" i="56" s="1"/>
  <c r="I30" i="56"/>
  <c r="O30" i="56" s="1"/>
  <c r="O32" i="56"/>
  <c r="O42" i="56" l="1"/>
  <c r="H54" i="34"/>
  <c r="H73" i="34"/>
  <c r="H77" i="34"/>
  <c r="H78" i="34"/>
  <c r="H83" i="34"/>
  <c r="H60" i="34" s="1"/>
  <c r="F43" i="24"/>
  <c r="H81" i="34" l="1"/>
  <c r="H69" i="34"/>
  <c r="H63" i="34"/>
  <c r="H82" i="34"/>
  <c r="H62" i="34"/>
  <c r="Q169" i="51"/>
  <c r="P169" i="51"/>
  <c r="O169" i="51"/>
  <c r="N169" i="51"/>
  <c r="G169" i="51"/>
  <c r="F169" i="51"/>
  <c r="H235" i="32"/>
  <c r="H31" i="34"/>
  <c r="H133" i="34"/>
  <c r="H121" i="26" l="1"/>
  <c r="I121" i="26"/>
  <c r="G134" i="26"/>
  <c r="G135" i="26"/>
  <c r="F152" i="26"/>
  <c r="F160" i="26"/>
  <c r="F162" i="26"/>
  <c r="F163" i="26"/>
  <c r="F164" i="26"/>
  <c r="F166" i="26"/>
  <c r="J179" i="26"/>
  <c r="J180" i="26"/>
  <c r="J181" i="26"/>
  <c r="R240" i="26"/>
  <c r="T240" i="26"/>
  <c r="U240" i="26" s="1"/>
  <c r="R241" i="26"/>
  <c r="T241" i="26"/>
  <c r="U241" i="26" s="1"/>
  <c r="R242" i="26"/>
  <c r="T242" i="26"/>
  <c r="U242" i="26" s="1"/>
  <c r="R243" i="26"/>
  <c r="T243" i="26"/>
  <c r="U243" i="26" s="1"/>
  <c r="R244" i="26"/>
  <c r="U244" i="26"/>
  <c r="R245" i="26"/>
  <c r="T245" i="26"/>
  <c r="U245" i="26" s="1"/>
  <c r="R246" i="26"/>
  <c r="T246" i="26"/>
  <c r="U246" i="26" s="1"/>
  <c r="R247" i="26"/>
  <c r="T247" i="26"/>
  <c r="U247" i="26" s="1"/>
  <c r="R248" i="26"/>
  <c r="T248" i="26"/>
  <c r="U248" i="26" s="1"/>
  <c r="R249" i="26"/>
  <c r="T249" i="26"/>
  <c r="U249" i="26" s="1"/>
  <c r="R250" i="26"/>
  <c r="T250" i="26"/>
  <c r="U250" i="26" s="1"/>
  <c r="R251" i="26"/>
  <c r="T251" i="26"/>
  <c r="U251" i="26" s="1"/>
  <c r="R252" i="26"/>
  <c r="T252" i="26"/>
  <c r="U252" i="26" s="1"/>
  <c r="R253" i="26"/>
  <c r="T253" i="26"/>
  <c r="U253" i="26" s="1"/>
  <c r="R254" i="26"/>
  <c r="T254" i="26"/>
  <c r="U254" i="26" s="1"/>
  <c r="R255" i="26"/>
  <c r="T255" i="26"/>
  <c r="U255" i="26" s="1"/>
  <c r="R256" i="26"/>
  <c r="T256" i="26"/>
  <c r="U256" i="26" s="1"/>
  <c r="R257" i="26"/>
  <c r="T257" i="26"/>
  <c r="U257" i="26" s="1"/>
  <c r="R258" i="26"/>
  <c r="T258" i="26"/>
  <c r="U258" i="26" s="1"/>
  <c r="R259" i="26"/>
  <c r="T259" i="26"/>
  <c r="U259" i="26" s="1"/>
  <c r="R260" i="26"/>
  <c r="T260" i="26"/>
  <c r="U260" i="26" s="1"/>
  <c r="R261" i="26"/>
  <c r="T261" i="26"/>
  <c r="U261" i="26" s="1"/>
  <c r="R262" i="26"/>
  <c r="T262" i="26"/>
  <c r="U262" i="26" s="1"/>
  <c r="R263" i="26"/>
  <c r="T263" i="26"/>
  <c r="U263" i="26" s="1"/>
  <c r="R264" i="26" l="1"/>
  <c r="U264" i="26"/>
  <c r="F170" i="27" l="1"/>
  <c r="E79" i="27" l="1"/>
  <c r="E80" i="27"/>
  <c r="F28" i="24" l="1"/>
  <c r="O13" i="54" l="1"/>
  <c r="O18" i="54"/>
  <c r="O19" i="54"/>
  <c r="O20" i="54"/>
  <c r="Q170" i="51" l="1"/>
  <c r="J19" i="18"/>
  <c r="J18" i="18"/>
  <c r="O4" i="51"/>
  <c r="O5" i="51"/>
  <c r="O6" i="51"/>
  <c r="O7" i="51"/>
  <c r="O8" i="51"/>
  <c r="O9" i="51"/>
  <c r="O10" i="51"/>
  <c r="O11" i="51"/>
  <c r="O12" i="51"/>
  <c r="O13" i="51"/>
  <c r="O14" i="51"/>
  <c r="O15" i="51"/>
  <c r="O16" i="51"/>
  <c r="O17" i="51"/>
  <c r="O18" i="51"/>
  <c r="O19" i="51"/>
  <c r="O20" i="51"/>
  <c r="O21" i="51"/>
  <c r="O22" i="51"/>
  <c r="O23" i="51"/>
  <c r="O24" i="51"/>
  <c r="O25" i="51"/>
  <c r="O26" i="51"/>
  <c r="O27" i="51"/>
  <c r="O28" i="51"/>
  <c r="O29" i="51"/>
  <c r="O30" i="51"/>
  <c r="O31" i="51"/>
  <c r="O32" i="51"/>
  <c r="O33" i="51"/>
  <c r="O34" i="51"/>
  <c r="O35" i="51"/>
  <c r="O36" i="51"/>
  <c r="O37" i="51"/>
  <c r="O38" i="51"/>
  <c r="O39" i="51"/>
  <c r="O40" i="51"/>
  <c r="O41" i="51"/>
  <c r="O42" i="51"/>
  <c r="O43" i="51"/>
  <c r="O44" i="51"/>
  <c r="O45" i="51"/>
  <c r="O46" i="51"/>
  <c r="O47" i="51"/>
  <c r="O48" i="51"/>
  <c r="O49" i="51"/>
  <c r="O50" i="51"/>
  <c r="O51" i="51"/>
  <c r="O52" i="51"/>
  <c r="O53" i="51"/>
  <c r="O54" i="51"/>
  <c r="O55" i="51"/>
  <c r="O56" i="51"/>
  <c r="O57" i="51"/>
  <c r="O58" i="51"/>
  <c r="O59" i="51"/>
  <c r="O60" i="51"/>
  <c r="O61" i="51"/>
  <c r="O62" i="51"/>
  <c r="O63" i="51"/>
  <c r="O64" i="51"/>
  <c r="O65" i="51"/>
  <c r="O66" i="51"/>
  <c r="O67" i="51"/>
  <c r="O68" i="51"/>
  <c r="O69" i="51"/>
  <c r="O70" i="51"/>
  <c r="O71" i="51"/>
  <c r="O72" i="51"/>
  <c r="O73" i="51"/>
  <c r="O74" i="51"/>
  <c r="O75" i="51"/>
  <c r="O76" i="51"/>
  <c r="O77" i="51"/>
  <c r="O78" i="51"/>
  <c r="O79" i="51"/>
  <c r="O80" i="51"/>
  <c r="O81" i="51"/>
  <c r="O82" i="51"/>
  <c r="O83" i="51"/>
  <c r="O84" i="51"/>
  <c r="O85" i="51"/>
  <c r="O86" i="51"/>
  <c r="O87" i="51"/>
  <c r="O88" i="51"/>
  <c r="O89" i="51"/>
  <c r="O90" i="51"/>
  <c r="O91" i="51"/>
  <c r="O92" i="51"/>
  <c r="O93" i="51"/>
  <c r="O94" i="51"/>
  <c r="O95" i="51"/>
  <c r="O96" i="51"/>
  <c r="O97" i="51"/>
  <c r="O98" i="51"/>
  <c r="O99" i="51"/>
  <c r="O100" i="51"/>
  <c r="O101" i="51"/>
  <c r="O102" i="51"/>
  <c r="O103" i="51"/>
  <c r="O104" i="51"/>
  <c r="O105" i="51"/>
  <c r="O106" i="51"/>
  <c r="O107" i="51"/>
  <c r="O108" i="51"/>
  <c r="O109" i="51"/>
  <c r="O110" i="51"/>
  <c r="O111" i="51"/>
  <c r="O112" i="51"/>
  <c r="O113" i="51"/>
  <c r="O114" i="51"/>
  <c r="O115" i="51"/>
  <c r="O117" i="51"/>
  <c r="O118" i="51"/>
  <c r="O119" i="51"/>
  <c r="O120" i="51"/>
  <c r="O121" i="51"/>
  <c r="O122" i="51"/>
  <c r="O123" i="51"/>
  <c r="O124" i="51"/>
  <c r="O125" i="51"/>
  <c r="O126" i="51"/>
  <c r="O127" i="51"/>
  <c r="O128" i="51"/>
  <c r="O129" i="51"/>
  <c r="O130" i="51"/>
  <c r="O131" i="51"/>
  <c r="O132" i="51"/>
  <c r="O133" i="51"/>
  <c r="O134" i="51"/>
  <c r="O135" i="51"/>
  <c r="O136" i="51"/>
  <c r="O137" i="51"/>
  <c r="O139" i="51"/>
  <c r="O140" i="51"/>
  <c r="O141" i="51"/>
  <c r="O142" i="51"/>
  <c r="O143" i="51"/>
  <c r="O144" i="51"/>
  <c r="O145" i="51"/>
  <c r="O146" i="51"/>
  <c r="O147" i="51"/>
  <c r="O148" i="51"/>
  <c r="O149" i="51"/>
  <c r="O150" i="51"/>
  <c r="O151" i="51"/>
  <c r="O152" i="51"/>
  <c r="O153" i="51"/>
  <c r="O154" i="51"/>
  <c r="O155" i="51"/>
  <c r="O156" i="51"/>
  <c r="O157" i="51"/>
  <c r="O158" i="51"/>
  <c r="O159" i="51"/>
  <c r="O160" i="51"/>
  <c r="O161" i="51"/>
  <c r="O162" i="51"/>
  <c r="O163" i="51"/>
  <c r="O164" i="51"/>
  <c r="O165" i="51"/>
  <c r="O166" i="51"/>
  <c r="O167" i="51"/>
  <c r="O168" i="51"/>
  <c r="O170" i="51"/>
  <c r="O171" i="51"/>
  <c r="O172" i="51"/>
  <c r="O173" i="51"/>
  <c r="O174" i="51"/>
  <c r="O175" i="51"/>
  <c r="O176" i="51"/>
  <c r="O177" i="51"/>
  <c r="O178" i="51"/>
  <c r="O179" i="51"/>
  <c r="O180" i="51"/>
  <c r="O181" i="51"/>
  <c r="O182" i="51"/>
  <c r="O183" i="51"/>
  <c r="O184" i="51"/>
  <c r="O185" i="51"/>
  <c r="O186" i="51"/>
  <c r="O187" i="51"/>
  <c r="O188" i="51"/>
  <c r="O189" i="51"/>
  <c r="O190" i="51"/>
  <c r="O191" i="51"/>
  <c r="O192" i="51"/>
  <c r="O193" i="51"/>
  <c r="O194" i="51"/>
  <c r="O195" i="51"/>
  <c r="O196" i="51"/>
  <c r="O197" i="51"/>
  <c r="O198" i="51"/>
  <c r="O199" i="51"/>
  <c r="O201" i="51"/>
  <c r="O202" i="51"/>
  <c r="O203" i="51"/>
  <c r="O204" i="51"/>
  <c r="O205" i="51"/>
  <c r="O206" i="51"/>
  <c r="O207" i="51"/>
  <c r="O208" i="51"/>
  <c r="O209" i="51"/>
  <c r="O210" i="51"/>
  <c r="O211" i="51"/>
  <c r="O212" i="51"/>
  <c r="O213" i="51"/>
  <c r="O214" i="51"/>
  <c r="O215" i="51"/>
  <c r="O216" i="51"/>
  <c r="O217" i="51"/>
  <c r="O218" i="51"/>
  <c r="O219" i="51"/>
  <c r="O220" i="51"/>
  <c r="O221" i="51"/>
  <c r="O222" i="51"/>
  <c r="O223" i="51"/>
  <c r="O224" i="51"/>
  <c r="O225" i="51"/>
  <c r="O226" i="51"/>
  <c r="O227" i="51"/>
  <c r="O228" i="51"/>
  <c r="O229" i="51"/>
  <c r="O230" i="51"/>
  <c r="O231" i="51"/>
  <c r="O232" i="51"/>
  <c r="O233" i="51"/>
  <c r="O234" i="51"/>
  <c r="O235" i="51"/>
  <c r="O236" i="51"/>
  <c r="O237" i="51"/>
  <c r="O238" i="51"/>
  <c r="O239" i="51"/>
  <c r="O240" i="51"/>
  <c r="O241" i="51"/>
  <c r="O242" i="51"/>
  <c r="O243" i="51"/>
  <c r="O244" i="51"/>
  <c r="O245" i="51"/>
  <c r="O246" i="51"/>
  <c r="O247" i="51"/>
  <c r="O251" i="51"/>
  <c r="O252" i="51"/>
  <c r="O253" i="51"/>
  <c r="O254" i="51"/>
  <c r="O255" i="51"/>
  <c r="O256" i="51"/>
  <c r="O257" i="51"/>
  <c r="O258" i="51"/>
  <c r="O259" i="51"/>
  <c r="O260" i="51"/>
  <c r="O261" i="51"/>
  <c r="O262" i="51"/>
  <c r="O3" i="51"/>
  <c r="P170" i="51" l="1"/>
  <c r="H10" i="24" l="1"/>
  <c r="H11" i="24"/>
  <c r="H14" i="24"/>
  <c r="D10" i="24"/>
  <c r="D11" i="24"/>
  <c r="D14" i="24"/>
  <c r="D5" i="24"/>
  <c r="D6" i="24"/>
  <c r="D7" i="24"/>
  <c r="D8" i="24"/>
  <c r="H5" i="24"/>
  <c r="H6" i="24"/>
  <c r="H7" i="24"/>
  <c r="H8" i="24"/>
  <c r="F4" i="28"/>
  <c r="F5" i="28"/>
  <c r="F6" i="28"/>
  <c r="F7" i="28"/>
  <c r="F3" i="28"/>
  <c r="Q141" i="51" l="1"/>
  <c r="I6" i="18" s="1"/>
  <c r="G28" i="54"/>
  <c r="H246" i="32"/>
  <c r="H140" i="34"/>
  <c r="I83" i="34"/>
  <c r="H37" i="34"/>
  <c r="G36" i="29"/>
  <c r="H36" i="29" l="1"/>
  <c r="I36" i="29"/>
  <c r="G25" i="29"/>
  <c r="E28" i="24"/>
  <c r="H9" i="24"/>
  <c r="H4" i="24"/>
  <c r="D3" i="24"/>
  <c r="H3" i="24"/>
  <c r="E78" i="24"/>
  <c r="F138" i="27"/>
  <c r="F137" i="27"/>
  <c r="F130" i="27"/>
  <c r="F127" i="27"/>
  <c r="F126" i="27"/>
  <c r="F123" i="27"/>
  <c r="F122" i="27"/>
  <c r="F117" i="27"/>
  <c r="E117" i="27"/>
  <c r="F112" i="27"/>
  <c r="F101" i="27"/>
  <c r="E99" i="27"/>
  <c r="F99" i="27"/>
  <c r="F96" i="27"/>
  <c r="E96" i="27"/>
  <c r="F94" i="27"/>
  <c r="F91" i="27"/>
  <c r="E91" i="27"/>
  <c r="F89" i="27"/>
  <c r="E89" i="27"/>
  <c r="E84" i="27"/>
  <c r="E170" i="27"/>
  <c r="F168" i="27"/>
  <c r="E168" i="27"/>
  <c r="E165" i="27"/>
  <c r="F165" i="27"/>
  <c r="E166" i="27"/>
  <c r="F166" i="27"/>
  <c r="F164" i="27"/>
  <c r="E164" i="27"/>
  <c r="F68" i="27"/>
  <c r="E68" i="27"/>
  <c r="E57" i="27"/>
  <c r="E56" i="27"/>
  <c r="F60" i="27"/>
  <c r="F61" i="27"/>
  <c r="F59" i="27"/>
  <c r="F57" i="27"/>
  <c r="F56" i="27"/>
  <c r="F41" i="27"/>
  <c r="E41" i="27" s="1"/>
  <c r="F42" i="27"/>
  <c r="E42" i="27" s="1"/>
  <c r="F43" i="27"/>
  <c r="E43" i="27" s="1"/>
  <c r="F44" i="27"/>
  <c r="E44" i="27" s="1"/>
  <c r="F40" i="27"/>
  <c r="E40" i="27" s="1"/>
  <c r="F35" i="27"/>
  <c r="E35" i="27" s="1"/>
  <c r="F34" i="27"/>
  <c r="E34" i="27" s="1"/>
  <c r="F24" i="27"/>
  <c r="E24" i="27" s="1"/>
  <c r="F23" i="27"/>
  <c r="E23" i="27" s="1"/>
  <c r="F18" i="27"/>
  <c r="E18" i="27" s="1"/>
  <c r="F19" i="27"/>
  <c r="E19" i="27" s="1"/>
  <c r="F16" i="27"/>
  <c r="E16" i="27" s="1"/>
  <c r="F12" i="27"/>
  <c r="E12" i="27" s="1"/>
  <c r="F118" i="27" l="1"/>
  <c r="F116" i="27"/>
  <c r="F115" i="27"/>
  <c r="E118" i="27"/>
  <c r="E116" i="27"/>
  <c r="E115" i="27"/>
  <c r="L41" i="22"/>
  <c r="K41" i="22"/>
  <c r="J41" i="22"/>
  <c r="P180" i="51" l="1"/>
  <c r="Q180" i="51"/>
  <c r="Q262" i="51"/>
  <c r="L77" i="73" s="1"/>
  <c r="Q77" i="73" s="1"/>
  <c r="P262" i="51"/>
  <c r="K77" i="73" s="1"/>
  <c r="P77" i="73" s="1"/>
  <c r="K79" i="65" l="1"/>
  <c r="P79" i="65" s="1"/>
  <c r="J73" i="43"/>
  <c r="N73" i="43" s="1"/>
  <c r="K73" i="43"/>
  <c r="O73" i="43" s="1"/>
  <c r="L79" i="65"/>
  <c r="Q79" i="65" s="1"/>
  <c r="L84" i="70"/>
  <c r="Q84" i="70" s="1"/>
  <c r="K84" i="70"/>
  <c r="P84" i="70" s="1"/>
  <c r="K46" i="57"/>
  <c r="M19" i="32"/>
  <c r="M94" i="32"/>
  <c r="L19" i="32"/>
  <c r="R19" i="32" s="1"/>
  <c r="L94" i="32"/>
  <c r="R94" i="32" s="1"/>
  <c r="J46" i="57"/>
  <c r="O46" i="57" s="1"/>
  <c r="O12" i="54"/>
  <c r="K188" i="32"/>
  <c r="K184" i="32"/>
  <c r="K180" i="32"/>
  <c r="K179" i="32"/>
  <c r="K178" i="32"/>
  <c r="J188" i="32"/>
  <c r="I188" i="32"/>
  <c r="G6" i="54" l="1"/>
  <c r="G8" i="54"/>
  <c r="G9" i="54"/>
  <c r="G10" i="54"/>
  <c r="G11" i="54"/>
  <c r="G12" i="54"/>
  <c r="H12" i="54" s="1"/>
  <c r="G15" i="54"/>
  <c r="H15" i="54" s="1"/>
  <c r="G16" i="54"/>
  <c r="G17" i="54"/>
  <c r="G18" i="54"/>
  <c r="H18" i="54" s="1"/>
  <c r="G19" i="54"/>
  <c r="H19" i="54" s="1"/>
  <c r="G21" i="54"/>
  <c r="G22" i="54"/>
  <c r="G23" i="54"/>
  <c r="G24" i="54"/>
  <c r="G27" i="54"/>
  <c r="G13" i="54"/>
  <c r="H13" i="54" s="1"/>
  <c r="G14" i="54" l="1"/>
  <c r="G26" i="54"/>
  <c r="O28" i="54"/>
  <c r="L12" i="54" l="1"/>
  <c r="P12" i="54" s="1"/>
  <c r="O10" i="54"/>
  <c r="N33" i="54"/>
  <c r="L25" i="54"/>
  <c r="L24" i="54"/>
  <c r="L23" i="54"/>
  <c r="L21" i="54"/>
  <c r="L19" i="54"/>
  <c r="P19" i="54" s="1"/>
  <c r="L18" i="54"/>
  <c r="P18" i="54" s="1"/>
  <c r="L17" i="54"/>
  <c r="L16" i="54"/>
  <c r="L15" i="54"/>
  <c r="P15" i="54" s="1"/>
  <c r="L6" i="54"/>
  <c r="H28" i="54"/>
  <c r="F28" i="54"/>
  <c r="N28" i="54" s="1"/>
  <c r="R28" i="54" s="1"/>
  <c r="F27" i="54"/>
  <c r="N27" i="54" s="1"/>
  <c r="F26" i="54"/>
  <c r="N26" i="54" s="1"/>
  <c r="N25" i="54"/>
  <c r="M25" i="54"/>
  <c r="N24" i="54"/>
  <c r="M24" i="54"/>
  <c r="N23" i="54"/>
  <c r="M23" i="54"/>
  <c r="F22" i="54"/>
  <c r="N22" i="54" s="1"/>
  <c r="N21" i="54"/>
  <c r="M21" i="54"/>
  <c r="F20" i="54"/>
  <c r="N19" i="54"/>
  <c r="R19" i="54" s="1"/>
  <c r="M19" i="54"/>
  <c r="Q19" i="54" s="1"/>
  <c r="N18" i="54"/>
  <c r="R18" i="54" s="1"/>
  <c r="M18" i="54"/>
  <c r="Q18" i="54" s="1"/>
  <c r="N17" i="54"/>
  <c r="M17" i="54"/>
  <c r="N16" i="54"/>
  <c r="M16" i="54"/>
  <c r="N15" i="54"/>
  <c r="R15" i="54" s="1"/>
  <c r="M15" i="54"/>
  <c r="Q15" i="54" s="1"/>
  <c r="F14" i="54"/>
  <c r="N14" i="54" s="1"/>
  <c r="F13" i="54"/>
  <c r="N13" i="54" s="1"/>
  <c r="R13" i="54" s="1"/>
  <c r="N12" i="54"/>
  <c r="R12" i="54" s="1"/>
  <c r="M12" i="54"/>
  <c r="Q12" i="54" s="1"/>
  <c r="F11" i="54"/>
  <c r="M11" i="54" s="1"/>
  <c r="H10" i="54"/>
  <c r="F10" i="54"/>
  <c r="M10" i="54" s="1"/>
  <c r="Q10" i="54" s="1"/>
  <c r="F9" i="54"/>
  <c r="M9" i="54" s="1"/>
  <c r="F8" i="54"/>
  <c r="M8" i="54" s="1"/>
  <c r="F7" i="54"/>
  <c r="N6" i="54"/>
  <c r="M6" i="54"/>
  <c r="F5" i="54"/>
  <c r="F4" i="54"/>
  <c r="M7" i="54" l="1"/>
  <c r="G7" i="54"/>
  <c r="N4" i="54"/>
  <c r="G4" i="54"/>
  <c r="N5" i="54"/>
  <c r="G5" i="54"/>
  <c r="M20" i="54"/>
  <c r="Q20" i="54" s="1"/>
  <c r="G20" i="54"/>
  <c r="H20" i="54" s="1"/>
  <c r="N10" i="54"/>
  <c r="R10" i="54" s="1"/>
  <c r="M22" i="54"/>
  <c r="L4" i="54"/>
  <c r="L8" i="54"/>
  <c r="L10" i="54"/>
  <c r="P10" i="54" s="1"/>
  <c r="L14" i="54"/>
  <c r="L20" i="54"/>
  <c r="P20" i="54" s="1"/>
  <c r="L22" i="54"/>
  <c r="L26" i="54"/>
  <c r="L28" i="54"/>
  <c r="P28" i="54" s="1"/>
  <c r="M4" i="54"/>
  <c r="M5" i="54"/>
  <c r="M13" i="54"/>
  <c r="Q13" i="54" s="1"/>
  <c r="M14" i="54"/>
  <c r="M26" i="54"/>
  <c r="M27" i="54"/>
  <c r="L5" i="54"/>
  <c r="L7" i="54"/>
  <c r="L9" i="54"/>
  <c r="L11" i="54"/>
  <c r="L13" i="54"/>
  <c r="P13" i="54" s="1"/>
  <c r="L27" i="54"/>
  <c r="M28" i="54"/>
  <c r="Q28" i="54" s="1"/>
  <c r="N7" i="54"/>
  <c r="N8" i="54"/>
  <c r="N9" i="54"/>
  <c r="N11" i="54"/>
  <c r="N20" i="54"/>
  <c r="R20" i="54" s="1"/>
  <c r="K71" i="34" l="1"/>
  <c r="K80" i="34"/>
  <c r="K76" i="34"/>
  <c r="K75" i="34"/>
  <c r="K74" i="34"/>
  <c r="P115" i="51"/>
  <c r="Q115" i="51"/>
  <c r="P141" i="51"/>
  <c r="H6" i="18" s="1"/>
  <c r="P126" i="51"/>
  <c r="Q126" i="51"/>
  <c r="H135" i="34" l="1"/>
  <c r="K79" i="34"/>
  <c r="H33" i="34"/>
  <c r="H237" i="32"/>
  <c r="K183" i="32"/>
  <c r="O158" i="32"/>
  <c r="O175" i="32"/>
  <c r="O177" i="32"/>
  <c r="O178" i="32"/>
  <c r="O179" i="32"/>
  <c r="O182" i="32"/>
  <c r="O183" i="32"/>
  <c r="O184" i="32"/>
  <c r="N170" i="51" l="1"/>
  <c r="N162" i="51"/>
  <c r="P162" i="51"/>
  <c r="Q162" i="51"/>
  <c r="N160" i="51"/>
  <c r="P160" i="51"/>
  <c r="Q160" i="51"/>
  <c r="N168" i="51"/>
  <c r="P168" i="51"/>
  <c r="Q168" i="51"/>
  <c r="N253" i="51"/>
  <c r="P253" i="51"/>
  <c r="Q253" i="51"/>
  <c r="N159" i="51"/>
  <c r="P159" i="51"/>
  <c r="Q159" i="51"/>
  <c r="N109" i="51"/>
  <c r="P109" i="51"/>
  <c r="Q109" i="51"/>
  <c r="N108" i="51"/>
  <c r="P108" i="51"/>
  <c r="Q108" i="51"/>
  <c r="Q167" i="51"/>
  <c r="P167" i="51"/>
  <c r="N167" i="51"/>
  <c r="N156" i="51"/>
  <c r="P156" i="51"/>
  <c r="Q156" i="51"/>
  <c r="N157" i="51"/>
  <c r="P157" i="51"/>
  <c r="Q157" i="51"/>
  <c r="N8" i="51"/>
  <c r="P8" i="51"/>
  <c r="Q8" i="51"/>
  <c r="N11" i="51"/>
  <c r="P11" i="51"/>
  <c r="Q11" i="51"/>
  <c r="N5" i="51"/>
  <c r="P5" i="51"/>
  <c r="K55" i="73" s="1"/>
  <c r="P55" i="73" s="1"/>
  <c r="Q5" i="51"/>
  <c r="L55" i="73" s="1"/>
  <c r="Q55" i="73" s="1"/>
  <c r="N166" i="51"/>
  <c r="P166" i="51"/>
  <c r="Q166" i="51"/>
  <c r="N256" i="51"/>
  <c r="P256" i="51"/>
  <c r="Q256" i="51"/>
  <c r="N257" i="51"/>
  <c r="P257" i="51"/>
  <c r="Q257" i="51"/>
  <c r="N258" i="51"/>
  <c r="P258" i="51"/>
  <c r="Q258" i="51"/>
  <c r="N175" i="51"/>
  <c r="P175" i="51"/>
  <c r="Q175" i="51"/>
  <c r="N176" i="51"/>
  <c r="P176" i="51"/>
  <c r="Q176" i="51"/>
  <c r="N165" i="51"/>
  <c r="P165" i="51"/>
  <c r="Q165" i="51"/>
  <c r="N161" i="51"/>
  <c r="P161" i="51"/>
  <c r="Q161" i="51"/>
  <c r="N177" i="51"/>
  <c r="P177" i="51"/>
  <c r="Q177" i="51"/>
  <c r="N99" i="51"/>
  <c r="P99" i="51"/>
  <c r="K51" i="73" s="1"/>
  <c r="P51" i="73" s="1"/>
  <c r="Q99" i="51"/>
  <c r="L51" i="73" s="1"/>
  <c r="Q51" i="73" s="1"/>
  <c r="N255" i="51"/>
  <c r="P255" i="51"/>
  <c r="Q255" i="51"/>
  <c r="N171" i="51"/>
  <c r="P171" i="51"/>
  <c r="Q171" i="51"/>
  <c r="N119" i="51"/>
  <c r="P119" i="51"/>
  <c r="Q119" i="51"/>
  <c r="N118" i="51"/>
  <c r="P118" i="51"/>
  <c r="Q118" i="51"/>
  <c r="N172" i="51"/>
  <c r="P172" i="51"/>
  <c r="Q172" i="51"/>
  <c r="N247" i="51"/>
  <c r="P247" i="51"/>
  <c r="Q247" i="51"/>
  <c r="N158" i="51"/>
  <c r="P158" i="51"/>
  <c r="Q158" i="51"/>
  <c r="N164" i="51"/>
  <c r="P164" i="51"/>
  <c r="K6" i="73" s="1"/>
  <c r="P6" i="73" s="1"/>
  <c r="Q164" i="51"/>
  <c r="L6" i="73" s="1"/>
  <c r="Q6" i="73" s="1"/>
  <c r="N173" i="51"/>
  <c r="P173" i="51"/>
  <c r="Q173" i="51"/>
  <c r="N251" i="51"/>
  <c r="P251" i="51"/>
  <c r="Q251" i="51"/>
  <c r="N252" i="51"/>
  <c r="P252" i="51"/>
  <c r="Q252" i="51"/>
  <c r="N155" i="51"/>
  <c r="P155" i="51"/>
  <c r="Q155" i="51"/>
  <c r="N137" i="51"/>
  <c r="P137" i="51"/>
  <c r="Q137" i="51"/>
  <c r="N254" i="51"/>
  <c r="P254" i="51"/>
  <c r="Q254" i="51"/>
  <c r="F257" i="51"/>
  <c r="G257" i="51"/>
  <c r="F258" i="51"/>
  <c r="G258" i="51"/>
  <c r="F175" i="51"/>
  <c r="G175" i="51"/>
  <c r="F176" i="51"/>
  <c r="G176" i="51"/>
  <c r="F165" i="51"/>
  <c r="G165" i="51"/>
  <c r="F161" i="51"/>
  <c r="G161" i="51"/>
  <c r="F177" i="51"/>
  <c r="G177" i="51"/>
  <c r="F99" i="51"/>
  <c r="G99" i="51"/>
  <c r="F255" i="51"/>
  <c r="G255" i="51"/>
  <c r="F171" i="51"/>
  <c r="G171" i="51"/>
  <c r="F119" i="51"/>
  <c r="G119" i="51"/>
  <c r="F118" i="51"/>
  <c r="G118" i="51"/>
  <c r="F172" i="51"/>
  <c r="G172" i="51"/>
  <c r="F247" i="51"/>
  <c r="G247" i="51"/>
  <c r="F158" i="51"/>
  <c r="G158" i="51"/>
  <c r="F164" i="51"/>
  <c r="G164" i="51"/>
  <c r="F173" i="51"/>
  <c r="G173" i="51"/>
  <c r="F251" i="51"/>
  <c r="G251" i="51"/>
  <c r="F252" i="51"/>
  <c r="G252" i="51"/>
  <c r="F155" i="51"/>
  <c r="G155" i="51"/>
  <c r="F137" i="51"/>
  <c r="G137" i="51"/>
  <c r="F254" i="51"/>
  <c r="G254" i="51"/>
  <c r="F156" i="51"/>
  <c r="G156" i="51"/>
  <c r="F157" i="51"/>
  <c r="G157" i="51"/>
  <c r="F8" i="51"/>
  <c r="G8" i="51"/>
  <c r="F11" i="51"/>
  <c r="G11" i="51"/>
  <c r="F5" i="51"/>
  <c r="G5" i="51"/>
  <c r="F166" i="51"/>
  <c r="G166" i="51"/>
  <c r="F256" i="51"/>
  <c r="G256" i="51"/>
  <c r="F241" i="51"/>
  <c r="G241" i="51"/>
  <c r="F242" i="51"/>
  <c r="G242" i="51"/>
  <c r="F243" i="51"/>
  <c r="G243" i="51"/>
  <c r="F244" i="51"/>
  <c r="G244" i="51"/>
  <c r="F167" i="51"/>
  <c r="G167" i="51"/>
  <c r="F162" i="51"/>
  <c r="G162" i="51"/>
  <c r="F160" i="51"/>
  <c r="G160" i="51"/>
  <c r="F168" i="51"/>
  <c r="G168" i="51"/>
  <c r="F253" i="51"/>
  <c r="G253" i="51"/>
  <c r="F159" i="51"/>
  <c r="G159" i="51"/>
  <c r="F109" i="51"/>
  <c r="G109" i="51"/>
  <c r="F108" i="51"/>
  <c r="G108" i="51"/>
  <c r="F240" i="51"/>
  <c r="G240" i="51"/>
  <c r="F170" i="51"/>
  <c r="G170" i="51"/>
  <c r="F245" i="51"/>
  <c r="G245" i="51"/>
  <c r="L6" i="65" l="1"/>
  <c r="Q6" i="65" s="1"/>
  <c r="L6" i="70"/>
  <c r="Q6" i="70" s="1"/>
  <c r="K6" i="65"/>
  <c r="P6" i="65" s="1"/>
  <c r="K6" i="70"/>
  <c r="P6" i="70" s="1"/>
  <c r="Q8" i="70"/>
  <c r="Q8" i="65"/>
  <c r="Q5" i="70"/>
  <c r="Q5" i="65"/>
  <c r="P9" i="70"/>
  <c r="P9" i="65"/>
  <c r="P7" i="70"/>
  <c r="P7" i="65"/>
  <c r="P8" i="70"/>
  <c r="P8" i="65"/>
  <c r="P5" i="70"/>
  <c r="P5" i="65"/>
  <c r="Q10" i="70"/>
  <c r="Q10" i="65"/>
  <c r="Q9" i="70"/>
  <c r="Q9" i="65"/>
  <c r="P10" i="65"/>
  <c r="P10" i="70"/>
  <c r="Q7" i="65"/>
  <c r="Q7" i="70"/>
  <c r="K21" i="57"/>
  <c r="K55" i="70"/>
  <c r="P55" i="70" s="1"/>
  <c r="L54" i="65"/>
  <c r="Q54" i="65" s="1"/>
  <c r="L58" i="70"/>
  <c r="Q58" i="70" s="1"/>
  <c r="K58" i="70"/>
  <c r="P58" i="70" s="1"/>
  <c r="K45" i="57"/>
  <c r="L55" i="70"/>
  <c r="Q55" i="70" s="1"/>
  <c r="M17" i="32"/>
  <c r="Q26" i="65"/>
  <c r="M9" i="32"/>
  <c r="L51" i="65"/>
  <c r="Q51" i="65" s="1"/>
  <c r="L9" i="32"/>
  <c r="R9" i="32" s="1"/>
  <c r="K51" i="65"/>
  <c r="P51" i="65" s="1"/>
  <c r="K54" i="65"/>
  <c r="P54" i="65" s="1"/>
  <c r="L17" i="32"/>
  <c r="R17" i="32" s="1"/>
  <c r="P26" i="65"/>
  <c r="J45" i="57"/>
  <c r="O45" i="57" s="1"/>
  <c r="J21" i="57"/>
  <c r="O21" i="57" s="1"/>
  <c r="O17" i="54"/>
  <c r="R17" i="54"/>
  <c r="Q17" i="54"/>
  <c r="P17" i="54"/>
  <c r="H17" i="54"/>
  <c r="F193" i="51"/>
  <c r="G193" i="51"/>
  <c r="F259" i="51"/>
  <c r="G259" i="51"/>
  <c r="G49" i="26" l="1"/>
  <c r="H49" i="26"/>
  <c r="G50" i="26"/>
  <c r="H50" i="26"/>
  <c r="G51" i="26"/>
  <c r="H51" i="26"/>
  <c r="G52" i="26"/>
  <c r="H52" i="26"/>
  <c r="G53" i="26"/>
  <c r="H53" i="26"/>
  <c r="G54" i="26"/>
  <c r="H54" i="26"/>
  <c r="B37" i="34" l="1"/>
  <c r="K175" i="32" l="1"/>
  <c r="K83" i="34" l="1"/>
  <c r="K181" i="32"/>
  <c r="J83" i="34" l="1"/>
  <c r="I17" i="34"/>
  <c r="L14" i="22" l="1"/>
  <c r="L13" i="22"/>
  <c r="L12" i="22"/>
  <c r="L11" i="22"/>
  <c r="L10" i="22"/>
  <c r="L9" i="22"/>
  <c r="L8" i="22"/>
  <c r="L7" i="22"/>
  <c r="L6" i="22"/>
  <c r="L5" i="22"/>
  <c r="L4" i="22"/>
  <c r="D85" i="22"/>
  <c r="E85" i="22"/>
  <c r="F85" i="22"/>
  <c r="D41" i="22"/>
  <c r="E41" i="22"/>
  <c r="F41" i="22"/>
  <c r="D75" i="7"/>
  <c r="E75" i="7"/>
  <c r="F75" i="7"/>
  <c r="D75" i="6"/>
  <c r="E75" i="6"/>
  <c r="F75" i="6"/>
  <c r="D35" i="6"/>
  <c r="E35" i="6"/>
  <c r="F35" i="6"/>
  <c r="B22" i="4"/>
  <c r="C22" i="4"/>
  <c r="D22" i="4"/>
  <c r="C23" i="15"/>
  <c r="E23" i="15"/>
  <c r="D23" i="15"/>
  <c r="G262" i="51" l="1"/>
  <c r="F262" i="51"/>
  <c r="Q261" i="51"/>
  <c r="N261" i="51"/>
  <c r="G261" i="51"/>
  <c r="F261" i="51"/>
  <c r="Q260" i="51"/>
  <c r="N260" i="51"/>
  <c r="G260" i="51"/>
  <c r="F260" i="51"/>
  <c r="Q246" i="51"/>
  <c r="P246" i="51"/>
  <c r="N246" i="51"/>
  <c r="G246" i="51"/>
  <c r="F246" i="51"/>
  <c r="N239" i="51"/>
  <c r="G239" i="51"/>
  <c r="F239" i="51"/>
  <c r="N238" i="51"/>
  <c r="G238" i="51"/>
  <c r="F238" i="51"/>
  <c r="N237" i="51"/>
  <c r="G237" i="51"/>
  <c r="F237" i="51"/>
  <c r="N236" i="51"/>
  <c r="G236" i="51"/>
  <c r="F236" i="51"/>
  <c r="N235" i="51"/>
  <c r="G235" i="51"/>
  <c r="F235" i="51"/>
  <c r="N234" i="51"/>
  <c r="G234" i="51"/>
  <c r="F234" i="51"/>
  <c r="N233" i="51"/>
  <c r="G233" i="51"/>
  <c r="F233" i="51"/>
  <c r="Q232" i="51"/>
  <c r="P232" i="51"/>
  <c r="N232" i="51"/>
  <c r="G232" i="51"/>
  <c r="F232" i="51"/>
  <c r="Q231" i="51"/>
  <c r="P231" i="51"/>
  <c r="K42" i="73" s="1"/>
  <c r="P42" i="73" s="1"/>
  <c r="G231" i="51"/>
  <c r="F231" i="51"/>
  <c r="Q230" i="51"/>
  <c r="P230" i="51"/>
  <c r="G230" i="51"/>
  <c r="F230" i="51"/>
  <c r="Q229" i="51"/>
  <c r="K32" i="43" s="1"/>
  <c r="O32" i="43" s="1"/>
  <c r="G229" i="51"/>
  <c r="F229" i="51"/>
  <c r="Q228" i="51"/>
  <c r="L45" i="73" s="1"/>
  <c r="Q45" i="73" s="1"/>
  <c r="P228" i="51"/>
  <c r="N228" i="51"/>
  <c r="G228" i="51"/>
  <c r="F228" i="51"/>
  <c r="N227" i="51"/>
  <c r="G227" i="51"/>
  <c r="F227" i="51"/>
  <c r="N226" i="51"/>
  <c r="G226" i="51"/>
  <c r="F226" i="51"/>
  <c r="N225" i="51"/>
  <c r="G225" i="51"/>
  <c r="F225" i="51"/>
  <c r="N224" i="51"/>
  <c r="G224" i="51"/>
  <c r="F224" i="51"/>
  <c r="Q223" i="51"/>
  <c r="K8" i="43" s="1"/>
  <c r="O8" i="43" s="1"/>
  <c r="P223" i="51"/>
  <c r="J8" i="43" s="1"/>
  <c r="N8" i="43" s="1"/>
  <c r="N223" i="51"/>
  <c r="G223" i="51"/>
  <c r="F223" i="51"/>
  <c r="Q222" i="51"/>
  <c r="P222" i="51"/>
  <c r="N222" i="51"/>
  <c r="G222" i="51"/>
  <c r="F222" i="51"/>
  <c r="Q221" i="51"/>
  <c r="K21" i="43" s="1"/>
  <c r="O21" i="43" s="1"/>
  <c r="P221" i="51"/>
  <c r="J21" i="43" s="1"/>
  <c r="N21" i="43" s="1"/>
  <c r="N221" i="51"/>
  <c r="G221" i="51"/>
  <c r="F221" i="51"/>
  <c r="Q220" i="51"/>
  <c r="P220" i="51"/>
  <c r="N220" i="51"/>
  <c r="G220" i="51"/>
  <c r="F220" i="51"/>
  <c r="Q219" i="51"/>
  <c r="K35" i="43" s="1"/>
  <c r="O35" i="43" s="1"/>
  <c r="P219" i="51"/>
  <c r="J35" i="43" s="1"/>
  <c r="N35" i="43" s="1"/>
  <c r="N219" i="51"/>
  <c r="G219" i="51"/>
  <c r="F219" i="51"/>
  <c r="Q218" i="51"/>
  <c r="P218" i="51"/>
  <c r="J37" i="43" s="1"/>
  <c r="N37" i="43" s="1"/>
  <c r="N218" i="51"/>
  <c r="G218" i="51"/>
  <c r="F218" i="51"/>
  <c r="Q217" i="51"/>
  <c r="L38" i="73" s="1"/>
  <c r="Q38" i="73" s="1"/>
  <c r="P217" i="51"/>
  <c r="K38" i="73" s="1"/>
  <c r="P38" i="73" s="1"/>
  <c r="N217" i="51"/>
  <c r="G217" i="51"/>
  <c r="F217" i="51"/>
  <c r="Q216" i="51"/>
  <c r="P216" i="51"/>
  <c r="N216" i="51"/>
  <c r="G216" i="51"/>
  <c r="F216" i="51"/>
  <c r="Q215" i="51"/>
  <c r="P215" i="51"/>
  <c r="N215" i="51"/>
  <c r="G215" i="51"/>
  <c r="F215" i="51"/>
  <c r="Q214" i="51"/>
  <c r="P214" i="51"/>
  <c r="N214" i="51"/>
  <c r="G214" i="51"/>
  <c r="F214" i="51"/>
  <c r="Q213" i="51"/>
  <c r="P213" i="51"/>
  <c r="N213" i="51"/>
  <c r="G213" i="51"/>
  <c r="F213" i="51"/>
  <c r="Q212" i="51"/>
  <c r="P212" i="51"/>
  <c r="N212" i="51"/>
  <c r="G212" i="51"/>
  <c r="F212" i="51"/>
  <c r="Q211" i="51"/>
  <c r="P211" i="51"/>
  <c r="N211" i="51"/>
  <c r="G211" i="51"/>
  <c r="F211" i="51"/>
  <c r="N210" i="51"/>
  <c r="G210" i="51"/>
  <c r="F210" i="51"/>
  <c r="N209" i="51"/>
  <c r="G209" i="51"/>
  <c r="F209" i="51"/>
  <c r="N208" i="51"/>
  <c r="G208" i="51"/>
  <c r="F208" i="51"/>
  <c r="N207" i="51"/>
  <c r="G207" i="51"/>
  <c r="F207" i="51"/>
  <c r="N206" i="51"/>
  <c r="G206" i="51"/>
  <c r="F206" i="51"/>
  <c r="Q205" i="51"/>
  <c r="P205" i="51"/>
  <c r="N205" i="51"/>
  <c r="G205" i="51"/>
  <c r="F205" i="51"/>
  <c r="Q204" i="51"/>
  <c r="K47" i="57" s="1"/>
  <c r="P204" i="51"/>
  <c r="N204" i="51"/>
  <c r="G204" i="51"/>
  <c r="F204" i="51"/>
  <c r="Q203" i="51"/>
  <c r="P203" i="51"/>
  <c r="N203" i="51"/>
  <c r="G203" i="51"/>
  <c r="F203" i="51"/>
  <c r="N202" i="51"/>
  <c r="G202" i="51"/>
  <c r="F202" i="51"/>
  <c r="N201" i="51"/>
  <c r="G201" i="51"/>
  <c r="F201" i="51"/>
  <c r="Q199" i="51"/>
  <c r="K24" i="43" s="1"/>
  <c r="O24" i="43" s="1"/>
  <c r="P199" i="51"/>
  <c r="J24" i="43" s="1"/>
  <c r="N24" i="43" s="1"/>
  <c r="N199" i="51"/>
  <c r="G199" i="51"/>
  <c r="F199" i="51"/>
  <c r="Q198" i="51"/>
  <c r="P198" i="51"/>
  <c r="N198" i="51"/>
  <c r="G198" i="51"/>
  <c r="F198" i="51"/>
  <c r="N197" i="51"/>
  <c r="G197" i="51"/>
  <c r="F197" i="51"/>
  <c r="N196" i="51"/>
  <c r="G196" i="51"/>
  <c r="F196" i="51"/>
  <c r="N195" i="51"/>
  <c r="G195" i="51"/>
  <c r="F195" i="51"/>
  <c r="N194" i="51"/>
  <c r="G194" i="51"/>
  <c r="F194" i="51"/>
  <c r="N192" i="51"/>
  <c r="G192" i="51"/>
  <c r="F192" i="51"/>
  <c r="N191" i="51"/>
  <c r="G191" i="51"/>
  <c r="F191" i="51"/>
  <c r="N190" i="51"/>
  <c r="G190" i="51"/>
  <c r="F190" i="51"/>
  <c r="N189" i="51"/>
  <c r="G189" i="51"/>
  <c r="F189" i="51"/>
  <c r="N188" i="51"/>
  <c r="G188" i="51"/>
  <c r="F188" i="51"/>
  <c r="Q187" i="51"/>
  <c r="I15" i="18" s="1"/>
  <c r="P187" i="51"/>
  <c r="H15" i="18" s="1"/>
  <c r="N187" i="51"/>
  <c r="G187" i="51"/>
  <c r="F187" i="51"/>
  <c r="Q186" i="51"/>
  <c r="P186" i="51"/>
  <c r="N186" i="51"/>
  <c r="G186" i="51"/>
  <c r="F186" i="51"/>
  <c r="Q185" i="51"/>
  <c r="P185" i="51"/>
  <c r="N185" i="51"/>
  <c r="G185" i="51"/>
  <c r="Q184" i="51"/>
  <c r="P184" i="51"/>
  <c r="N184" i="51"/>
  <c r="G184" i="51"/>
  <c r="F184" i="51"/>
  <c r="Q183" i="51"/>
  <c r="P183" i="51"/>
  <c r="N183" i="51"/>
  <c r="G183" i="51"/>
  <c r="F183" i="51"/>
  <c r="Q182" i="51"/>
  <c r="P182" i="51"/>
  <c r="N182" i="51"/>
  <c r="G182" i="51"/>
  <c r="F182" i="51"/>
  <c r="Q181" i="51"/>
  <c r="P181" i="51"/>
  <c r="N181" i="51"/>
  <c r="G181" i="51"/>
  <c r="F181" i="51"/>
  <c r="N180" i="51"/>
  <c r="G180" i="51"/>
  <c r="F180" i="51"/>
  <c r="Q179" i="51"/>
  <c r="H137" i="9" s="1"/>
  <c r="P179" i="51"/>
  <c r="G137" i="9" s="1"/>
  <c r="N179" i="51"/>
  <c r="G179" i="51"/>
  <c r="F179" i="51"/>
  <c r="Q178" i="51"/>
  <c r="P178" i="51"/>
  <c r="N178" i="51"/>
  <c r="G178" i="51"/>
  <c r="F178" i="51"/>
  <c r="Q174" i="51"/>
  <c r="P174" i="51"/>
  <c r="N174" i="51"/>
  <c r="G174" i="51"/>
  <c r="F174" i="51"/>
  <c r="Q163" i="51"/>
  <c r="P163" i="51"/>
  <c r="N163" i="51"/>
  <c r="G163" i="51"/>
  <c r="F163" i="51"/>
  <c r="Q154" i="51"/>
  <c r="P154" i="51"/>
  <c r="N154" i="51"/>
  <c r="G154" i="51"/>
  <c r="F154" i="51"/>
  <c r="Q153" i="51"/>
  <c r="P153" i="51"/>
  <c r="N153" i="51"/>
  <c r="G153" i="51"/>
  <c r="F153" i="51"/>
  <c r="Q152" i="51"/>
  <c r="P152" i="51"/>
  <c r="N152" i="51"/>
  <c r="G152" i="51"/>
  <c r="F152" i="51"/>
  <c r="Q151" i="51"/>
  <c r="K34" i="43" s="1"/>
  <c r="O34" i="43" s="1"/>
  <c r="P151" i="51"/>
  <c r="J34" i="43" s="1"/>
  <c r="N34" i="43" s="1"/>
  <c r="G151" i="51"/>
  <c r="F151" i="51"/>
  <c r="Q150" i="51"/>
  <c r="P150" i="51"/>
  <c r="N150" i="51"/>
  <c r="G150" i="51"/>
  <c r="F150" i="51"/>
  <c r="Q149" i="51"/>
  <c r="K4" i="43" s="1"/>
  <c r="O4" i="43" s="1"/>
  <c r="P149" i="51"/>
  <c r="J4" i="43" s="1"/>
  <c r="N4" i="43" s="1"/>
  <c r="N149" i="51"/>
  <c r="G149" i="51"/>
  <c r="F149" i="51"/>
  <c r="Q148" i="51"/>
  <c r="I11" i="18" s="1"/>
  <c r="P148" i="51"/>
  <c r="H11" i="18" s="1"/>
  <c r="N148" i="51"/>
  <c r="G148" i="51"/>
  <c r="F148" i="51"/>
  <c r="Q147" i="51"/>
  <c r="K50" i="43" s="1"/>
  <c r="O50" i="43" s="1"/>
  <c r="P147" i="51"/>
  <c r="J50" i="43" s="1"/>
  <c r="N50" i="43" s="1"/>
  <c r="N147" i="51"/>
  <c r="G147" i="51"/>
  <c r="F147" i="51"/>
  <c r="Q146" i="51"/>
  <c r="L19" i="73" s="1"/>
  <c r="Q19" i="73" s="1"/>
  <c r="P146" i="51"/>
  <c r="K19" i="73" s="1"/>
  <c r="P19" i="73" s="1"/>
  <c r="N146" i="51"/>
  <c r="G146" i="51"/>
  <c r="F146" i="51"/>
  <c r="Q145" i="51"/>
  <c r="P145" i="51"/>
  <c r="N145" i="51"/>
  <c r="G145" i="51"/>
  <c r="F145" i="51"/>
  <c r="Q144" i="51"/>
  <c r="K23" i="43" s="1"/>
  <c r="O23" i="43" s="1"/>
  <c r="P144" i="51"/>
  <c r="J23" i="43" s="1"/>
  <c r="N23" i="43" s="1"/>
  <c r="N144" i="51"/>
  <c r="G144" i="51"/>
  <c r="F144" i="51"/>
  <c r="Q143" i="51"/>
  <c r="P143" i="51"/>
  <c r="N143" i="51"/>
  <c r="G143" i="51"/>
  <c r="F143" i="51"/>
  <c r="Q142" i="51"/>
  <c r="K31" i="43" s="1"/>
  <c r="O31" i="43" s="1"/>
  <c r="P142" i="51"/>
  <c r="J31" i="43" s="1"/>
  <c r="N31" i="43" s="1"/>
  <c r="G142" i="51"/>
  <c r="F142" i="51"/>
  <c r="N141" i="51"/>
  <c r="G141" i="51"/>
  <c r="F141" i="51"/>
  <c r="Q140" i="51"/>
  <c r="P140" i="51"/>
  <c r="N140" i="51"/>
  <c r="G140" i="51"/>
  <c r="F140" i="51"/>
  <c r="Q139" i="51"/>
  <c r="P139" i="51"/>
  <c r="N139" i="51"/>
  <c r="G139" i="51"/>
  <c r="F139" i="51"/>
  <c r="Q136" i="51"/>
  <c r="P136" i="51"/>
  <c r="N136" i="51"/>
  <c r="G136" i="51"/>
  <c r="F136" i="51"/>
  <c r="Q135" i="51"/>
  <c r="P135" i="51"/>
  <c r="N135" i="51"/>
  <c r="G135" i="51"/>
  <c r="F135" i="51"/>
  <c r="Q134" i="51"/>
  <c r="K48" i="43" s="1"/>
  <c r="O48" i="43" s="1"/>
  <c r="P134" i="51"/>
  <c r="J48" i="43" s="1"/>
  <c r="N48" i="43" s="1"/>
  <c r="N134" i="51"/>
  <c r="G134" i="51"/>
  <c r="F134" i="51"/>
  <c r="Q133" i="51"/>
  <c r="K51" i="43" s="1"/>
  <c r="O51" i="43" s="1"/>
  <c r="P133" i="51"/>
  <c r="J51" i="43" s="1"/>
  <c r="N51" i="43" s="1"/>
  <c r="N133" i="51"/>
  <c r="G133" i="51"/>
  <c r="F133" i="51"/>
  <c r="Q132" i="51"/>
  <c r="K49" i="43" s="1"/>
  <c r="O49" i="43" s="1"/>
  <c r="P132" i="51"/>
  <c r="J49" i="43" s="1"/>
  <c r="N49" i="43" s="1"/>
  <c r="N132" i="51"/>
  <c r="G132" i="51"/>
  <c r="F132" i="51"/>
  <c r="Q131" i="51"/>
  <c r="K47" i="43" s="1"/>
  <c r="O47" i="43" s="1"/>
  <c r="P131" i="51"/>
  <c r="J47" i="43" s="1"/>
  <c r="N47" i="43" s="1"/>
  <c r="N131" i="51"/>
  <c r="G131" i="51"/>
  <c r="F131" i="51"/>
  <c r="Q130" i="51"/>
  <c r="K38" i="43" s="1"/>
  <c r="O38" i="43" s="1"/>
  <c r="P130" i="51"/>
  <c r="J38" i="43" s="1"/>
  <c r="N38" i="43" s="1"/>
  <c r="N130" i="51"/>
  <c r="G130" i="51"/>
  <c r="F130" i="51"/>
  <c r="Q129" i="51"/>
  <c r="K45" i="43" s="1"/>
  <c r="O45" i="43" s="1"/>
  <c r="P129" i="51"/>
  <c r="J45" i="43" s="1"/>
  <c r="N45" i="43" s="1"/>
  <c r="N129" i="51"/>
  <c r="G129" i="51"/>
  <c r="F129" i="51"/>
  <c r="Q128" i="51"/>
  <c r="K39" i="43" s="1"/>
  <c r="O39" i="43" s="1"/>
  <c r="P128" i="51"/>
  <c r="J39" i="43" s="1"/>
  <c r="N39" i="43" s="1"/>
  <c r="N128" i="51"/>
  <c r="G128" i="51"/>
  <c r="F128" i="51"/>
  <c r="N127" i="51"/>
  <c r="P127" i="51"/>
  <c r="J46" i="43" s="1"/>
  <c r="N46" i="43" s="1"/>
  <c r="G127" i="51"/>
  <c r="F127" i="51"/>
  <c r="N126" i="51"/>
  <c r="G126" i="51"/>
  <c r="F126" i="51"/>
  <c r="N125" i="51"/>
  <c r="P125" i="51"/>
  <c r="G125" i="51"/>
  <c r="F125" i="51"/>
  <c r="N124" i="51"/>
  <c r="G124" i="51"/>
  <c r="F124" i="51"/>
  <c r="N123" i="51"/>
  <c r="G123" i="51"/>
  <c r="F123" i="51"/>
  <c r="Q122" i="51"/>
  <c r="K25" i="43" s="1"/>
  <c r="O25" i="43" s="1"/>
  <c r="P122" i="51"/>
  <c r="J25" i="43" s="1"/>
  <c r="N25" i="43" s="1"/>
  <c r="N122" i="51"/>
  <c r="G122" i="51"/>
  <c r="F122" i="51"/>
  <c r="Q121" i="51"/>
  <c r="K33" i="43" s="1"/>
  <c r="O33" i="43" s="1"/>
  <c r="G121" i="51"/>
  <c r="F121" i="51"/>
  <c r="Q120" i="51"/>
  <c r="P120" i="51"/>
  <c r="N120" i="51"/>
  <c r="G120" i="51"/>
  <c r="F120" i="51"/>
  <c r="Q117" i="51"/>
  <c r="P117" i="51"/>
  <c r="G120" i="9" s="1"/>
  <c r="N117" i="51"/>
  <c r="G117" i="51"/>
  <c r="F117" i="51"/>
  <c r="N115" i="51"/>
  <c r="G115" i="51"/>
  <c r="F115" i="51"/>
  <c r="Q114" i="51"/>
  <c r="P114" i="51"/>
  <c r="N114" i="51"/>
  <c r="G114" i="51"/>
  <c r="F114" i="51"/>
  <c r="Q113" i="51"/>
  <c r="K22" i="43" s="1"/>
  <c r="O22" i="43" s="1"/>
  <c r="P113" i="51"/>
  <c r="J22" i="43" s="1"/>
  <c r="N22" i="43" s="1"/>
  <c r="N113" i="51"/>
  <c r="G113" i="51"/>
  <c r="F113" i="51"/>
  <c r="Q112" i="51"/>
  <c r="O10" i="43" s="1"/>
  <c r="P112" i="51"/>
  <c r="N10" i="43" s="1"/>
  <c r="N112" i="51"/>
  <c r="G112" i="51"/>
  <c r="F112" i="51"/>
  <c r="Q111" i="51"/>
  <c r="P111" i="51"/>
  <c r="N111" i="51"/>
  <c r="G111" i="51"/>
  <c r="F111" i="51"/>
  <c r="Q110" i="51"/>
  <c r="K6" i="43" s="1"/>
  <c r="O6" i="43" s="1"/>
  <c r="P110" i="51"/>
  <c r="N110" i="51"/>
  <c r="G110" i="51"/>
  <c r="F110" i="51"/>
  <c r="Q107" i="51"/>
  <c r="P107" i="51"/>
  <c r="N107" i="51"/>
  <c r="G107" i="51"/>
  <c r="F107" i="51"/>
  <c r="Q106" i="51"/>
  <c r="P106" i="51"/>
  <c r="N106" i="51"/>
  <c r="G106" i="51"/>
  <c r="F106" i="51"/>
  <c r="Q105" i="51"/>
  <c r="P105" i="51"/>
  <c r="N105" i="51"/>
  <c r="G105" i="51"/>
  <c r="F105" i="51"/>
  <c r="Q104" i="51"/>
  <c r="K11" i="22" s="1"/>
  <c r="P104" i="51"/>
  <c r="J11" i="22" s="1"/>
  <c r="N104" i="51"/>
  <c r="G104" i="51"/>
  <c r="F104" i="51"/>
  <c r="Q103" i="51"/>
  <c r="K9" i="22" s="1"/>
  <c r="P103" i="51"/>
  <c r="J9" i="22" s="1"/>
  <c r="N103" i="51"/>
  <c r="G103" i="51"/>
  <c r="F103" i="51"/>
  <c r="Q102" i="51"/>
  <c r="P102" i="51"/>
  <c r="N102" i="51"/>
  <c r="G102" i="51"/>
  <c r="F102" i="51"/>
  <c r="Q101" i="51"/>
  <c r="P101" i="51"/>
  <c r="N101" i="51"/>
  <c r="G101" i="51"/>
  <c r="F101" i="51"/>
  <c r="Q100" i="51"/>
  <c r="P100" i="51"/>
  <c r="N100" i="51"/>
  <c r="G100" i="51"/>
  <c r="F100" i="51"/>
  <c r="Q98" i="51"/>
  <c r="P98" i="51"/>
  <c r="N98" i="51"/>
  <c r="G98" i="51"/>
  <c r="F98" i="51"/>
  <c r="N97" i="51"/>
  <c r="G97" i="51"/>
  <c r="F97" i="51"/>
  <c r="Q96" i="51"/>
  <c r="P96" i="51"/>
  <c r="N96" i="51"/>
  <c r="G96" i="51"/>
  <c r="F96" i="51"/>
  <c r="Q95" i="51"/>
  <c r="I12" i="18" s="1"/>
  <c r="P95" i="51"/>
  <c r="H12" i="18" s="1"/>
  <c r="N95" i="51"/>
  <c r="G95" i="51"/>
  <c r="F95" i="51"/>
  <c r="Q94" i="51"/>
  <c r="I5" i="18" s="1"/>
  <c r="P94" i="51"/>
  <c r="H5" i="18" s="1"/>
  <c r="N94" i="51"/>
  <c r="G94" i="51"/>
  <c r="F94" i="51"/>
  <c r="Q93" i="51"/>
  <c r="L54" i="73" s="1"/>
  <c r="Q54" i="73" s="1"/>
  <c r="P93" i="51"/>
  <c r="K54" i="73" s="1"/>
  <c r="P54" i="73" s="1"/>
  <c r="N93" i="51"/>
  <c r="G93" i="51"/>
  <c r="F93" i="51"/>
  <c r="Q92" i="51"/>
  <c r="P92" i="51"/>
  <c r="N92" i="51"/>
  <c r="G92" i="51"/>
  <c r="F92" i="51"/>
  <c r="Q91" i="51"/>
  <c r="P91" i="51"/>
  <c r="N91" i="51"/>
  <c r="G91" i="51"/>
  <c r="F91" i="51"/>
  <c r="Q90" i="51"/>
  <c r="P90" i="51"/>
  <c r="N90" i="51"/>
  <c r="G90" i="51"/>
  <c r="F90" i="51"/>
  <c r="Q89" i="51"/>
  <c r="P89" i="51"/>
  <c r="N89" i="51"/>
  <c r="G89" i="51"/>
  <c r="F89" i="51"/>
  <c r="Q88" i="51"/>
  <c r="P88" i="51"/>
  <c r="I31" i="34" s="1"/>
  <c r="N88" i="51"/>
  <c r="G88" i="51"/>
  <c r="F88" i="51"/>
  <c r="Q87" i="51"/>
  <c r="P87" i="51"/>
  <c r="N87" i="51"/>
  <c r="G87" i="51"/>
  <c r="F87" i="51"/>
  <c r="Q86" i="51"/>
  <c r="P86" i="51"/>
  <c r="N86" i="51"/>
  <c r="G86" i="51"/>
  <c r="F86" i="51"/>
  <c r="Q85" i="51"/>
  <c r="P85" i="51"/>
  <c r="N85" i="51"/>
  <c r="G85" i="51"/>
  <c r="F85" i="51"/>
  <c r="Q84" i="51"/>
  <c r="I13" i="18" s="1"/>
  <c r="P84" i="51"/>
  <c r="H13" i="18" s="1"/>
  <c r="N84" i="51"/>
  <c r="G84" i="51"/>
  <c r="F84" i="51"/>
  <c r="Q83" i="51"/>
  <c r="H126" i="9" s="1"/>
  <c r="P83" i="51"/>
  <c r="G126" i="9" s="1"/>
  <c r="N83" i="51"/>
  <c r="G83" i="51"/>
  <c r="F83" i="51"/>
  <c r="Q82" i="51"/>
  <c r="I18" i="18" s="1"/>
  <c r="P82" i="51"/>
  <c r="H18" i="18" s="1"/>
  <c r="N82" i="51"/>
  <c r="G82" i="51"/>
  <c r="F82" i="51"/>
  <c r="Q81" i="51"/>
  <c r="P81" i="51"/>
  <c r="N81" i="51"/>
  <c r="G81" i="51"/>
  <c r="F81" i="51"/>
  <c r="Q80" i="51"/>
  <c r="P80" i="51"/>
  <c r="N80" i="51"/>
  <c r="G80" i="51"/>
  <c r="F80" i="51"/>
  <c r="Q79" i="51"/>
  <c r="K10" i="22" s="1"/>
  <c r="P79" i="51"/>
  <c r="J10" i="22" s="1"/>
  <c r="N79" i="51"/>
  <c r="G79" i="51"/>
  <c r="F79" i="51"/>
  <c r="Q78" i="51"/>
  <c r="L57" i="73" s="1"/>
  <c r="Q57" i="73" s="1"/>
  <c r="P78" i="51"/>
  <c r="K57" i="73" s="1"/>
  <c r="P57" i="73" s="1"/>
  <c r="N78" i="51"/>
  <c r="G78" i="51"/>
  <c r="F78" i="51"/>
  <c r="Q77" i="51"/>
  <c r="P77" i="51"/>
  <c r="H6" i="29" s="1"/>
  <c r="N77" i="51"/>
  <c r="G77" i="51"/>
  <c r="F77" i="51"/>
  <c r="Q76" i="51"/>
  <c r="P76" i="51"/>
  <c r="J14" i="43" s="1"/>
  <c r="N14" i="43" s="1"/>
  <c r="N76" i="51"/>
  <c r="G76" i="51"/>
  <c r="F76" i="51"/>
  <c r="Q75" i="51"/>
  <c r="P75" i="51"/>
  <c r="N75" i="51"/>
  <c r="G75" i="51"/>
  <c r="F75" i="51"/>
  <c r="Q74" i="51"/>
  <c r="P74" i="51"/>
  <c r="N74" i="51"/>
  <c r="G74" i="51"/>
  <c r="F74" i="51"/>
  <c r="Q73" i="51"/>
  <c r="P73" i="51"/>
  <c r="N73" i="51"/>
  <c r="G73" i="51"/>
  <c r="F73" i="51"/>
  <c r="Q72" i="51"/>
  <c r="P72" i="51"/>
  <c r="N72" i="51"/>
  <c r="G72" i="51"/>
  <c r="F72" i="51"/>
  <c r="Q71" i="51"/>
  <c r="P71" i="51"/>
  <c r="N71" i="51"/>
  <c r="G71" i="51"/>
  <c r="F71" i="51"/>
  <c r="Q70" i="51"/>
  <c r="P70" i="51"/>
  <c r="N70" i="51"/>
  <c r="G70" i="51"/>
  <c r="F70" i="51"/>
  <c r="R89" i="32"/>
  <c r="Q69" i="51"/>
  <c r="P69" i="51"/>
  <c r="N69" i="51"/>
  <c r="G69" i="51"/>
  <c r="F69" i="51"/>
  <c r="Q68" i="51"/>
  <c r="P68" i="51"/>
  <c r="N68" i="51"/>
  <c r="G68" i="51"/>
  <c r="F68" i="51"/>
  <c r="Q67" i="51"/>
  <c r="P67" i="51"/>
  <c r="N67" i="51"/>
  <c r="G67" i="51"/>
  <c r="F67" i="51"/>
  <c r="Q66" i="51"/>
  <c r="P66" i="51"/>
  <c r="N66" i="51"/>
  <c r="G66" i="51"/>
  <c r="F66" i="51"/>
  <c r="N65" i="51"/>
  <c r="P65" i="51"/>
  <c r="G127" i="9" s="1"/>
  <c r="G65" i="51"/>
  <c r="F65" i="51"/>
  <c r="Q64" i="51"/>
  <c r="P64" i="51"/>
  <c r="N64" i="51"/>
  <c r="G64" i="51"/>
  <c r="F64" i="51"/>
  <c r="Q63" i="51"/>
  <c r="P63" i="51"/>
  <c r="N63" i="51"/>
  <c r="G63" i="51"/>
  <c r="F63" i="51"/>
  <c r="N62" i="51"/>
  <c r="P62" i="51"/>
  <c r="G62" i="51"/>
  <c r="F62" i="51"/>
  <c r="Q61" i="51"/>
  <c r="P61" i="51"/>
  <c r="N61" i="51"/>
  <c r="G61" i="51"/>
  <c r="F61" i="51"/>
  <c r="Q60" i="51"/>
  <c r="P60" i="51"/>
  <c r="N60" i="51"/>
  <c r="G60" i="51"/>
  <c r="F60" i="51"/>
  <c r="Q59" i="51"/>
  <c r="P59" i="51"/>
  <c r="N59" i="51"/>
  <c r="G59" i="51"/>
  <c r="F59" i="51"/>
  <c r="Q58" i="51"/>
  <c r="P58" i="51"/>
  <c r="N58" i="51"/>
  <c r="G58" i="51"/>
  <c r="F58" i="51"/>
  <c r="Q57" i="51"/>
  <c r="P57" i="51"/>
  <c r="N57" i="51"/>
  <c r="G57" i="51"/>
  <c r="F57" i="51"/>
  <c r="Q56" i="51"/>
  <c r="P56" i="51"/>
  <c r="N56" i="51"/>
  <c r="G56" i="51"/>
  <c r="F56" i="51"/>
  <c r="Q55" i="51"/>
  <c r="P55" i="51"/>
  <c r="N55" i="51"/>
  <c r="G55" i="51"/>
  <c r="F55" i="51"/>
  <c r="Q54" i="51"/>
  <c r="P54" i="51"/>
  <c r="N54" i="51"/>
  <c r="G54" i="51"/>
  <c r="F54" i="51"/>
  <c r="R90" i="32"/>
  <c r="Q53" i="51"/>
  <c r="H131" i="9" s="1"/>
  <c r="P53" i="51"/>
  <c r="G131" i="9" s="1"/>
  <c r="N53" i="51"/>
  <c r="G53" i="51"/>
  <c r="F53" i="51"/>
  <c r="Q52" i="51"/>
  <c r="P52" i="51"/>
  <c r="N52" i="51"/>
  <c r="G52" i="51"/>
  <c r="F52" i="51"/>
  <c r="Q51" i="51"/>
  <c r="H118" i="9" s="1"/>
  <c r="P51" i="51"/>
  <c r="G118" i="9" s="1"/>
  <c r="N51" i="51"/>
  <c r="G51" i="51"/>
  <c r="F51" i="51"/>
  <c r="Q50" i="51"/>
  <c r="P50" i="51"/>
  <c r="N50" i="51"/>
  <c r="G50" i="51"/>
  <c r="F50" i="51"/>
  <c r="Q49" i="51"/>
  <c r="P49" i="51"/>
  <c r="N49" i="51"/>
  <c r="G49" i="51"/>
  <c r="F49" i="51"/>
  <c r="Q48" i="51"/>
  <c r="P48" i="51"/>
  <c r="G110" i="9" s="1"/>
  <c r="N48" i="51"/>
  <c r="G48" i="51"/>
  <c r="F48" i="51"/>
  <c r="Q47" i="51"/>
  <c r="P47" i="51"/>
  <c r="G111" i="9" s="1"/>
  <c r="N47" i="51"/>
  <c r="G47" i="51"/>
  <c r="F47" i="51"/>
  <c r="Q46" i="51"/>
  <c r="P46" i="51"/>
  <c r="G112" i="9" s="1"/>
  <c r="N46" i="51"/>
  <c r="G46" i="51"/>
  <c r="F46" i="51"/>
  <c r="Q45" i="51"/>
  <c r="P45" i="51"/>
  <c r="N45" i="51"/>
  <c r="G45" i="51"/>
  <c r="F45" i="51"/>
  <c r="Q44" i="51"/>
  <c r="P44" i="51"/>
  <c r="N44" i="51"/>
  <c r="G44" i="51"/>
  <c r="F44" i="51"/>
  <c r="Q43" i="51"/>
  <c r="P43" i="51"/>
  <c r="H7" i="29" s="1"/>
  <c r="N43" i="51"/>
  <c r="G43" i="51"/>
  <c r="F43" i="51"/>
  <c r="Q42" i="51"/>
  <c r="P42" i="51"/>
  <c r="J16" i="43" s="1"/>
  <c r="N16" i="43" s="1"/>
  <c r="N42" i="51"/>
  <c r="G42" i="51"/>
  <c r="F42" i="51"/>
  <c r="Q41" i="51"/>
  <c r="P41" i="51"/>
  <c r="H5" i="29" s="1"/>
  <c r="N41" i="51"/>
  <c r="G41" i="51"/>
  <c r="F41" i="51"/>
  <c r="Q40" i="51"/>
  <c r="P40" i="51"/>
  <c r="J15" i="43" s="1"/>
  <c r="N15" i="43" s="1"/>
  <c r="N40" i="51"/>
  <c r="G40" i="51"/>
  <c r="F40" i="51"/>
  <c r="Q39" i="51"/>
  <c r="P39" i="51"/>
  <c r="N39" i="51"/>
  <c r="G39" i="51"/>
  <c r="F39" i="51"/>
  <c r="Q38" i="51"/>
  <c r="P38" i="51"/>
  <c r="N38" i="51"/>
  <c r="G38" i="51"/>
  <c r="F38" i="51"/>
  <c r="Q37" i="51"/>
  <c r="P37" i="51"/>
  <c r="N37" i="51"/>
  <c r="G37" i="51"/>
  <c r="F37" i="51"/>
  <c r="Q36" i="51"/>
  <c r="P36" i="51"/>
  <c r="N36" i="51"/>
  <c r="G36" i="51"/>
  <c r="F36" i="51"/>
  <c r="Q35" i="51"/>
  <c r="P35" i="51"/>
  <c r="H4" i="29" s="1"/>
  <c r="N35" i="51"/>
  <c r="G35" i="51"/>
  <c r="F35" i="51"/>
  <c r="Q34" i="51"/>
  <c r="P34" i="51"/>
  <c r="N34" i="51"/>
  <c r="G34" i="51"/>
  <c r="F34" i="51"/>
  <c r="Q33" i="51"/>
  <c r="P33" i="51"/>
  <c r="N33" i="51"/>
  <c r="G33" i="51"/>
  <c r="F33" i="51"/>
  <c r="Q32" i="51"/>
  <c r="P32" i="51"/>
  <c r="N32" i="51"/>
  <c r="G32" i="51"/>
  <c r="F32" i="51"/>
  <c r="Q31" i="51"/>
  <c r="P31" i="51"/>
  <c r="N31" i="51"/>
  <c r="G31" i="51"/>
  <c r="F31" i="51"/>
  <c r="Q30" i="51"/>
  <c r="P30" i="51"/>
  <c r="N30" i="51"/>
  <c r="G30" i="51"/>
  <c r="F30" i="51"/>
  <c r="Q29" i="51"/>
  <c r="I22" i="29" s="1"/>
  <c r="P29" i="51"/>
  <c r="H22" i="29" s="1"/>
  <c r="N29" i="51"/>
  <c r="G29" i="51"/>
  <c r="F29" i="51"/>
  <c r="Q28" i="51"/>
  <c r="P28" i="51"/>
  <c r="N28" i="51"/>
  <c r="G28" i="51"/>
  <c r="F28" i="51"/>
  <c r="Q27" i="51"/>
  <c r="P27" i="51"/>
  <c r="N27" i="51"/>
  <c r="G27" i="51"/>
  <c r="F27" i="51"/>
  <c r="Q26" i="51"/>
  <c r="P26" i="51"/>
  <c r="N26" i="51"/>
  <c r="G26" i="51"/>
  <c r="F26" i="51"/>
  <c r="Q25" i="51"/>
  <c r="P25" i="51"/>
  <c r="N25" i="51"/>
  <c r="G25" i="51"/>
  <c r="F25" i="51"/>
  <c r="Q24" i="51"/>
  <c r="P24" i="51"/>
  <c r="N24" i="51"/>
  <c r="G24" i="51"/>
  <c r="F24" i="51"/>
  <c r="Q23" i="51"/>
  <c r="P23" i="51"/>
  <c r="N23" i="51"/>
  <c r="G23" i="51"/>
  <c r="F23" i="51"/>
  <c r="Q22" i="51"/>
  <c r="P22" i="51"/>
  <c r="N22" i="51"/>
  <c r="G22" i="51"/>
  <c r="F22" i="51"/>
  <c r="Q21" i="51"/>
  <c r="P21" i="51"/>
  <c r="N21" i="51"/>
  <c r="G21" i="51"/>
  <c r="F21" i="51"/>
  <c r="Q20" i="51"/>
  <c r="P20" i="51"/>
  <c r="N20" i="51"/>
  <c r="G20" i="51"/>
  <c r="F20" i="51"/>
  <c r="Q19" i="51"/>
  <c r="P19" i="51"/>
  <c r="N19" i="51"/>
  <c r="G19" i="51"/>
  <c r="F19" i="51"/>
  <c r="Q18" i="51"/>
  <c r="P18" i="51"/>
  <c r="N18" i="51"/>
  <c r="G18" i="51"/>
  <c r="F18" i="51"/>
  <c r="Q17" i="51"/>
  <c r="H109" i="9" s="1"/>
  <c r="P17" i="51"/>
  <c r="G109" i="9" s="1"/>
  <c r="N17" i="51"/>
  <c r="G17" i="51"/>
  <c r="F17" i="51"/>
  <c r="Q16" i="51"/>
  <c r="P16" i="51"/>
  <c r="N16" i="51"/>
  <c r="G16" i="51"/>
  <c r="F16" i="51"/>
  <c r="Q15" i="51"/>
  <c r="P15" i="51"/>
  <c r="N15" i="51"/>
  <c r="G15" i="51"/>
  <c r="F15" i="51"/>
  <c r="Q14" i="51"/>
  <c r="P14" i="51"/>
  <c r="N14" i="51"/>
  <c r="G14" i="51"/>
  <c r="F14" i="51"/>
  <c r="Q13" i="51"/>
  <c r="P13" i="51"/>
  <c r="N13" i="51"/>
  <c r="G13" i="51"/>
  <c r="F13" i="51"/>
  <c r="Q12" i="51"/>
  <c r="P12" i="51"/>
  <c r="N12" i="51"/>
  <c r="G12" i="51"/>
  <c r="F12" i="51"/>
  <c r="Q10" i="51"/>
  <c r="P10" i="51"/>
  <c r="N10" i="51"/>
  <c r="G10" i="51"/>
  <c r="F10" i="51"/>
  <c r="Q9" i="51"/>
  <c r="P9" i="51"/>
  <c r="N9" i="51"/>
  <c r="G9" i="51"/>
  <c r="F9" i="51"/>
  <c r="Q7" i="51"/>
  <c r="P7" i="51"/>
  <c r="N7" i="51"/>
  <c r="G7" i="51"/>
  <c r="F7" i="51"/>
  <c r="Q6" i="51"/>
  <c r="P6" i="51"/>
  <c r="N6" i="51"/>
  <c r="G6" i="51"/>
  <c r="F6" i="51"/>
  <c r="Q4" i="51"/>
  <c r="P4" i="51"/>
  <c r="N4" i="51"/>
  <c r="G4" i="51"/>
  <c r="F4" i="51"/>
  <c r="Q3" i="51"/>
  <c r="I21" i="29" s="1"/>
  <c r="P3" i="51"/>
  <c r="H21" i="29" s="1"/>
  <c r="N3" i="51"/>
  <c r="G3" i="51"/>
  <c r="F3" i="51"/>
  <c r="I140" i="34"/>
  <c r="G140" i="34"/>
  <c r="F140" i="34"/>
  <c r="E140" i="34"/>
  <c r="D140" i="34"/>
  <c r="C140" i="34"/>
  <c r="B140" i="34"/>
  <c r="G139" i="34"/>
  <c r="G138" i="34"/>
  <c r="G137" i="34"/>
  <c r="H134" i="34"/>
  <c r="G133" i="34"/>
  <c r="G132" i="34"/>
  <c r="H129" i="34"/>
  <c r="G128" i="34"/>
  <c r="H127" i="34"/>
  <c r="H126" i="34" s="1"/>
  <c r="G126" i="34"/>
  <c r="G125" i="34"/>
  <c r="H125" i="34" s="1"/>
  <c r="G124" i="34"/>
  <c r="G123" i="34"/>
  <c r="G122" i="34"/>
  <c r="G121" i="34"/>
  <c r="G119" i="34"/>
  <c r="H119" i="34" s="1"/>
  <c r="H120" i="34" s="1"/>
  <c r="G118" i="34"/>
  <c r="H118" i="34" s="1"/>
  <c r="G117" i="34"/>
  <c r="G116" i="34"/>
  <c r="H116" i="34" s="1"/>
  <c r="I116" i="34" s="1"/>
  <c r="G115" i="34"/>
  <c r="G114" i="34"/>
  <c r="H114" i="34" s="1"/>
  <c r="G113" i="34"/>
  <c r="H113" i="34" s="1"/>
  <c r="G112" i="34"/>
  <c r="G111" i="34"/>
  <c r="G110" i="34"/>
  <c r="G109" i="34"/>
  <c r="H109" i="34" s="1"/>
  <c r="G108" i="34"/>
  <c r="H108" i="34" s="1"/>
  <c r="H107" i="34"/>
  <c r="G106" i="34"/>
  <c r="H106" i="34" s="1"/>
  <c r="I106" i="34" s="1"/>
  <c r="G105" i="34"/>
  <c r="H105" i="34" s="1"/>
  <c r="G103" i="34"/>
  <c r="P84" i="34"/>
  <c r="K82" i="34"/>
  <c r="G83" i="34"/>
  <c r="G82" i="34"/>
  <c r="G81" i="34"/>
  <c r="K78" i="34"/>
  <c r="K77" i="34"/>
  <c r="G77" i="34"/>
  <c r="G76" i="34"/>
  <c r="K73" i="34"/>
  <c r="G72" i="34"/>
  <c r="H72" i="34" s="1"/>
  <c r="H51" i="34" s="1"/>
  <c r="G70" i="34"/>
  <c r="H70" i="34" s="1"/>
  <c r="K69" i="34"/>
  <c r="G69" i="34"/>
  <c r="G68" i="34"/>
  <c r="G67" i="34"/>
  <c r="G66" i="34"/>
  <c r="G64" i="34"/>
  <c r="H64" i="34" s="1"/>
  <c r="G63" i="34"/>
  <c r="K62" i="34"/>
  <c r="G62" i="34"/>
  <c r="G61" i="34"/>
  <c r="H61" i="34" s="1"/>
  <c r="K60" i="34"/>
  <c r="G60" i="34"/>
  <c r="G59" i="34"/>
  <c r="H59" i="34" s="1"/>
  <c r="G58" i="34"/>
  <c r="H58" i="34" s="1"/>
  <c r="G57" i="34"/>
  <c r="H57" i="34" s="1"/>
  <c r="G56" i="34"/>
  <c r="H56" i="34" s="1"/>
  <c r="G55" i="34"/>
  <c r="H55" i="34" s="1"/>
  <c r="K54" i="34"/>
  <c r="G53" i="34"/>
  <c r="H53" i="34" s="1"/>
  <c r="G52" i="34"/>
  <c r="H52" i="34" s="1"/>
  <c r="G37" i="34"/>
  <c r="F37" i="34"/>
  <c r="E37" i="34"/>
  <c r="D37" i="34"/>
  <c r="C37" i="34"/>
  <c r="G36" i="34"/>
  <c r="G35" i="34"/>
  <c r="H32" i="34"/>
  <c r="I32" i="34" s="1"/>
  <c r="G31" i="34"/>
  <c r="G30" i="34"/>
  <c r="H27" i="34"/>
  <c r="G26" i="34"/>
  <c r="H26" i="34" s="1"/>
  <c r="H25" i="34"/>
  <c r="I25" i="34" s="1"/>
  <c r="G24" i="34"/>
  <c r="H24" i="34" s="1"/>
  <c r="G23" i="34"/>
  <c r="H22" i="34"/>
  <c r="G22" i="34"/>
  <c r="H21" i="34"/>
  <c r="G21" i="34"/>
  <c r="H20" i="34"/>
  <c r="G20" i="34"/>
  <c r="H19" i="34"/>
  <c r="G18" i="34"/>
  <c r="H18" i="34" s="1"/>
  <c r="G16" i="34"/>
  <c r="G15" i="34"/>
  <c r="G14" i="34"/>
  <c r="H14" i="34" s="1"/>
  <c r="G13" i="34"/>
  <c r="G12" i="34"/>
  <c r="H12" i="34" s="1"/>
  <c r="I12" i="34" s="1"/>
  <c r="G11" i="34"/>
  <c r="H11" i="34" s="1"/>
  <c r="I11" i="34" s="1"/>
  <c r="G10" i="34"/>
  <c r="H10" i="34" s="1"/>
  <c r="I10" i="34" s="1"/>
  <c r="G9" i="34"/>
  <c r="H9" i="34" s="1"/>
  <c r="G8" i="34"/>
  <c r="H8" i="34" s="1"/>
  <c r="I8" i="34" s="1"/>
  <c r="H7" i="34"/>
  <c r="G6" i="34"/>
  <c r="H6" i="34" s="1"/>
  <c r="I6" i="34" s="1"/>
  <c r="G5" i="34"/>
  <c r="H5" i="34" s="1"/>
  <c r="G4" i="34"/>
  <c r="K43" i="43" l="1"/>
  <c r="O43" i="43" s="1"/>
  <c r="L23" i="73"/>
  <c r="Q23" i="73" s="1"/>
  <c r="K11" i="43"/>
  <c r="O11" i="43" s="1"/>
  <c r="L47" i="73"/>
  <c r="Q47" i="73" s="1"/>
  <c r="J52" i="43"/>
  <c r="N52" i="43" s="1"/>
  <c r="K56" i="73"/>
  <c r="P56" i="73" s="1"/>
  <c r="K28" i="70"/>
  <c r="P28" i="70" s="1"/>
  <c r="K28" i="73"/>
  <c r="P28" i="73" s="1"/>
  <c r="K52" i="43"/>
  <c r="O52" i="43" s="1"/>
  <c r="L56" i="73"/>
  <c r="Q56" i="73" s="1"/>
  <c r="L28" i="70"/>
  <c r="Q28" i="70" s="1"/>
  <c r="L28" i="73"/>
  <c r="Q28" i="73" s="1"/>
  <c r="J26" i="43"/>
  <c r="N26" i="43" s="1"/>
  <c r="J11" i="43"/>
  <c r="N11" i="43" s="1"/>
  <c r="K47" i="73"/>
  <c r="P47" i="73" s="1"/>
  <c r="J9" i="43"/>
  <c r="N9" i="43" s="1"/>
  <c r="K45" i="73"/>
  <c r="P45" i="73" s="1"/>
  <c r="K26" i="43"/>
  <c r="O26" i="43" s="1"/>
  <c r="L46" i="70"/>
  <c r="Q46" i="70" s="1"/>
  <c r="L42" i="73"/>
  <c r="Q42" i="73" s="1"/>
  <c r="K29" i="43"/>
  <c r="O29" i="43" s="1"/>
  <c r="H116" i="9"/>
  <c r="I19" i="29"/>
  <c r="K27" i="43"/>
  <c r="O27" i="43" s="1"/>
  <c r="H113" i="9"/>
  <c r="J30" i="43"/>
  <c r="N30" i="43" s="1"/>
  <c r="G115" i="9"/>
  <c r="J70" i="43"/>
  <c r="N70" i="43" s="1"/>
  <c r="K76" i="65"/>
  <c r="P76" i="65" s="1"/>
  <c r="M100" i="32"/>
  <c r="K16" i="43"/>
  <c r="O16" i="43" s="1"/>
  <c r="I7" i="18"/>
  <c r="H112" i="9"/>
  <c r="K77" i="43"/>
  <c r="K53" i="43"/>
  <c r="O53" i="43" s="1"/>
  <c r="H121" i="9"/>
  <c r="I12" i="29"/>
  <c r="K44" i="43"/>
  <c r="O44" i="43" s="1"/>
  <c r="H10" i="29"/>
  <c r="J41" i="43"/>
  <c r="N41" i="43" s="1"/>
  <c r="M101" i="32"/>
  <c r="K17" i="43"/>
  <c r="O17" i="43" s="1"/>
  <c r="H125" i="9"/>
  <c r="I16" i="18"/>
  <c r="H120" i="9"/>
  <c r="L19" i="70"/>
  <c r="Q19" i="70" s="1"/>
  <c r="K20" i="43"/>
  <c r="O20" i="43" s="1"/>
  <c r="L80" i="65"/>
  <c r="Q80" i="65" s="1"/>
  <c r="K74" i="43"/>
  <c r="O74" i="43" s="1"/>
  <c r="H33" i="29"/>
  <c r="G119" i="9"/>
  <c r="L44" i="70"/>
  <c r="Q44" i="70" s="1"/>
  <c r="K36" i="43"/>
  <c r="O36" i="43" s="1"/>
  <c r="H8" i="29"/>
  <c r="J43" i="43"/>
  <c r="N43" i="43" s="1"/>
  <c r="K30" i="43"/>
  <c r="O30" i="43" s="1"/>
  <c r="H115" i="9"/>
  <c r="J13" i="43"/>
  <c r="N13" i="43" s="1"/>
  <c r="G124" i="9"/>
  <c r="K70" i="43"/>
  <c r="O70" i="43" s="1"/>
  <c r="L76" i="65"/>
  <c r="Q76" i="65" s="1"/>
  <c r="I9" i="18"/>
  <c r="H111" i="9"/>
  <c r="J5" i="43"/>
  <c r="N5" i="43" s="1"/>
  <c r="G129" i="9"/>
  <c r="I10" i="29"/>
  <c r="K41" i="43"/>
  <c r="O41" i="43" s="1"/>
  <c r="H11" i="29"/>
  <c r="J42" i="43"/>
  <c r="N42" i="43" s="1"/>
  <c r="J7" i="43"/>
  <c r="N7" i="43" s="1"/>
  <c r="G117" i="9"/>
  <c r="I33" i="29"/>
  <c r="H119" i="9"/>
  <c r="M78" i="32"/>
  <c r="K37" i="43"/>
  <c r="O37" i="43" s="1"/>
  <c r="H20" i="29"/>
  <c r="J28" i="43"/>
  <c r="N28" i="43" s="1"/>
  <c r="G114" i="9"/>
  <c r="H29" i="29"/>
  <c r="G130" i="9"/>
  <c r="M97" i="32"/>
  <c r="K13" i="43"/>
  <c r="O13" i="43" s="1"/>
  <c r="H124" i="9"/>
  <c r="L96" i="32"/>
  <c r="R96" i="32" s="1"/>
  <c r="J12" i="43"/>
  <c r="N12" i="43" s="1"/>
  <c r="G123" i="9"/>
  <c r="M99" i="32"/>
  <c r="K15" i="43"/>
  <c r="O15" i="43" s="1"/>
  <c r="K13" i="22"/>
  <c r="H110" i="9"/>
  <c r="M91" i="32"/>
  <c r="K5" i="43"/>
  <c r="O5" i="43" s="1"/>
  <c r="H129" i="9"/>
  <c r="M98" i="32"/>
  <c r="K14" i="43"/>
  <c r="O14" i="43" s="1"/>
  <c r="H9" i="29"/>
  <c r="J40" i="43"/>
  <c r="N40" i="43" s="1"/>
  <c r="I11" i="29"/>
  <c r="K42" i="43"/>
  <c r="O42" i="43" s="1"/>
  <c r="H25" i="29"/>
  <c r="J6" i="43"/>
  <c r="N6" i="43" s="1"/>
  <c r="M82" i="32"/>
  <c r="K7" i="43"/>
  <c r="O7" i="43" s="1"/>
  <c r="H117" i="9"/>
  <c r="I20" i="29"/>
  <c r="K28" i="43"/>
  <c r="O28" i="43" s="1"/>
  <c r="H114" i="9"/>
  <c r="J29" i="43"/>
  <c r="N29" i="43" s="1"/>
  <c r="G116" i="9"/>
  <c r="I29" i="29"/>
  <c r="H130" i="9"/>
  <c r="H19" i="29"/>
  <c r="J27" i="43"/>
  <c r="N27" i="43" s="1"/>
  <c r="G113" i="9"/>
  <c r="M96" i="32"/>
  <c r="K12" i="43"/>
  <c r="O12" i="43" s="1"/>
  <c r="H123" i="9"/>
  <c r="P83" i="65"/>
  <c r="J77" i="43"/>
  <c r="N77" i="43" s="1"/>
  <c r="J53" i="43"/>
  <c r="N53" i="43" s="1"/>
  <c r="G121" i="9"/>
  <c r="I9" i="29"/>
  <c r="K40" i="43"/>
  <c r="O40" i="43" s="1"/>
  <c r="H12" i="29"/>
  <c r="J44" i="43"/>
  <c r="N44" i="43" s="1"/>
  <c r="J17" i="43"/>
  <c r="N17" i="43" s="1"/>
  <c r="G125" i="9"/>
  <c r="K19" i="70"/>
  <c r="P19" i="70" s="1"/>
  <c r="J20" i="43"/>
  <c r="N20" i="43" s="1"/>
  <c r="K80" i="65"/>
  <c r="P80" i="65" s="1"/>
  <c r="J74" i="43"/>
  <c r="N74" i="43" s="1"/>
  <c r="K44" i="70"/>
  <c r="P44" i="70" s="1"/>
  <c r="J36" i="43"/>
  <c r="N36" i="43" s="1"/>
  <c r="L49" i="70"/>
  <c r="Q49" i="70" s="1"/>
  <c r="K9" i="43"/>
  <c r="O9" i="43" s="1"/>
  <c r="L60" i="70"/>
  <c r="Q60" i="70" s="1"/>
  <c r="P46" i="65"/>
  <c r="P50" i="70"/>
  <c r="K55" i="65"/>
  <c r="P55" i="65" s="1"/>
  <c r="K59" i="70"/>
  <c r="P59" i="70" s="1"/>
  <c r="M92" i="32"/>
  <c r="J25" i="57"/>
  <c r="O25" i="57" s="1"/>
  <c r="U28" i="70"/>
  <c r="U92" i="70" s="1"/>
  <c r="Q25" i="65"/>
  <c r="U25" i="65"/>
  <c r="U94" i="65" s="1"/>
  <c r="K4" i="22"/>
  <c r="I4" i="29"/>
  <c r="K7" i="22"/>
  <c r="I7" i="29"/>
  <c r="K47" i="65"/>
  <c r="P47" i="65" s="1"/>
  <c r="K51" i="70"/>
  <c r="P51" i="70" s="1"/>
  <c r="Q50" i="70"/>
  <c r="L59" i="70"/>
  <c r="Q59" i="70" s="1"/>
  <c r="K25" i="57"/>
  <c r="P25" i="65"/>
  <c r="K31" i="65"/>
  <c r="P31" i="65" s="1"/>
  <c r="K35" i="70"/>
  <c r="K42" i="65"/>
  <c r="P42" i="65" s="1"/>
  <c r="K46" i="70"/>
  <c r="P46" i="70" s="1"/>
  <c r="L23" i="70"/>
  <c r="Q23" i="70" s="1"/>
  <c r="I8" i="29"/>
  <c r="L22" i="65"/>
  <c r="Q22" i="65" s="1"/>
  <c r="L51" i="70"/>
  <c r="Q51" i="70" s="1"/>
  <c r="K53" i="65"/>
  <c r="P53" i="65" s="1"/>
  <c r="K57" i="70"/>
  <c r="P57" i="70" s="1"/>
  <c r="K45" i="65"/>
  <c r="P45" i="65" s="1"/>
  <c r="K49" i="70"/>
  <c r="P49" i="70" s="1"/>
  <c r="L35" i="70"/>
  <c r="Q35" i="70" s="1"/>
  <c r="K5" i="22"/>
  <c r="I5" i="29"/>
  <c r="K6" i="22"/>
  <c r="I6" i="29"/>
  <c r="K56" i="65"/>
  <c r="P56" i="65" s="1"/>
  <c r="K60" i="70"/>
  <c r="P60" i="70" s="1"/>
  <c r="L57" i="70"/>
  <c r="Q57" i="70" s="1"/>
  <c r="M88" i="32"/>
  <c r="I25" i="29"/>
  <c r="I105" i="34"/>
  <c r="J4" i="22"/>
  <c r="J5" i="22"/>
  <c r="J7" i="22"/>
  <c r="H9" i="18"/>
  <c r="L53" i="65"/>
  <c r="Q53" i="65" s="1"/>
  <c r="K48" i="57"/>
  <c r="Q46" i="65"/>
  <c r="H16" i="18"/>
  <c r="L55" i="65"/>
  <c r="Q55" i="65" s="1"/>
  <c r="K49" i="57"/>
  <c r="K19" i="65"/>
  <c r="P19" i="65" s="1"/>
  <c r="Q30" i="65"/>
  <c r="K32" i="57"/>
  <c r="L45" i="65"/>
  <c r="Q45" i="65" s="1"/>
  <c r="K24" i="57"/>
  <c r="H7" i="18"/>
  <c r="J13" i="22"/>
  <c r="L47" i="65"/>
  <c r="Q47" i="65" s="1"/>
  <c r="K26" i="57"/>
  <c r="J6" i="22"/>
  <c r="L56" i="65"/>
  <c r="Q56" i="65" s="1"/>
  <c r="K50" i="57"/>
  <c r="L19" i="65"/>
  <c r="Q19" i="65" s="1"/>
  <c r="K9" i="57"/>
  <c r="I37" i="34"/>
  <c r="P30" i="65"/>
  <c r="L40" i="65"/>
  <c r="Q40" i="65" s="1"/>
  <c r="K40" i="57"/>
  <c r="L31" i="65"/>
  <c r="Q31" i="65" s="1"/>
  <c r="K33" i="57"/>
  <c r="L42" i="65"/>
  <c r="Q42" i="65" s="1"/>
  <c r="K42" i="57"/>
  <c r="I20" i="34"/>
  <c r="I21" i="34"/>
  <c r="I22" i="34"/>
  <c r="K40" i="65"/>
  <c r="P40" i="65" s="1"/>
  <c r="I9" i="34"/>
  <c r="I18" i="34"/>
  <c r="I24" i="34"/>
  <c r="K8" i="22"/>
  <c r="M108" i="32"/>
  <c r="M28" i="32"/>
  <c r="L91" i="32"/>
  <c r="R91" i="32" s="1"/>
  <c r="L87" i="32"/>
  <c r="R87" i="32" s="1"/>
  <c r="L98" i="32"/>
  <c r="R98" i="32" s="1"/>
  <c r="L127" i="32"/>
  <c r="R127" i="32" s="1"/>
  <c r="L49" i="32"/>
  <c r="R49" i="32" s="1"/>
  <c r="M25" i="32"/>
  <c r="M105" i="32"/>
  <c r="L39" i="32"/>
  <c r="L119" i="32"/>
  <c r="M40" i="32"/>
  <c r="M120" i="32"/>
  <c r="L41" i="32"/>
  <c r="L121" i="32"/>
  <c r="J181" i="32"/>
  <c r="M42" i="32"/>
  <c r="M122" i="32"/>
  <c r="L29" i="32"/>
  <c r="L109" i="32"/>
  <c r="M106" i="32"/>
  <c r="M26" i="32"/>
  <c r="L27" i="32"/>
  <c r="L107" i="32"/>
  <c r="L101" i="32"/>
  <c r="R101" i="32" s="1"/>
  <c r="M48" i="32"/>
  <c r="M126" i="32"/>
  <c r="M7" i="32"/>
  <c r="M81" i="32"/>
  <c r="L31" i="32"/>
  <c r="L111" i="32"/>
  <c r="M104" i="32"/>
  <c r="M24" i="32"/>
  <c r="L30" i="32"/>
  <c r="L110" i="32"/>
  <c r="M23" i="32"/>
  <c r="M103" i="32"/>
  <c r="L32" i="32"/>
  <c r="L112" i="32"/>
  <c r="M114" i="32"/>
  <c r="M34" i="32"/>
  <c r="L36" i="32"/>
  <c r="L116" i="32"/>
  <c r="M33" i="32"/>
  <c r="M113" i="32"/>
  <c r="M5" i="32"/>
  <c r="M79" i="32"/>
  <c r="L102" i="32"/>
  <c r="R102" i="32" s="1"/>
  <c r="L22" i="32"/>
  <c r="R22" i="32" s="1"/>
  <c r="M35" i="32"/>
  <c r="M115" i="32"/>
  <c r="L92" i="32"/>
  <c r="R92" i="32" s="1"/>
  <c r="L82" i="32"/>
  <c r="R82" i="32" s="1"/>
  <c r="L125" i="32"/>
  <c r="R125" i="32" s="1"/>
  <c r="L45" i="32"/>
  <c r="R45" i="32" s="1"/>
  <c r="I14" i="18"/>
  <c r="M38" i="32"/>
  <c r="M118" i="32"/>
  <c r="M43" i="32"/>
  <c r="M123" i="32"/>
  <c r="L44" i="32"/>
  <c r="R44" i="32" s="1"/>
  <c r="L124" i="32"/>
  <c r="R124" i="32" s="1"/>
  <c r="L6" i="32"/>
  <c r="R6" i="32" s="1"/>
  <c r="L80" i="32"/>
  <c r="R80" i="32" s="1"/>
  <c r="M117" i="32"/>
  <c r="M13" i="32"/>
  <c r="M86" i="32"/>
  <c r="L11" i="32"/>
  <c r="R11" i="32" s="1"/>
  <c r="L84" i="32"/>
  <c r="R84" i="32" s="1"/>
  <c r="J42" i="57"/>
  <c r="O42" i="57" s="1"/>
  <c r="M12" i="32"/>
  <c r="M85" i="32"/>
  <c r="L28" i="32"/>
  <c r="L108" i="32"/>
  <c r="L97" i="32"/>
  <c r="R97" i="32" s="1"/>
  <c r="L99" i="32"/>
  <c r="R99" i="32" s="1"/>
  <c r="L100" i="32"/>
  <c r="R100" i="32" s="1"/>
  <c r="M49" i="32"/>
  <c r="M127" i="32"/>
  <c r="L25" i="32"/>
  <c r="L105" i="32"/>
  <c r="M119" i="32"/>
  <c r="M39" i="32"/>
  <c r="L40" i="32"/>
  <c r="L120" i="32"/>
  <c r="M121" i="32"/>
  <c r="M41" i="32"/>
  <c r="L122" i="32"/>
  <c r="R122" i="32" s="1"/>
  <c r="L42" i="32"/>
  <c r="R42" i="32" s="1"/>
  <c r="M29" i="32"/>
  <c r="M109" i="32"/>
  <c r="L26" i="32"/>
  <c r="L106" i="32"/>
  <c r="M27" i="32"/>
  <c r="M107" i="32"/>
  <c r="L88" i="32"/>
  <c r="R88" i="32" s="1"/>
  <c r="R93" i="32"/>
  <c r="R18" i="32"/>
  <c r="L48" i="32"/>
  <c r="R48" i="32" s="1"/>
  <c r="L126" i="32"/>
  <c r="R126" i="32" s="1"/>
  <c r="L81" i="32"/>
  <c r="R81" i="32" s="1"/>
  <c r="L7" i="32"/>
  <c r="R7" i="32" s="1"/>
  <c r="L24" i="32"/>
  <c r="L104" i="32"/>
  <c r="M110" i="32"/>
  <c r="M30" i="32"/>
  <c r="L23" i="32"/>
  <c r="R23" i="32" s="1"/>
  <c r="L103" i="32"/>
  <c r="R103" i="32" s="1"/>
  <c r="M112" i="32"/>
  <c r="M32" i="32"/>
  <c r="L34" i="32"/>
  <c r="L114" i="32"/>
  <c r="M36" i="32"/>
  <c r="M116" i="32"/>
  <c r="L33" i="32"/>
  <c r="L113" i="32"/>
  <c r="L79" i="32"/>
  <c r="R79" i="32" s="1"/>
  <c r="L5" i="32"/>
  <c r="R5" i="32" s="1"/>
  <c r="I19" i="18"/>
  <c r="M22" i="32"/>
  <c r="M102" i="32"/>
  <c r="L35" i="32"/>
  <c r="L115" i="32"/>
  <c r="M45" i="32"/>
  <c r="M125" i="32"/>
  <c r="L38" i="32"/>
  <c r="R38" i="32" s="1"/>
  <c r="L118" i="32"/>
  <c r="R118" i="32" s="1"/>
  <c r="L123" i="32"/>
  <c r="R123" i="32" s="1"/>
  <c r="L43" i="32"/>
  <c r="R43" i="32" s="1"/>
  <c r="M44" i="32"/>
  <c r="M124" i="32"/>
  <c r="M6" i="32"/>
  <c r="M80" i="32"/>
  <c r="L78" i="32"/>
  <c r="R78" i="32" s="1"/>
  <c r="R37" i="32"/>
  <c r="L117" i="32"/>
  <c r="R117" i="32" s="1"/>
  <c r="L13" i="32"/>
  <c r="R13" i="32" s="1"/>
  <c r="L86" i="32"/>
  <c r="R86" i="32" s="1"/>
  <c r="M11" i="32"/>
  <c r="M84" i="32"/>
  <c r="L85" i="32"/>
  <c r="R85" i="32" s="1"/>
  <c r="L12" i="32"/>
  <c r="R12" i="32" s="1"/>
  <c r="H65" i="34"/>
  <c r="H67" i="34"/>
  <c r="H66" i="34"/>
  <c r="K66" i="34" s="1"/>
  <c r="H68" i="34"/>
  <c r="J9" i="57"/>
  <c r="O9" i="57" s="1"/>
  <c r="J40" i="57"/>
  <c r="O40" i="57" s="1"/>
  <c r="J33" i="57"/>
  <c r="O33" i="57" s="1"/>
  <c r="J26" i="57"/>
  <c r="O26" i="57" s="1"/>
  <c r="J50" i="57"/>
  <c r="O50" i="57" s="1"/>
  <c r="J48" i="57"/>
  <c r="O48" i="57" s="1"/>
  <c r="O27" i="57"/>
  <c r="J49" i="57"/>
  <c r="O49" i="57" s="1"/>
  <c r="J32" i="57"/>
  <c r="O32" i="57" s="1"/>
  <c r="J47" i="57"/>
  <c r="O47" i="57" s="1"/>
  <c r="J24" i="57"/>
  <c r="O24" i="57" s="1"/>
  <c r="I14" i="34"/>
  <c r="I19" i="34"/>
  <c r="H19" i="18"/>
  <c r="J8" i="22"/>
  <c r="H14" i="18"/>
  <c r="H10" i="18"/>
  <c r="H8" i="18"/>
  <c r="I10" i="18"/>
  <c r="I8" i="18"/>
  <c r="K65" i="34"/>
  <c r="K58" i="34"/>
  <c r="I58" i="34"/>
  <c r="J58" i="34"/>
  <c r="K68" i="34"/>
  <c r="H112" i="34"/>
  <c r="H110" i="34"/>
  <c r="H111" i="34"/>
  <c r="H122" i="34"/>
  <c r="H123" i="34"/>
  <c r="K57" i="34"/>
  <c r="K67" i="34"/>
  <c r="I27" i="34"/>
  <c r="I108" i="34"/>
  <c r="K59" i="34"/>
  <c r="K56" i="34"/>
  <c r="K64" i="34"/>
  <c r="H128" i="34"/>
  <c r="K52" i="34"/>
  <c r="K53" i="34"/>
  <c r="K55" i="34"/>
  <c r="K61" i="34"/>
  <c r="K70" i="34"/>
  <c r="J14" i="22"/>
  <c r="J12" i="22"/>
  <c r="O9" i="54"/>
  <c r="H9" i="54"/>
  <c r="Q9" i="54"/>
  <c r="P9" i="54"/>
  <c r="R9" i="54"/>
  <c r="K12" i="22"/>
  <c r="K14" i="22"/>
  <c r="H21" i="54"/>
  <c r="O21" i="54"/>
  <c r="Q21" i="54"/>
  <c r="P21" i="54"/>
  <c r="R21" i="54"/>
  <c r="O23" i="54"/>
  <c r="H23" i="54"/>
  <c r="P23" i="54"/>
  <c r="Q23" i="54"/>
  <c r="R23" i="54"/>
  <c r="H11" i="54"/>
  <c r="O11" i="54"/>
  <c r="Q11" i="54"/>
  <c r="P11" i="54"/>
  <c r="R11" i="54"/>
  <c r="O5" i="54"/>
  <c r="H5" i="54"/>
  <c r="R5" i="54"/>
  <c r="P5" i="54"/>
  <c r="Q5" i="54"/>
  <c r="O4" i="54"/>
  <c r="H4" i="54"/>
  <c r="R4" i="54"/>
  <c r="P4" i="54"/>
  <c r="Q4" i="54"/>
  <c r="I5" i="34"/>
  <c r="O7" i="54"/>
  <c r="Q7" i="54"/>
  <c r="H7" i="54"/>
  <c r="P7" i="54"/>
  <c r="R7" i="54"/>
  <c r="H8" i="54"/>
  <c r="O8" i="54"/>
  <c r="Q8" i="54"/>
  <c r="P8" i="54"/>
  <c r="R8" i="54"/>
  <c r="I56" i="34"/>
  <c r="J56" i="34"/>
  <c r="J175" i="32"/>
  <c r="J71" i="34"/>
  <c r="I175" i="32"/>
  <c r="I71" i="34"/>
  <c r="I183" i="32"/>
  <c r="O24" i="54"/>
  <c r="H24" i="54"/>
  <c r="P24" i="54"/>
  <c r="Q24" i="54"/>
  <c r="R24" i="54"/>
  <c r="I79" i="34"/>
  <c r="J183" i="32"/>
  <c r="J79" i="34"/>
  <c r="J184" i="32"/>
  <c r="J80" i="34"/>
  <c r="I184" i="32"/>
  <c r="H25" i="54"/>
  <c r="O25" i="54"/>
  <c r="P25" i="54"/>
  <c r="R25" i="54"/>
  <c r="Q25" i="54"/>
  <c r="I80" i="34"/>
  <c r="O16" i="54"/>
  <c r="H16" i="54"/>
  <c r="P16" i="54"/>
  <c r="Q16" i="54"/>
  <c r="R16" i="54"/>
  <c r="H26" i="54"/>
  <c r="O26" i="54"/>
  <c r="R26" i="54"/>
  <c r="P26" i="54"/>
  <c r="Q26" i="54"/>
  <c r="H14" i="54"/>
  <c r="O14" i="54"/>
  <c r="R14" i="54"/>
  <c r="P14" i="54"/>
  <c r="Q14" i="54"/>
  <c r="J179" i="32"/>
  <c r="J75" i="34"/>
  <c r="I180" i="32"/>
  <c r="I76" i="34"/>
  <c r="I179" i="32"/>
  <c r="I75" i="34"/>
  <c r="J180" i="32"/>
  <c r="J76" i="34"/>
  <c r="I181" i="32"/>
  <c r="O22" i="54"/>
  <c r="H22" i="54"/>
  <c r="R22" i="54"/>
  <c r="P22" i="54"/>
  <c r="Q22" i="54"/>
  <c r="J178" i="32"/>
  <c r="J74" i="34"/>
  <c r="I178" i="32"/>
  <c r="I74" i="34"/>
  <c r="O6" i="54"/>
  <c r="H6" i="54"/>
  <c r="P6" i="54"/>
  <c r="Q6" i="54"/>
  <c r="R6" i="54"/>
  <c r="O27" i="54"/>
  <c r="H27" i="54"/>
  <c r="R27" i="54"/>
  <c r="Q27" i="54"/>
  <c r="P27" i="54"/>
  <c r="J64" i="34"/>
  <c r="I64" i="34"/>
  <c r="I54" i="34"/>
  <c r="J54" i="34"/>
  <c r="J59" i="34"/>
  <c r="I60" i="34"/>
  <c r="J69" i="34"/>
  <c r="I69" i="34"/>
  <c r="J77" i="34"/>
  <c r="I77" i="34"/>
  <c r="J82" i="34"/>
  <c r="I82" i="34"/>
  <c r="I53" i="34"/>
  <c r="I61" i="34"/>
  <c r="I62" i="34"/>
  <c r="J62" i="34"/>
  <c r="J70" i="34"/>
  <c r="J73" i="34"/>
  <c r="I73" i="34"/>
  <c r="J78" i="34"/>
  <c r="I78" i="34"/>
  <c r="I33" i="34"/>
  <c r="I125" i="34"/>
  <c r="P121" i="51"/>
  <c r="J33" i="43" s="1"/>
  <c r="N33" i="43" s="1"/>
  <c r="I112" i="34"/>
  <c r="I109" i="34"/>
  <c r="I120" i="34"/>
  <c r="I122" i="34"/>
  <c r="I123" i="34"/>
  <c r="I114" i="34"/>
  <c r="I127" i="34"/>
  <c r="I233" i="32"/>
  <c r="I131" i="34"/>
  <c r="I29" i="34"/>
  <c r="I133" i="34"/>
  <c r="I118" i="34"/>
  <c r="I129" i="34"/>
  <c r="I134" i="34"/>
  <c r="Q65" i="51"/>
  <c r="Q125" i="51"/>
  <c r="I110" i="34"/>
  <c r="I126" i="34"/>
  <c r="I111" i="34"/>
  <c r="I119" i="34"/>
  <c r="I107" i="34"/>
  <c r="I130" i="34"/>
  <c r="I232" i="32"/>
  <c r="I28" i="34"/>
  <c r="I132" i="34"/>
  <c r="I30" i="34"/>
  <c r="I234" i="32"/>
  <c r="I113" i="34"/>
  <c r="I136" i="34"/>
  <c r="I238" i="32"/>
  <c r="I34" i="34"/>
  <c r="I135" i="34"/>
  <c r="Q62" i="51"/>
  <c r="H137" i="34"/>
  <c r="I137" i="34" s="1"/>
  <c r="H115" i="34"/>
  <c r="I115" i="34" s="1"/>
  <c r="H117" i="34"/>
  <c r="I117" i="34" s="1"/>
  <c r="H124" i="34"/>
  <c r="I124" i="34" s="1"/>
  <c r="H139" i="34"/>
  <c r="I139" i="34" s="1"/>
  <c r="K81" i="34"/>
  <c r="H13" i="34"/>
  <c r="I13" i="34" s="1"/>
  <c r="H23" i="34"/>
  <c r="I23" i="34" s="1"/>
  <c r="H4" i="34"/>
  <c r="I4" i="34" s="1"/>
  <c r="H15" i="34"/>
  <c r="I15" i="34" s="1"/>
  <c r="H36" i="34"/>
  <c r="I36" i="34" s="1"/>
  <c r="Q127" i="51"/>
  <c r="K46" i="43" s="1"/>
  <c r="O46" i="43" s="1"/>
  <c r="P229" i="51"/>
  <c r="J32" i="43" s="1"/>
  <c r="N32" i="43" s="1"/>
  <c r="K51" i="34"/>
  <c r="H103" i="34"/>
  <c r="H16" i="34"/>
  <c r="I16" i="34" s="1"/>
  <c r="H35" i="34"/>
  <c r="I35" i="34" s="1"/>
  <c r="G51" i="34"/>
  <c r="H104" i="34"/>
  <c r="I104" i="34" s="1"/>
  <c r="H121" i="34"/>
  <c r="I121" i="34" s="1"/>
  <c r="H138" i="34"/>
  <c r="I138" i="34" s="1"/>
  <c r="M95" i="32" l="1"/>
  <c r="O86" i="43"/>
  <c r="N86" i="43"/>
  <c r="M87" i="32"/>
  <c r="H127" i="9"/>
  <c r="L95" i="32"/>
  <c r="R95" i="32" s="1"/>
  <c r="R138" i="32" s="1"/>
  <c r="M31" i="32"/>
  <c r="M111" i="32"/>
  <c r="R60" i="32"/>
  <c r="J68" i="34"/>
  <c r="I68" i="34"/>
  <c r="J66" i="34"/>
  <c r="I66" i="34"/>
  <c r="J57" i="34"/>
  <c r="I57" i="34"/>
  <c r="I65" i="34"/>
  <c r="P29" i="54"/>
  <c r="O29" i="54"/>
  <c r="I59" i="34"/>
  <c r="I67" i="34"/>
  <c r="J61" i="34"/>
  <c r="J53" i="34"/>
  <c r="J65" i="34"/>
  <c r="J67" i="34"/>
  <c r="J55" i="34"/>
  <c r="I52" i="34"/>
  <c r="I70" i="34"/>
  <c r="I55" i="34"/>
  <c r="J52" i="34"/>
  <c r="R29" i="54"/>
  <c r="R30" i="54" s="1"/>
  <c r="Q29" i="54"/>
  <c r="H29" i="54"/>
  <c r="J60" i="34"/>
  <c r="J51" i="34"/>
  <c r="I51" i="34"/>
  <c r="J81" i="34"/>
  <c r="I81" i="34"/>
  <c r="I7" i="34"/>
  <c r="I38" i="34" s="1"/>
  <c r="P124" i="51"/>
  <c r="Q124" i="51"/>
  <c r="I141" i="34"/>
  <c r="P123" i="51" l="1"/>
  <c r="Q123" i="51"/>
  <c r="I84" i="34"/>
  <c r="J84" i="34"/>
  <c r="K84" i="34"/>
  <c r="K182" i="32" l="1"/>
  <c r="I182" i="32"/>
  <c r="J182" i="32"/>
  <c r="K177" i="32"/>
  <c r="J177" i="32"/>
  <c r="I177" i="32"/>
  <c r="K158" i="32"/>
  <c r="J158" i="32"/>
  <c r="I158" i="32"/>
  <c r="K164" i="32" l="1"/>
  <c r="I164" i="32"/>
  <c r="J164" i="32"/>
  <c r="K167" i="32"/>
  <c r="I167" i="32"/>
  <c r="J167" i="32"/>
  <c r="K187" i="32"/>
  <c r="J187" i="32"/>
  <c r="I187" i="32"/>
  <c r="K186" i="32"/>
  <c r="J186" i="32"/>
  <c r="I186" i="32"/>
  <c r="K166" i="32"/>
  <c r="J166" i="32"/>
  <c r="I166" i="32"/>
  <c r="K173" i="32"/>
  <c r="I173" i="32"/>
  <c r="J173" i="32"/>
  <c r="E134" i="27"/>
  <c r="E133" i="27"/>
  <c r="G48" i="26"/>
  <c r="H48" i="26"/>
  <c r="H47" i="26" l="1"/>
  <c r="G47" i="26"/>
  <c r="H46" i="26"/>
  <c r="G46" i="26"/>
  <c r="H45" i="26"/>
  <c r="G45" i="26"/>
  <c r="H44" i="26"/>
  <c r="G44" i="26"/>
  <c r="H43" i="26"/>
  <c r="G43" i="26"/>
  <c r="H42" i="26"/>
  <c r="G42" i="26"/>
  <c r="H41" i="26"/>
  <c r="G41" i="26"/>
  <c r="H40" i="26"/>
  <c r="G40" i="26"/>
  <c r="H39" i="26"/>
  <c r="G39" i="26"/>
  <c r="H38" i="26"/>
  <c r="G38" i="26"/>
  <c r="H37" i="26"/>
  <c r="G37" i="26"/>
  <c r="H36" i="26"/>
  <c r="G36" i="26"/>
  <c r="H35" i="26"/>
  <c r="G35" i="26"/>
  <c r="H34" i="26"/>
  <c r="G34" i="26"/>
  <c r="H33" i="26"/>
  <c r="G33" i="26"/>
  <c r="H32" i="26"/>
  <c r="G32" i="26"/>
  <c r="H31" i="26"/>
  <c r="G31" i="26"/>
  <c r="H30" i="26"/>
  <c r="G30" i="26"/>
  <c r="H28" i="26"/>
  <c r="G28" i="26"/>
  <c r="H27" i="26"/>
  <c r="G27" i="26"/>
  <c r="H26" i="26"/>
  <c r="G26" i="26"/>
  <c r="H25" i="26"/>
  <c r="G25" i="26"/>
  <c r="H24" i="26"/>
  <c r="G24" i="26"/>
  <c r="H23" i="26"/>
  <c r="G23" i="26"/>
  <c r="H22" i="26"/>
  <c r="G22" i="26"/>
  <c r="H21" i="26"/>
  <c r="G21" i="26"/>
  <c r="H20" i="26"/>
  <c r="G20" i="26"/>
  <c r="H19" i="26"/>
  <c r="G19" i="26"/>
  <c r="H18" i="26"/>
  <c r="G18" i="26"/>
  <c r="H17" i="26"/>
  <c r="G17" i="26"/>
  <c r="H16" i="26"/>
  <c r="G16" i="26"/>
  <c r="H15" i="26"/>
  <c r="G15" i="26"/>
  <c r="H14" i="26"/>
  <c r="G14" i="26"/>
  <c r="H13" i="26"/>
  <c r="G13" i="26"/>
  <c r="H12" i="26"/>
  <c r="G12" i="26"/>
  <c r="H11" i="26"/>
  <c r="G11" i="26"/>
  <c r="H10" i="26"/>
  <c r="G10" i="26"/>
  <c r="H9" i="26"/>
  <c r="G9" i="26"/>
  <c r="H8" i="26"/>
  <c r="G8" i="26"/>
  <c r="H7" i="26"/>
  <c r="G7" i="26"/>
  <c r="H6" i="26"/>
  <c r="G6" i="26"/>
  <c r="H5" i="26"/>
  <c r="G5" i="26"/>
  <c r="H4" i="26"/>
  <c r="G4" i="26"/>
  <c r="H3" i="26"/>
  <c r="G3" i="26"/>
  <c r="L15" i="22" l="1"/>
  <c r="K15" i="22"/>
  <c r="J15" i="22"/>
  <c r="L17" i="22"/>
  <c r="K17" i="22"/>
  <c r="J17" i="22"/>
  <c r="L16" i="22"/>
  <c r="J16" i="22"/>
  <c r="K16" i="22"/>
  <c r="H240" i="32" l="1"/>
  <c r="I240" i="32" s="1"/>
  <c r="Q247" i="32" l="1"/>
  <c r="X89" i="24" l="1"/>
  <c r="Q189" i="32" l="1"/>
  <c r="G32" i="29" l="1"/>
  <c r="G31" i="29"/>
  <c r="G28" i="29"/>
  <c r="G27" i="29"/>
  <c r="G26" i="29"/>
  <c r="G23" i="29"/>
  <c r="G18" i="29"/>
  <c r="G17" i="29"/>
  <c r="G16" i="29"/>
  <c r="G15" i="29"/>
  <c r="G14" i="29"/>
  <c r="G13" i="29"/>
  <c r="F1" i="23"/>
  <c r="D30" i="23"/>
  <c r="E30" i="23"/>
  <c r="C30" i="23"/>
  <c r="H14" i="29" l="1"/>
  <c r="I14" i="29"/>
  <c r="I18" i="29"/>
  <c r="H18" i="29"/>
  <c r="H28" i="29"/>
  <c r="I28" i="29"/>
  <c r="I15" i="29"/>
  <c r="H15" i="29"/>
  <c r="H31" i="29"/>
  <c r="I31" i="29"/>
  <c r="I16" i="29"/>
  <c r="H16" i="29"/>
  <c r="I26" i="29"/>
  <c r="H26" i="29"/>
  <c r="H32" i="29"/>
  <c r="I32" i="29"/>
  <c r="H23" i="29"/>
  <c r="I23" i="29"/>
  <c r="H13" i="29"/>
  <c r="I13" i="29"/>
  <c r="H17" i="29"/>
  <c r="I17" i="29"/>
  <c r="H27" i="29"/>
  <c r="I27" i="29"/>
  <c r="H35" i="29"/>
  <c r="I35" i="29"/>
  <c r="L37" i="22"/>
  <c r="J37" i="22"/>
  <c r="K37" i="22"/>
  <c r="G34" i="29"/>
  <c r="O37" i="29"/>
  <c r="G24" i="29"/>
  <c r="G30" i="29"/>
  <c r="H24" i="29" l="1"/>
  <c r="I24" i="29"/>
  <c r="I34" i="29"/>
  <c r="H34" i="29"/>
  <c r="I30" i="29"/>
  <c r="H30" i="29"/>
  <c r="P42" i="22"/>
  <c r="I37" i="29" l="1"/>
  <c r="L19" i="22"/>
  <c r="J19" i="22"/>
  <c r="K19" i="22"/>
  <c r="L28" i="22"/>
  <c r="K28" i="22"/>
  <c r="J28" i="22"/>
  <c r="L30" i="22"/>
  <c r="K30" i="22"/>
  <c r="J30" i="22"/>
  <c r="L35" i="22"/>
  <c r="K35" i="22"/>
  <c r="J35" i="22"/>
  <c r="L21" i="22"/>
  <c r="K21" i="22"/>
  <c r="J21" i="22"/>
  <c r="L18" i="22"/>
  <c r="J18" i="22"/>
  <c r="K18" i="22"/>
  <c r="L20" i="22"/>
  <c r="K20" i="22"/>
  <c r="J20" i="22"/>
  <c r="L25" i="22"/>
  <c r="J25" i="22"/>
  <c r="K25" i="22"/>
  <c r="L27" i="22"/>
  <c r="K27" i="22"/>
  <c r="J27" i="22"/>
  <c r="L29" i="22"/>
  <c r="J29" i="22"/>
  <c r="K29" i="22"/>
  <c r="H229" i="32"/>
  <c r="I229" i="32" s="1"/>
  <c r="L32" i="22" l="1"/>
  <c r="K32" i="22"/>
  <c r="J32" i="22"/>
  <c r="L24" i="22"/>
  <c r="J24" i="22"/>
  <c r="K24" i="22"/>
  <c r="L33" i="22"/>
  <c r="K33" i="22"/>
  <c r="J33" i="22"/>
  <c r="L31" i="22"/>
  <c r="K31" i="22"/>
  <c r="J31" i="22"/>
  <c r="L22" i="22"/>
  <c r="K22" i="22"/>
  <c r="J22" i="22"/>
  <c r="H228" i="32"/>
  <c r="I228" i="32" s="1"/>
  <c r="H231" i="32"/>
  <c r="I231" i="32" s="1"/>
  <c r="L34" i="22" l="1"/>
  <c r="J34" i="22"/>
  <c r="K34" i="22"/>
  <c r="L40" i="22"/>
  <c r="K40" i="22"/>
  <c r="J40" i="22"/>
  <c r="L36" i="22" l="1"/>
  <c r="K36" i="22"/>
  <c r="J36" i="22"/>
  <c r="K23" i="22"/>
  <c r="L23" i="22"/>
  <c r="J23" i="22"/>
  <c r="L38" i="22"/>
  <c r="K38" i="22"/>
  <c r="J38" i="22"/>
  <c r="K39" i="22"/>
  <c r="L39" i="22"/>
  <c r="J39" i="22"/>
  <c r="L42" i="22" l="1"/>
  <c r="K42" i="22"/>
  <c r="I246" i="32" l="1"/>
  <c r="H219" i="32" l="1"/>
  <c r="I219" i="32" s="1"/>
  <c r="H226" i="32"/>
  <c r="I226" i="32" s="1"/>
  <c r="H239" i="32"/>
  <c r="I239" i="32" s="1"/>
  <c r="G188" i="32" l="1"/>
  <c r="O188" i="32" s="1"/>
  <c r="I237" i="32" l="1"/>
  <c r="I235" i="32"/>
  <c r="G167" i="32" l="1"/>
  <c r="O167" i="32" s="1"/>
  <c r="G166" i="32"/>
  <c r="O166" i="32" s="1"/>
  <c r="G163" i="32" l="1"/>
  <c r="H163" i="32" s="1"/>
  <c r="H236" i="32"/>
  <c r="I236" i="32" s="1"/>
  <c r="H244" i="32"/>
  <c r="I244" i="32" s="1"/>
  <c r="O163" i="32" l="1"/>
  <c r="H245" i="32"/>
  <c r="I245" i="32" s="1"/>
  <c r="J163" i="32" l="1"/>
  <c r="K163" i="32"/>
  <c r="I163" i="32"/>
  <c r="J42" i="22"/>
  <c r="G219" i="32"/>
  <c r="G168" i="32"/>
  <c r="H168" i="32" s="1"/>
  <c r="G245" i="32"/>
  <c r="G244" i="32"/>
  <c r="H171" i="32" l="1"/>
  <c r="H172" i="32"/>
  <c r="H169" i="32"/>
  <c r="H170" i="32"/>
  <c r="O168" i="32"/>
  <c r="K168" i="32" l="1"/>
  <c r="J168" i="32"/>
  <c r="I168" i="32"/>
  <c r="K171" i="32" l="1"/>
  <c r="I171" i="32"/>
  <c r="J171" i="32"/>
  <c r="K172" i="32"/>
  <c r="I172" i="32"/>
  <c r="J172" i="32"/>
  <c r="K170" i="32"/>
  <c r="I170" i="32"/>
  <c r="J170" i="32"/>
  <c r="K169" i="32"/>
  <c r="J169" i="32"/>
  <c r="I169" i="32"/>
  <c r="F27" i="27"/>
  <c r="F28" i="27"/>
  <c r="D17" i="27"/>
  <c r="F17" i="27" s="1"/>
  <c r="E17" i="27" s="1"/>
  <c r="F29" i="27" l="1"/>
  <c r="F3" i="35" l="1"/>
  <c r="D9" i="24" l="1"/>
  <c r="D17" i="24"/>
  <c r="H17" i="24"/>
  <c r="D4" i="24"/>
  <c r="X83" i="24"/>
  <c r="E3" i="27"/>
  <c r="G45" i="24"/>
  <c r="E45" i="24"/>
  <c r="M95" i="9"/>
  <c r="G186" i="32"/>
  <c r="O186" i="32" s="1"/>
  <c r="G187" i="32"/>
  <c r="O187" i="32" s="1"/>
  <c r="G165" i="32"/>
  <c r="H165" i="32" s="1"/>
  <c r="G185" i="32"/>
  <c r="H185" i="32" s="1"/>
  <c r="G164" i="32"/>
  <c r="O164" i="32" s="1"/>
  <c r="G181" i="32"/>
  <c r="O181" i="32" s="1"/>
  <c r="G180" i="32"/>
  <c r="O180" i="32" s="1"/>
  <c r="G176" i="32"/>
  <c r="H176" i="32" s="1"/>
  <c r="H155" i="32" s="1"/>
  <c r="G174" i="32"/>
  <c r="H174" i="32" s="1"/>
  <c r="G173" i="32"/>
  <c r="O173" i="32" s="1"/>
  <c r="G172" i="32"/>
  <c r="O172" i="32" s="1"/>
  <c r="G171" i="32"/>
  <c r="O171" i="32" s="1"/>
  <c r="G170" i="32"/>
  <c r="O170" i="32" s="1"/>
  <c r="O169" i="32"/>
  <c r="G162" i="32"/>
  <c r="H162" i="32" s="1"/>
  <c r="G161" i="32"/>
  <c r="H161" i="32" s="1"/>
  <c r="G160" i="32"/>
  <c r="H160" i="32" s="1"/>
  <c r="G159" i="32"/>
  <c r="H159" i="32" s="1"/>
  <c r="G157" i="32"/>
  <c r="H157" i="32" s="1"/>
  <c r="G156" i="32"/>
  <c r="H156" i="32" s="1"/>
  <c r="F246" i="32"/>
  <c r="C246" i="32"/>
  <c r="D246" i="32"/>
  <c r="E246" i="32"/>
  <c r="B246" i="32"/>
  <c r="G246" i="32"/>
  <c r="G243" i="32"/>
  <c r="H243" i="32" s="1"/>
  <c r="I243" i="32" s="1"/>
  <c r="G242" i="32"/>
  <c r="G241" i="32"/>
  <c r="G239" i="32"/>
  <c r="G235" i="32"/>
  <c r="G234" i="32"/>
  <c r="G230" i="32"/>
  <c r="G208" i="32" s="1"/>
  <c r="G228" i="32"/>
  <c r="G227" i="32"/>
  <c r="H227" i="32" s="1"/>
  <c r="I227" i="32" s="1"/>
  <c r="G226" i="32"/>
  <c r="G225" i="32"/>
  <c r="G224" i="32"/>
  <c r="G223" i="32"/>
  <c r="G221" i="32"/>
  <c r="H221" i="32" s="1"/>
  <c r="G220" i="32"/>
  <c r="H220" i="32" s="1"/>
  <c r="I220" i="32" s="1"/>
  <c r="G218" i="32"/>
  <c r="H218" i="32" s="1"/>
  <c r="I218" i="32" s="1"/>
  <c r="G217" i="32"/>
  <c r="H217" i="32" s="1"/>
  <c r="I217" i="32" s="1"/>
  <c r="G216" i="32"/>
  <c r="G215" i="32"/>
  <c r="G214" i="32"/>
  <c r="G213" i="32"/>
  <c r="H213" i="32" s="1"/>
  <c r="G212" i="32"/>
  <c r="H212" i="32" s="1"/>
  <c r="I212" i="32" s="1"/>
  <c r="G211" i="32"/>
  <c r="H211" i="32" s="1"/>
  <c r="I211" i="32" s="1"/>
  <c r="G210" i="32"/>
  <c r="H210" i="32" s="1"/>
  <c r="G209" i="32"/>
  <c r="I210" i="32" l="1"/>
  <c r="H209" i="32"/>
  <c r="I213" i="32"/>
  <c r="H216" i="32"/>
  <c r="I216" i="32" s="1"/>
  <c r="H214" i="32"/>
  <c r="I214" i="32" s="1"/>
  <c r="H215" i="32"/>
  <c r="I215" i="32" s="1"/>
  <c r="I221" i="32"/>
  <c r="H242" i="32"/>
  <c r="I242" i="32" s="1"/>
  <c r="H241" i="32"/>
  <c r="I241" i="32" s="1"/>
  <c r="H223" i="32"/>
  <c r="I223" i="32" s="1"/>
  <c r="H225" i="32"/>
  <c r="I225" i="32" s="1"/>
  <c r="H224" i="32"/>
  <c r="I224" i="32" s="1"/>
  <c r="H222" i="32"/>
  <c r="I222" i="32" s="1"/>
  <c r="O160" i="32"/>
  <c r="O162" i="32"/>
  <c r="O161" i="32"/>
  <c r="O185" i="32"/>
  <c r="H230" i="32"/>
  <c r="O157" i="32"/>
  <c r="O174" i="32"/>
  <c r="O165" i="32"/>
  <c r="O156" i="32"/>
  <c r="O159" i="32"/>
  <c r="O176" i="32"/>
  <c r="I209" i="32"/>
  <c r="G155" i="32"/>
  <c r="O155" i="32" s="1"/>
  <c r="J162" i="32" l="1"/>
  <c r="K162" i="32"/>
  <c r="I162" i="32"/>
  <c r="K185" i="32"/>
  <c r="I185" i="32"/>
  <c r="J185" i="32"/>
  <c r="K161" i="32"/>
  <c r="I161" i="32"/>
  <c r="J161" i="32"/>
  <c r="K160" i="32"/>
  <c r="I160" i="32"/>
  <c r="J160" i="32"/>
  <c r="K156" i="32"/>
  <c r="J156" i="32"/>
  <c r="I156" i="32"/>
  <c r="K165" i="32"/>
  <c r="I165" i="32"/>
  <c r="J165" i="32"/>
  <c r="K174" i="32"/>
  <c r="J174" i="32"/>
  <c r="I174" i="32"/>
  <c r="K157" i="32"/>
  <c r="J157" i="32"/>
  <c r="I157" i="32"/>
  <c r="K159" i="32"/>
  <c r="J159" i="32"/>
  <c r="I159" i="32"/>
  <c r="K155" i="32"/>
  <c r="J155" i="32"/>
  <c r="I155" i="32"/>
  <c r="I189" i="32" l="1"/>
  <c r="K189" i="32"/>
  <c r="J189" i="32"/>
  <c r="H37" i="29"/>
  <c r="E3" i="28" l="1"/>
  <c r="E4" i="28"/>
  <c r="E5" i="28"/>
  <c r="E6" i="28"/>
  <c r="E7" i="28"/>
  <c r="H208" i="32" l="1"/>
  <c r="I247" i="32" l="1"/>
  <c r="P277" i="51"/>
  <c r="P276" i="51"/>
  <c r="J23" i="57" s="1"/>
  <c r="O23" i="57" s="1"/>
  <c r="O57" i="57" s="1"/>
  <c r="Q277" i="51"/>
  <c r="L38" i="65" l="1"/>
  <c r="Q38" i="65" s="1"/>
  <c r="Q94" i="65" s="1"/>
  <c r="L36" i="73"/>
  <c r="Q36" i="73" s="1"/>
  <c r="Q92" i="73" s="1"/>
  <c r="K42" i="70"/>
  <c r="P42" i="70" s="1"/>
  <c r="P92" i="70" s="1"/>
  <c r="K36" i="73"/>
  <c r="P36" i="73" s="1"/>
  <c r="P92" i="73" s="1"/>
  <c r="Q276" i="51"/>
  <c r="K23" i="57" s="1"/>
  <c r="K38" i="65"/>
  <c r="P38" i="65" s="1"/>
  <c r="P94" i="65" s="1"/>
  <c r="L42" i="70"/>
  <c r="Q42" i="70" s="1"/>
  <c r="Q92" i="70" s="1"/>
</calcChain>
</file>

<file path=xl/comments1.xml><?xml version="1.0" encoding="utf-8"?>
<comments xmlns="http://schemas.openxmlformats.org/spreadsheetml/2006/main">
  <authors>
    <author>ecordovin</author>
    <author>Eduardo E.C.S. Cordovin Santesteban</author>
  </authors>
  <commentList>
    <comment ref="B6" authorId="0">
      <text>
        <r>
          <rPr>
            <b/>
            <sz val="8"/>
            <color indexed="81"/>
            <rFont val="Tahoma"/>
            <family val="2"/>
          </rPr>
          <t>ecordovin:</t>
        </r>
        <r>
          <rPr>
            <sz val="8"/>
            <color indexed="81"/>
            <rFont val="Tahoma"/>
            <family val="2"/>
          </rPr>
          <t xml:space="preserve">
sustituye a 106.105.395</t>
        </r>
      </text>
    </comment>
    <comment ref="C10" authorId="0">
      <text>
        <r>
          <rPr>
            <b/>
            <sz val="8"/>
            <color indexed="81"/>
            <rFont val="Tahoma"/>
            <family val="2"/>
          </rPr>
          <t>ecordovin:</t>
        </r>
        <r>
          <rPr>
            <sz val="8"/>
            <color indexed="81"/>
            <rFont val="Tahoma"/>
            <family val="2"/>
          </rPr>
          <t xml:space="preserve">
tiene contacto auxiliar</t>
        </r>
      </text>
    </comment>
    <comment ref="T10" authorId="0">
      <text>
        <r>
          <rPr>
            <b/>
            <sz val="8"/>
            <color indexed="81"/>
            <rFont val="Tahoma"/>
            <family val="2"/>
          </rPr>
          <t>ecordovin:</t>
        </r>
        <r>
          <rPr>
            <sz val="8"/>
            <color indexed="81"/>
            <rFont val="Tahoma"/>
            <family val="2"/>
          </rPr>
          <t xml:space="preserve">
Smart IP20</t>
        </r>
      </text>
    </comment>
    <comment ref="T20" authorId="0">
      <text>
        <r>
          <rPr>
            <b/>
            <sz val="8"/>
            <color indexed="81"/>
            <rFont val="Tahoma"/>
            <family val="2"/>
          </rPr>
          <t>ecordovin:</t>
        </r>
        <r>
          <rPr>
            <sz val="8"/>
            <color indexed="81"/>
            <rFont val="Tahoma"/>
            <family val="2"/>
          </rPr>
          <t xml:space="preserve">
Smart IP20</t>
        </r>
      </text>
    </comment>
    <comment ref="L32" authorId="0">
      <text>
        <r>
          <rPr>
            <b/>
            <sz val="8"/>
            <color indexed="81"/>
            <rFont val="Tahoma"/>
            <family val="2"/>
          </rPr>
          <t>ecordovin:</t>
        </r>
        <r>
          <rPr>
            <sz val="8"/>
            <color indexed="81"/>
            <rFont val="Tahoma"/>
            <family val="2"/>
          </rPr>
          <t xml:space="preserve">
corregido. Estaba mal</t>
        </r>
      </text>
    </comment>
    <comment ref="M32" authorId="0">
      <text>
        <r>
          <rPr>
            <b/>
            <sz val="8"/>
            <color indexed="81"/>
            <rFont val="Tahoma"/>
            <family val="2"/>
          </rPr>
          <t>ecordovin:</t>
        </r>
        <r>
          <rPr>
            <sz val="8"/>
            <color indexed="81"/>
            <rFont val="Tahoma"/>
            <family val="2"/>
          </rPr>
          <t xml:space="preserve">
corregido. Estaba mal</t>
        </r>
      </text>
    </comment>
    <comment ref="B34" authorId="0">
      <text>
        <r>
          <rPr>
            <b/>
            <sz val="8"/>
            <color indexed="81"/>
            <rFont val="Tahoma"/>
            <family val="2"/>
          </rPr>
          <t>ecordovin:</t>
        </r>
        <r>
          <rPr>
            <sz val="8"/>
            <color indexed="81"/>
            <rFont val="Tahoma"/>
            <family val="2"/>
          </rPr>
          <t xml:space="preserve">
sustituye al 106104141 por estar duplicados</t>
        </r>
      </text>
    </comment>
    <comment ref="B50" authorId="0">
      <text>
        <r>
          <rPr>
            <b/>
            <sz val="8"/>
            <color indexed="81"/>
            <rFont val="Tahoma"/>
            <family val="2"/>
          </rPr>
          <t>ecordovin:</t>
        </r>
        <r>
          <rPr>
            <sz val="8"/>
            <color indexed="81"/>
            <rFont val="Tahoma"/>
            <family val="2"/>
          </rPr>
          <t xml:space="preserve">
deshomologado
conex. + y – arriba tierra arriba monitorización arriba</t>
        </r>
      </text>
    </comment>
    <comment ref="B60" authorId="0">
      <text>
        <r>
          <rPr>
            <b/>
            <sz val="8"/>
            <color indexed="81"/>
            <rFont val="Tahoma"/>
            <family val="2"/>
          </rPr>
          <t>ecordovin:</t>
        </r>
        <r>
          <rPr>
            <sz val="8"/>
            <color indexed="81"/>
            <rFont val="Tahoma"/>
            <family val="2"/>
          </rPr>
          <t xml:space="preserve">
3 para Smart IP20 (que no tienen N)</t>
        </r>
      </text>
    </comment>
    <comment ref="T67" authorId="0">
      <text>
        <r>
          <rPr>
            <b/>
            <sz val="8"/>
            <color indexed="81"/>
            <rFont val="Tahoma"/>
            <family val="2"/>
          </rPr>
          <t>ecordovin:</t>
        </r>
        <r>
          <rPr>
            <sz val="8"/>
            <color indexed="81"/>
            <rFont val="Tahoma"/>
            <family val="2"/>
          </rPr>
          <t xml:space="preserve">
con tarjetas de seguidor</t>
        </r>
      </text>
    </comment>
    <comment ref="T68" authorId="0">
      <text>
        <r>
          <rPr>
            <b/>
            <sz val="8"/>
            <color indexed="81"/>
            <rFont val="Tahoma"/>
            <family val="2"/>
          </rPr>
          <t>ecordovin:</t>
        </r>
        <r>
          <rPr>
            <sz val="8"/>
            <color indexed="81"/>
            <rFont val="Tahoma"/>
            <family val="2"/>
          </rPr>
          <t xml:space="preserve">
con tarjetas de seguidor</t>
        </r>
      </text>
    </comment>
    <comment ref="Z72" authorId="0">
      <text>
        <r>
          <rPr>
            <b/>
            <sz val="8"/>
            <color indexed="81"/>
            <rFont val="Tahoma"/>
            <family val="2"/>
          </rPr>
          <t>ecordovin:</t>
        </r>
        <r>
          <rPr>
            <sz val="8"/>
            <color indexed="81"/>
            <rFont val="Tahoma"/>
            <family val="2"/>
          </rPr>
          <t xml:space="preserve">
en kits SAC</t>
        </r>
      </text>
    </comment>
    <comment ref="B83" authorId="0">
      <text>
        <r>
          <rPr>
            <b/>
            <sz val="8"/>
            <color indexed="81"/>
            <rFont val="Tahoma"/>
            <family val="2"/>
          </rPr>
          <t>ecordovin:</t>
        </r>
        <r>
          <rPr>
            <sz val="8"/>
            <color indexed="81"/>
            <rFont val="Tahoma"/>
            <family val="2"/>
          </rPr>
          <t xml:space="preserve">
Dehn compatible con 106104232 de Iskra deshom.
conex. + y – arriba tierra arriba monitorización abajo.
Sustituye al 106104233 (deshomologado por proveedor)</t>
        </r>
      </text>
    </comment>
    <comment ref="T83" authorId="0">
      <text>
        <r>
          <rPr>
            <b/>
            <sz val="8"/>
            <color indexed="81"/>
            <rFont val="Tahoma"/>
            <family val="2"/>
          </rPr>
          <t>ecordovin:</t>
        </r>
        <r>
          <rPr>
            <sz val="8"/>
            <color indexed="81"/>
            <rFont val="Tahoma"/>
            <family val="2"/>
          </rPr>
          <t xml:space="preserve">
IP54 e IP20</t>
        </r>
      </text>
    </comment>
    <comment ref="Z83" authorId="0">
      <text>
        <r>
          <rPr>
            <b/>
            <sz val="8"/>
            <color indexed="81"/>
            <rFont val="Tahoma"/>
            <family val="2"/>
          </rPr>
          <t>ecordovin:</t>
        </r>
        <r>
          <rPr>
            <sz val="8"/>
            <color indexed="81"/>
            <rFont val="Tahoma"/>
            <family val="2"/>
          </rPr>
          <t xml:space="preserve">
AAS0142</t>
        </r>
      </text>
    </comment>
    <comment ref="B87" authorId="0">
      <text>
        <r>
          <rPr>
            <b/>
            <sz val="8"/>
            <color indexed="81"/>
            <rFont val="Tahoma"/>
            <family val="2"/>
          </rPr>
          <t>ecordovin:</t>
        </r>
        <r>
          <rPr>
            <sz val="8"/>
            <color indexed="81"/>
            <rFont val="Tahoma"/>
            <family val="2"/>
          </rPr>
          <t xml:space="preserve">
3+N para Smart nuevos (que tienen N)</t>
        </r>
      </text>
    </comment>
    <comment ref="C101" authorId="0">
      <text>
        <r>
          <rPr>
            <b/>
            <sz val="8"/>
            <color indexed="81"/>
            <rFont val="Tahoma"/>
            <family val="2"/>
          </rPr>
          <t>ecordovin:</t>
        </r>
        <r>
          <rPr>
            <sz val="8"/>
            <color indexed="81"/>
            <rFont val="Tahoma"/>
            <family val="2"/>
          </rPr>
          <t xml:space="preserve">
el nombre de I+D está mal, es 3+0 (y no 3+1)
Tiene contacto auxiliar</t>
        </r>
      </text>
    </comment>
    <comment ref="C102" authorId="0">
      <text>
        <r>
          <rPr>
            <b/>
            <sz val="8"/>
            <color indexed="81"/>
            <rFont val="Tahoma"/>
            <family val="2"/>
          </rPr>
          <t>ecordovin:</t>
        </r>
        <r>
          <rPr>
            <sz val="8"/>
            <color indexed="81"/>
            <rFont val="Tahoma"/>
            <family val="2"/>
          </rPr>
          <t xml:space="preserve">
el nombre de I+D está mal, es 3+0 (y no 3+1)
Tiene contacto auxiliar</t>
        </r>
      </text>
    </comment>
    <comment ref="B112" authorId="1">
      <text>
        <r>
          <rPr>
            <b/>
            <sz val="9"/>
            <color indexed="81"/>
            <rFont val="Tahoma"/>
            <family val="2"/>
          </rPr>
          <t>Eduardo E.C.S. Cordovin Santesteban:</t>
        </r>
        <r>
          <rPr>
            <sz val="9"/>
            <color indexed="81"/>
            <rFont val="Tahoma"/>
            <family val="2"/>
          </rPr>
          <t xml:space="preserve">
cuando protegen al filtro RC, se pueden sustituir por el 106.126.857 que protege más</t>
        </r>
      </text>
    </comment>
    <comment ref="Z112" authorId="0">
      <text>
        <r>
          <rPr>
            <b/>
            <sz val="8"/>
            <color indexed="81"/>
            <rFont val="Tahoma"/>
            <family val="2"/>
          </rPr>
          <t>ecordovin:</t>
        </r>
        <r>
          <rPr>
            <sz val="8"/>
            <color indexed="81"/>
            <rFont val="Tahoma"/>
            <family val="2"/>
          </rPr>
          <t xml:space="preserve">
AAS0219</t>
        </r>
      </text>
    </comment>
    <comment ref="B113" authorId="0">
      <text>
        <r>
          <rPr>
            <b/>
            <sz val="8"/>
            <color indexed="81"/>
            <rFont val="Tahoma"/>
            <family val="2"/>
          </rPr>
          <t>ecordovin:</t>
        </r>
        <r>
          <rPr>
            <sz val="8"/>
            <color indexed="81"/>
            <rFont val="Tahoma"/>
            <family val="2"/>
          </rPr>
          <t xml:space="preserve">
sustituye al 106105852</t>
        </r>
      </text>
    </comment>
    <comment ref="B120" authorId="0">
      <text>
        <r>
          <rPr>
            <b/>
            <sz val="8"/>
            <color indexed="81"/>
            <rFont val="Tahoma"/>
            <family val="2"/>
          </rPr>
          <t>ecordovin:</t>
        </r>
        <r>
          <rPr>
            <sz val="8"/>
            <color indexed="81"/>
            <rFont val="Tahoma"/>
            <family val="2"/>
          </rPr>
          <t xml:space="preserve">
el zócalo donde se inserta es el 106112879</t>
        </r>
      </text>
    </comment>
    <comment ref="B121" authorId="0">
      <text>
        <r>
          <rPr>
            <b/>
            <sz val="8"/>
            <color indexed="81"/>
            <rFont val="Tahoma"/>
            <family val="2"/>
          </rPr>
          <t>ecordovin:</t>
        </r>
        <r>
          <rPr>
            <sz val="8"/>
            <color indexed="81"/>
            <rFont val="Tahoma"/>
            <family val="2"/>
          </rPr>
          <t xml:space="preserve">
la bobina 220V cód. 113672 </t>
        </r>
      </text>
    </comment>
    <comment ref="I142" authorId="1">
      <text>
        <r>
          <rPr>
            <b/>
            <sz val="9"/>
            <color indexed="81"/>
            <rFont val="Tahoma"/>
            <family val="2"/>
          </rPr>
          <t>Eduardo E.C.S. Cordovin Santesteban:</t>
        </r>
        <r>
          <rPr>
            <sz val="9"/>
            <color indexed="81"/>
            <rFont val="Tahoma"/>
            <family val="2"/>
          </rPr>
          <t xml:space="preserve">
incluye 6uds según el fabricante y 1 según Paneles. Pte. de Compras.</t>
        </r>
      </text>
    </comment>
    <comment ref="B145" authorId="0">
      <text>
        <r>
          <rPr>
            <b/>
            <sz val="8"/>
            <color indexed="81"/>
            <rFont val="Tahoma"/>
            <family val="2"/>
          </rPr>
          <t>ecordovin:</t>
        </r>
        <r>
          <rPr>
            <sz val="8"/>
            <color indexed="81"/>
            <rFont val="Tahoma"/>
            <family val="2"/>
          </rPr>
          <t xml:space="preserve">
conex. + y – arriba tierra abajo monitorización arriba</t>
        </r>
      </text>
    </comment>
    <comment ref="Z145" authorId="0">
      <text>
        <r>
          <rPr>
            <b/>
            <sz val="8"/>
            <color indexed="81"/>
            <rFont val="Tahoma"/>
            <family val="2"/>
          </rPr>
          <t>ecordovin:</t>
        </r>
        <r>
          <rPr>
            <sz val="8"/>
            <color indexed="81"/>
            <rFont val="Tahoma"/>
            <family val="2"/>
          </rPr>
          <t xml:space="preserve">
AAS0142</t>
        </r>
      </text>
    </comment>
    <comment ref="Z150" authorId="0">
      <text>
        <r>
          <rPr>
            <b/>
            <sz val="8"/>
            <color indexed="81"/>
            <rFont val="Tahoma"/>
            <family val="2"/>
          </rPr>
          <t>ecordovin:</t>
        </r>
        <r>
          <rPr>
            <sz val="8"/>
            <color indexed="81"/>
            <rFont val="Tahoma"/>
            <family val="2"/>
          </rPr>
          <t xml:space="preserve">
en kits SAC</t>
        </r>
      </text>
    </comment>
    <comment ref="Z153" authorId="0">
      <text>
        <r>
          <rPr>
            <b/>
            <sz val="8"/>
            <color indexed="81"/>
            <rFont val="Tahoma"/>
            <family val="2"/>
          </rPr>
          <t>ecordovin:</t>
        </r>
        <r>
          <rPr>
            <sz val="8"/>
            <color indexed="81"/>
            <rFont val="Tahoma"/>
            <family val="2"/>
          </rPr>
          <t xml:space="preserve">
AAS0221</t>
        </r>
      </text>
    </comment>
    <comment ref="Z154" authorId="0">
      <text>
        <r>
          <rPr>
            <b/>
            <sz val="8"/>
            <color indexed="81"/>
            <rFont val="Tahoma"/>
            <family val="2"/>
          </rPr>
          <t>ecordovin:</t>
        </r>
        <r>
          <rPr>
            <sz val="8"/>
            <color indexed="81"/>
            <rFont val="Tahoma"/>
            <family val="2"/>
          </rPr>
          <t xml:space="preserve">
AAS0220</t>
        </r>
      </text>
    </comment>
    <comment ref="B164" authorId="1">
      <text>
        <r>
          <rPr>
            <b/>
            <sz val="9"/>
            <color indexed="81"/>
            <rFont val="Tahoma"/>
            <family val="2"/>
          </rPr>
          <t>Eduardo E.C.S. Cordovin Santesteban:</t>
        </r>
        <r>
          <rPr>
            <sz val="9"/>
            <color indexed="81"/>
            <rFont val="Tahoma"/>
            <family val="2"/>
          </rPr>
          <t xml:space="preserve">
DS-SC21 maneta roja hecha xa Ingeteam (no hay datasheet x internet)</t>
        </r>
      </text>
    </comment>
    <comment ref="A181" authorId="0">
      <text>
        <r>
          <rPr>
            <b/>
            <sz val="8"/>
            <color indexed="81"/>
            <rFont val="Tahoma"/>
            <family val="2"/>
          </rPr>
          <t>ecordovin:</t>
        </r>
        <r>
          <rPr>
            <sz val="8"/>
            <color indexed="81"/>
            <rFont val="Tahoma"/>
            <family val="2"/>
          </rPr>
          <t xml:space="preserve">
si se quita y se dejan las bornas al aire (aisladas), no pasa nada.</t>
        </r>
      </text>
    </comment>
    <comment ref="C181" authorId="0">
      <text>
        <r>
          <rPr>
            <b/>
            <sz val="8"/>
            <color indexed="81"/>
            <rFont val="Tahoma"/>
            <family val="2"/>
          </rPr>
          <t>ecordovin:</t>
        </r>
        <r>
          <rPr>
            <sz val="8"/>
            <color indexed="81"/>
            <rFont val="Tahoma"/>
            <family val="2"/>
          </rPr>
          <t xml:space="preserve">
sandwich cond + resist</t>
        </r>
      </text>
    </comment>
    <comment ref="A186" authorId="0">
      <text>
        <r>
          <rPr>
            <b/>
            <sz val="8"/>
            <color indexed="81"/>
            <rFont val="Tahoma"/>
            <family val="2"/>
          </rPr>
          <t>ecordovin:</t>
        </r>
        <r>
          <rPr>
            <sz val="8"/>
            <color indexed="81"/>
            <rFont val="Tahoma"/>
            <family val="2"/>
          </rPr>
          <t xml:space="preserve">
valida para equipos de hasta 15kW tanto IP20 como IP54.
La AAS0012 estaba mal documentada y se desdobló en dos tarjetas.Ésta era la de 15 condensadores de 2,2uF
Las AAS0012v_ pueden ser montadas todas en equipos hasta 15kW</t>
        </r>
      </text>
    </comment>
    <comment ref="A187" authorId="0">
      <text>
        <r>
          <rPr>
            <b/>
            <sz val="8"/>
            <color indexed="81"/>
            <rFont val="Tahoma"/>
            <family val="2"/>
          </rPr>
          <t>ecordovin:</t>
        </r>
        <r>
          <rPr>
            <sz val="8"/>
            <color indexed="81"/>
            <rFont val="Tahoma"/>
            <family val="2"/>
          </rPr>
          <t xml:space="preserve">
válida para equipos de 20-30kW tanto IP20 como IP54.
La AAS0012 estaba mal documentada y se desdobló en dos tarjetas.Ésta era la de 9 condensadores de 10uF</t>
        </r>
      </text>
    </comment>
    <comment ref="T192" authorId="0">
      <text>
        <r>
          <rPr>
            <b/>
            <sz val="8"/>
            <color indexed="81"/>
            <rFont val="Tahoma"/>
            <family val="2"/>
          </rPr>
          <t>ecordovin:</t>
        </r>
        <r>
          <rPr>
            <sz val="8"/>
            <color indexed="81"/>
            <rFont val="Tahoma"/>
            <family val="2"/>
          </rPr>
          <t xml:space="preserve">
Smart IP20</t>
        </r>
      </text>
    </comment>
    <comment ref="A199" authorId="1">
      <text>
        <r>
          <rPr>
            <b/>
            <sz val="9"/>
            <color indexed="81"/>
            <rFont val="Tahoma"/>
            <family val="2"/>
          </rPr>
          <t>Eduardo E.C.S. Cordovin Santesteban:</t>
        </r>
        <r>
          <rPr>
            <sz val="9"/>
            <color indexed="81"/>
            <rFont val="Tahoma"/>
            <family val="2"/>
          </rPr>
          <t xml:space="preserve">
compatible con AAS0221 si no hay kit AAV0219</t>
        </r>
      </text>
    </comment>
    <comment ref="A200" authorId="1">
      <text>
        <r>
          <rPr>
            <b/>
            <sz val="9"/>
            <color indexed="81"/>
            <rFont val="Tahoma"/>
            <family val="2"/>
          </rPr>
          <t>Eduardo E.C.S. Cordovin Santesteban:</t>
        </r>
        <r>
          <rPr>
            <sz val="9"/>
            <color indexed="81"/>
            <rFont val="Tahoma"/>
            <family val="2"/>
          </rPr>
          <t xml:space="preserve">
compatible con AAS0091</t>
        </r>
      </text>
    </comment>
    <comment ref="M200" authorId="1">
      <text>
        <r>
          <rPr>
            <b/>
            <sz val="9"/>
            <color indexed="81"/>
            <rFont val="Tahoma"/>
            <family val="2"/>
          </rPr>
          <t>Eduardo E.C.S. Cordovin Santesteban:</t>
        </r>
        <r>
          <rPr>
            <sz val="9"/>
            <color indexed="81"/>
            <rFont val="Tahoma"/>
            <family val="2"/>
          </rPr>
          <t xml:space="preserve">
el precio es tan elevado en 2014 porque se están actualizando las tarjetas display de Lite, pero Jorge estima que cuando se consuman, la diferencia entre uno y otro display será de unos 6€. Por eso pongo este precio de referencia.</t>
        </r>
      </text>
    </comment>
    <comment ref="T227" authorId="0">
      <text>
        <r>
          <rPr>
            <b/>
            <sz val="8"/>
            <color indexed="81"/>
            <rFont val="Tahoma"/>
            <family val="2"/>
          </rPr>
          <t>ecordovin:</t>
        </r>
        <r>
          <rPr>
            <sz val="8"/>
            <color indexed="81"/>
            <rFont val="Tahoma"/>
            <family val="2"/>
          </rPr>
          <t xml:space="preserve">
Smart IP20</t>
        </r>
      </text>
    </comment>
    <comment ref="A228" authorId="0">
      <text>
        <r>
          <rPr>
            <b/>
            <sz val="8"/>
            <color indexed="81"/>
            <rFont val="Tahoma"/>
            <family val="2"/>
          </rPr>
          <t>ecordovin:</t>
        </r>
        <r>
          <rPr>
            <sz val="8"/>
            <color indexed="81"/>
            <rFont val="Tahoma"/>
            <family val="2"/>
          </rPr>
          <t xml:space="preserve">
Power TL, PowerMax y PoweMax MS agrupados</t>
        </r>
      </text>
    </comment>
    <comment ref="Z228" authorId="0">
      <text>
        <r>
          <rPr>
            <b/>
            <sz val="8"/>
            <color indexed="81"/>
            <rFont val="Tahoma"/>
            <family val="2"/>
          </rPr>
          <t>ecordovin:</t>
        </r>
        <r>
          <rPr>
            <sz val="8"/>
            <color indexed="81"/>
            <rFont val="Tahoma"/>
            <family val="2"/>
          </rPr>
          <t xml:space="preserve">
AAV0035, AAV0042</t>
        </r>
      </text>
    </comment>
    <comment ref="A232" authorId="0">
      <text>
        <r>
          <rPr>
            <b/>
            <sz val="8"/>
            <color indexed="81"/>
            <rFont val="Tahoma"/>
            <family val="2"/>
          </rPr>
          <t>ecordovin:</t>
        </r>
        <r>
          <rPr>
            <sz val="8"/>
            <color indexed="81"/>
            <rFont val="Tahoma"/>
            <family val="2"/>
          </rPr>
          <t xml:space="preserve">
Power y PoweMax MS</t>
        </r>
      </text>
    </comment>
    <comment ref="Z232" authorId="0">
      <text>
        <r>
          <rPr>
            <b/>
            <sz val="8"/>
            <color indexed="81"/>
            <rFont val="Tahoma"/>
            <family val="2"/>
          </rPr>
          <t>ecordovin:</t>
        </r>
        <r>
          <rPr>
            <sz val="8"/>
            <color indexed="81"/>
            <rFont val="Tahoma"/>
            <family val="2"/>
          </rPr>
          <t xml:space="preserve">
AAS0194, AAS200, AAV0020</t>
        </r>
      </text>
    </comment>
    <comment ref="Z262" authorId="0">
      <text>
        <r>
          <rPr>
            <b/>
            <sz val="8"/>
            <color indexed="81"/>
            <rFont val="Tahoma"/>
            <family val="2"/>
          </rPr>
          <t>ecordovin:</t>
        </r>
        <r>
          <rPr>
            <sz val="8"/>
            <color indexed="81"/>
            <rFont val="Tahoma"/>
            <family val="2"/>
          </rPr>
          <t xml:space="preserve">
en kits SAC</t>
        </r>
      </text>
    </comment>
    <comment ref="B263" authorId="1">
      <text>
        <r>
          <rPr>
            <b/>
            <sz val="9"/>
            <color indexed="81"/>
            <rFont val="Tahoma"/>
            <family val="2"/>
          </rPr>
          <t>Eduardo E.C.S. Cordovin Santesteban:</t>
        </r>
        <r>
          <rPr>
            <sz val="9"/>
            <color indexed="81"/>
            <rFont val="Tahoma"/>
            <family val="2"/>
          </rPr>
          <t xml:space="preserve">
aunque la descripción pone 500A, luego se homologó para 630A de poder de corte y 800A de térmica</t>
        </r>
      </text>
    </comment>
    <comment ref="B287" authorId="1">
      <text>
        <r>
          <rPr>
            <b/>
            <sz val="9"/>
            <color indexed="81"/>
            <rFont val="Tahoma"/>
            <family val="2"/>
          </rPr>
          <t>Eduardo E.C.S. Cordovin Santesteban:</t>
        </r>
        <r>
          <rPr>
            <sz val="9"/>
            <color indexed="81"/>
            <rFont val="Tahoma"/>
            <family val="2"/>
          </rPr>
          <t xml:space="preserve">
sustituido por 106130090</t>
        </r>
      </text>
    </comment>
    <comment ref="B303" authorId="0">
      <text>
        <r>
          <rPr>
            <b/>
            <sz val="8"/>
            <color indexed="81"/>
            <rFont val="Tahoma"/>
            <family val="2"/>
          </rPr>
          <t>ecordovin:</t>
        </r>
        <r>
          <rPr>
            <sz val="8"/>
            <color indexed="81"/>
            <rFont val="Tahoma"/>
            <family val="2"/>
          </rPr>
          <t xml:space="preserve">
sustituye al 106105850 que se deshomologa.
Mandar con el condensador 106117762</t>
        </r>
      </text>
    </comment>
    <comment ref="B304" authorId="1">
      <text>
        <r>
          <rPr>
            <b/>
            <sz val="9"/>
            <color indexed="81"/>
            <rFont val="Tahoma"/>
            <family val="2"/>
          </rPr>
          <t>Eduardo E.C.S. Cordovin Santesteban:</t>
        </r>
        <r>
          <rPr>
            <sz val="9"/>
            <color indexed="81"/>
            <rFont val="Tahoma"/>
            <family val="2"/>
          </rPr>
          <t xml:space="preserve">
condensador del ventilador 106112043, que sustituye al 106104947</t>
        </r>
      </text>
    </comment>
    <comment ref="B305" authorId="1">
      <text>
        <r>
          <rPr>
            <b/>
            <sz val="9"/>
            <color indexed="81"/>
            <rFont val="Tahoma"/>
            <family val="2"/>
          </rPr>
          <t>Eduardo E.C.S. Cordovin Santesteban:</t>
        </r>
        <r>
          <rPr>
            <sz val="9"/>
            <color indexed="81"/>
            <rFont val="Tahoma"/>
            <family val="2"/>
          </rPr>
          <t xml:space="preserve">
tener en cuenta qué condensador lleva</t>
        </r>
      </text>
    </comment>
    <comment ref="A306" authorId="0">
      <text>
        <r>
          <rPr>
            <b/>
            <sz val="8"/>
            <color indexed="81"/>
            <rFont val="Tahoma"/>
            <family val="2"/>
          </rPr>
          <t>ecordovin:</t>
        </r>
        <r>
          <rPr>
            <sz val="8"/>
            <color indexed="81"/>
            <rFont val="Tahoma"/>
            <family val="2"/>
          </rPr>
          <t xml:space="preserve">
Es idéntica a la AAS0018, pero para montar directamente a la placa con torretas, en lugar de sobre carril DIN. Compatibles ambas.</t>
        </r>
      </text>
    </comment>
    <comment ref="A307" authorId="0">
      <text>
        <r>
          <rPr>
            <b/>
            <sz val="8"/>
            <color indexed="81"/>
            <rFont val="Tahoma"/>
            <family val="2"/>
          </rPr>
          <t>ecordovin:</t>
        </r>
        <r>
          <rPr>
            <sz val="8"/>
            <color indexed="81"/>
            <rFont val="Tahoma"/>
            <family val="2"/>
          </rPr>
          <t xml:space="preserve">
es idéntica a la AAV0009, pero para montar directamente a la placa con torretas, en lugar de sobre carril DIN. Compatibles ambas.</t>
        </r>
      </text>
    </comment>
    <comment ref="B316" authorId="0">
      <text>
        <r>
          <rPr>
            <b/>
            <sz val="8"/>
            <color indexed="81"/>
            <rFont val="Tahoma"/>
            <family val="2"/>
          </rPr>
          <t>ecordovin:</t>
        </r>
        <r>
          <rPr>
            <sz val="8"/>
            <color indexed="81"/>
            <rFont val="Tahoma"/>
            <family val="2"/>
          </rPr>
          <t xml:space="preserve">
de M10 sustituye al 106122313 en la versión_A de la AAV0121.
Compatible para atrás, salvo que I+D haga la prueba y diga que hay calentamiento.</t>
        </r>
      </text>
    </comment>
    <comment ref="M316" authorId="1">
      <text>
        <r>
          <rPr>
            <b/>
            <sz val="9"/>
            <color indexed="81"/>
            <rFont val="Tahoma"/>
            <family val="2"/>
          </rPr>
          <t>Eduardo E.C.S. Cordovin Santesteban:</t>
        </r>
        <r>
          <rPr>
            <sz val="9"/>
            <color indexed="81"/>
            <rFont val="Tahoma"/>
            <family val="2"/>
          </rPr>
          <t xml:space="preserve">
Han estado cobrando de más, x eso en 2015 nos cobran menos del precio que nos van a cobrar de normal. A falta  d saber ese precio pongo éste de referencia</t>
        </r>
      </text>
    </comment>
    <comment ref="A332" authorId="0">
      <text>
        <r>
          <rPr>
            <b/>
            <sz val="8"/>
            <color indexed="81"/>
            <rFont val="Tahoma"/>
            <family val="2"/>
          </rPr>
          <t>ecordovin:</t>
        </r>
        <r>
          <rPr>
            <sz val="8"/>
            <color indexed="81"/>
            <rFont val="Tahoma"/>
            <family val="2"/>
          </rPr>
          <t xml:space="preserve">
Resistencias de precarga del trafo</t>
        </r>
      </text>
    </comment>
    <comment ref="B348" authorId="1">
      <text>
        <r>
          <rPr>
            <b/>
            <sz val="9"/>
            <color indexed="81"/>
            <rFont val="Tahoma"/>
            <family val="2"/>
          </rPr>
          <t>Eduardo E.C.S. Cordovin Santesteban:</t>
        </r>
        <r>
          <rPr>
            <sz val="9"/>
            <color indexed="81"/>
            <rFont val="Tahoma"/>
            <family val="2"/>
          </rPr>
          <t xml:space="preserve">
desaparece y se sustituye por AAV0291 (kit que la sustituye AAV5034)</t>
        </r>
      </text>
    </comment>
    <comment ref="A356" authorId="1">
      <text>
        <r>
          <rPr>
            <b/>
            <sz val="9"/>
            <color indexed="81"/>
            <rFont val="Tahoma"/>
            <family val="2"/>
          </rPr>
          <t>Eduardo E.C.S. Cordovin Santesteban:</t>
        </r>
        <r>
          <rPr>
            <sz val="9"/>
            <color indexed="81"/>
            <rFont val="Tahoma"/>
            <family val="2"/>
          </rPr>
          <t xml:space="preserve">
en los Power sustituye al AAS0026 (el kit xa sustituir el AAS0026 x el AAS0277 es el AAS5033</t>
        </r>
      </text>
    </comment>
    <comment ref="B359" authorId="1">
      <text>
        <r>
          <rPr>
            <b/>
            <sz val="9"/>
            <color indexed="81"/>
            <rFont val="Tahoma"/>
            <family val="2"/>
          </rPr>
          <t>Eduardo E.C.S. Cordovin Santesteban:</t>
        </r>
        <r>
          <rPr>
            <sz val="9"/>
            <color indexed="81"/>
            <rFont val="Tahoma"/>
            <family val="2"/>
          </rPr>
          <t xml:space="preserve">
sustituye al 106119667</t>
        </r>
      </text>
    </comment>
    <comment ref="B363" authorId="1">
      <text>
        <r>
          <rPr>
            <b/>
            <sz val="9"/>
            <color indexed="81"/>
            <rFont val="Tahoma"/>
            <family val="2"/>
          </rPr>
          <t>Eduardo E.C.S. Cordovin Santesteban:</t>
        </r>
        <r>
          <rPr>
            <sz val="9"/>
            <color indexed="81"/>
            <rFont val="Tahoma"/>
            <family val="2"/>
          </rPr>
          <t xml:space="preserve">
cuando protegen al filtro RC, pueden sustituir all 106.112.520 porque protege más</t>
        </r>
      </text>
    </comment>
    <comment ref="B364" authorId="1">
      <text>
        <r>
          <rPr>
            <b/>
            <sz val="9"/>
            <color indexed="81"/>
            <rFont val="Tahoma"/>
            <family val="2"/>
          </rPr>
          <t>Eduardo E.C.S. Cordovin Santesteban:</t>
        </r>
        <r>
          <rPr>
            <sz val="9"/>
            <color indexed="81"/>
            <rFont val="Tahoma"/>
            <family val="2"/>
          </rPr>
          <t xml:space="preserve">
AAV0291 que sustituye a la AAV0089  (kit que la sustituye AAV5034)</t>
        </r>
      </text>
    </comment>
    <comment ref="B367" authorId="1">
      <text>
        <r>
          <rPr>
            <b/>
            <sz val="9"/>
            <color indexed="81"/>
            <rFont val="Tahoma"/>
            <family val="2"/>
          </rPr>
          <t>Eduardo E.C.S. Cordovin Santesteban:</t>
        </r>
        <r>
          <rPr>
            <sz val="9"/>
            <color indexed="81"/>
            <rFont val="Tahoma"/>
            <family val="2"/>
          </rPr>
          <t xml:space="preserve">
es el 106204784 sin cubrebornas</t>
        </r>
      </text>
    </comment>
    <comment ref="B368" authorId="1">
      <text>
        <r>
          <rPr>
            <b/>
            <sz val="9"/>
            <color indexed="81"/>
            <rFont val="Tahoma"/>
            <family val="2"/>
          </rPr>
          <t>Eduardo E.C.S. Cordovin Santesteban:</t>
        </r>
        <r>
          <rPr>
            <sz val="9"/>
            <color indexed="81"/>
            <rFont val="Tahoma"/>
            <family val="2"/>
          </rPr>
          <t xml:space="preserve">
sustituye al 106122352</t>
        </r>
      </text>
    </comment>
    <comment ref="C375" authorId="1">
      <text>
        <r>
          <rPr>
            <b/>
            <sz val="9"/>
            <color indexed="81"/>
            <rFont val="Tahoma"/>
            <family val="2"/>
          </rPr>
          <t>Eduardo E.C.S. Cordovin Santesteban:</t>
        </r>
        <r>
          <rPr>
            <sz val="9"/>
            <color indexed="81"/>
            <rFont val="Tahoma"/>
            <family val="2"/>
          </rPr>
          <t xml:space="preserve">
No compatibles así que hay que mandar siempre el que tenga exactamente</t>
        </r>
      </text>
    </comment>
  </commentList>
</comments>
</file>

<file path=xl/comments10.xml><?xml version="1.0" encoding="utf-8"?>
<comments xmlns="http://schemas.openxmlformats.org/spreadsheetml/2006/main">
  <authors>
    <author>ecordovin</author>
    <author>Eduardo E.C.S. Cordovin Santesteban</author>
  </authors>
  <commentList>
    <comment ref="D68" authorId="0">
      <text>
        <r>
          <rPr>
            <b/>
            <sz val="8"/>
            <color indexed="81"/>
            <rFont val="Tahoma"/>
            <family val="2"/>
          </rPr>
          <t>ecordovin:</t>
        </r>
        <r>
          <rPr>
            <sz val="8"/>
            <color indexed="81"/>
            <rFont val="Tahoma"/>
            <family val="2"/>
          </rPr>
          <t xml:space="preserve">
sustituido por FAN 106112525</t>
        </r>
      </text>
    </comment>
    <comment ref="D105" authorId="0">
      <text>
        <r>
          <rPr>
            <b/>
            <sz val="8"/>
            <color indexed="81"/>
            <rFont val="Tahoma"/>
            <family val="2"/>
          </rPr>
          <t>ecordovin:</t>
        </r>
        <r>
          <rPr>
            <sz val="8"/>
            <color indexed="81"/>
            <rFont val="Tahoma"/>
            <family val="2"/>
          </rPr>
          <t xml:space="preserve">
sustituido por FAN 106112525</t>
        </r>
      </text>
    </comment>
    <comment ref="D148" authorId="0">
      <text>
        <r>
          <rPr>
            <b/>
            <sz val="8"/>
            <color indexed="81"/>
            <rFont val="Tahoma"/>
            <family val="2"/>
          </rPr>
          <t>ecordovin:</t>
        </r>
        <r>
          <rPr>
            <sz val="8"/>
            <color indexed="81"/>
            <rFont val="Tahoma"/>
            <family val="2"/>
          </rPr>
          <t xml:space="preserve">
sustituido por FAN 106112525</t>
        </r>
      </text>
    </comment>
    <comment ref="C149" authorId="1">
      <text>
        <r>
          <rPr>
            <b/>
            <sz val="9"/>
            <color indexed="81"/>
            <rFont val="Tahoma"/>
            <family val="2"/>
          </rPr>
          <t>Eduardo E.C.S. Cordovin Santesteban:</t>
        </r>
        <r>
          <rPr>
            <sz val="9"/>
            <color indexed="81"/>
            <rFont val="Tahoma"/>
            <family val="2"/>
          </rPr>
          <t xml:space="preserve">
sustituir por AAS5033 (kit con el AAS0277)</t>
        </r>
      </text>
    </comment>
    <comment ref="D188" authorId="0">
      <text>
        <r>
          <rPr>
            <b/>
            <sz val="8"/>
            <color indexed="81"/>
            <rFont val="Tahoma"/>
            <family val="2"/>
          </rPr>
          <t>ecordovin:</t>
        </r>
        <r>
          <rPr>
            <sz val="8"/>
            <color indexed="81"/>
            <rFont val="Tahoma"/>
            <family val="2"/>
          </rPr>
          <t xml:space="preserve">
sustituye al 106104141 por estar duplicados</t>
        </r>
      </text>
    </comment>
    <comment ref="D194" authorId="0">
      <text>
        <r>
          <rPr>
            <b/>
            <sz val="8"/>
            <color indexed="81"/>
            <rFont val="Tahoma"/>
            <family val="2"/>
          </rPr>
          <t>ecordovin:</t>
        </r>
        <r>
          <rPr>
            <sz val="8"/>
            <color indexed="81"/>
            <rFont val="Tahoma"/>
            <family val="2"/>
          </rPr>
          <t xml:space="preserve">
sustituido por FAN 106112525</t>
        </r>
      </text>
    </comment>
    <comment ref="C195" authorId="1">
      <text>
        <r>
          <rPr>
            <b/>
            <sz val="9"/>
            <color indexed="81"/>
            <rFont val="Tahoma"/>
            <family val="2"/>
          </rPr>
          <t>Eduardo E.C.S. Cordovin Santesteban:</t>
        </r>
        <r>
          <rPr>
            <sz val="9"/>
            <color indexed="81"/>
            <rFont val="Tahoma"/>
            <family val="2"/>
          </rPr>
          <t xml:space="preserve">
sustituir por AAS5033 (kit con el AAS0277)</t>
        </r>
      </text>
    </comment>
  </commentList>
</comments>
</file>

<file path=xl/comments11.xml><?xml version="1.0" encoding="utf-8"?>
<comments xmlns="http://schemas.openxmlformats.org/spreadsheetml/2006/main">
  <authors>
    <author>Eduardo E.C.S. Cordovin Santesteban</author>
  </authors>
  <commentList>
    <comment ref="E2" authorId="0">
      <text>
        <r>
          <rPr>
            <b/>
            <sz val="9"/>
            <color indexed="81"/>
            <rFont val="Tahoma"/>
            <family val="2"/>
          </rPr>
          <t>Eduardo E.C.S. Cordovin Santesteban:</t>
        </r>
        <r>
          <rPr>
            <sz val="9"/>
            <color indexed="81"/>
            <rFont val="Tahoma"/>
            <family val="2"/>
          </rPr>
          <t xml:space="preserve">
en 2009</t>
        </r>
      </text>
    </comment>
    <comment ref="C3" authorId="0">
      <text>
        <r>
          <rPr>
            <b/>
            <sz val="9"/>
            <color indexed="81"/>
            <rFont val="Tahoma"/>
            <family val="2"/>
          </rPr>
          <t>Eduardo E.C.S. Cordovin Santesteban:</t>
        </r>
        <r>
          <rPr>
            <sz val="9"/>
            <color indexed="81"/>
            <rFont val="Tahoma"/>
            <family val="2"/>
          </rPr>
          <t xml:space="preserve">
antes de la AAS0043 se usaba esta tarjeta y sus relés para controlar los ventiladores.
La v_ (Acciona) y la v_A no son compatibles. Pendiente de que Txetxu codifique las dos versiones.
Ver comentarios en la AAP0106</t>
        </r>
      </text>
    </comment>
  </commentList>
</comments>
</file>

<file path=xl/comments12.xml><?xml version="1.0" encoding="utf-8"?>
<comments xmlns="http://schemas.openxmlformats.org/spreadsheetml/2006/main">
  <authors>
    <author>ecordovin</author>
  </authors>
  <commentList>
    <comment ref="D20" authorId="0">
      <text>
        <r>
          <rPr>
            <b/>
            <sz val="8"/>
            <color indexed="81"/>
            <rFont val="Tahoma"/>
            <family val="2"/>
          </rPr>
          <t>ecordovin:</t>
        </r>
        <r>
          <rPr>
            <sz val="8"/>
            <color indexed="81"/>
            <rFont val="Tahoma"/>
            <family val="2"/>
          </rPr>
          <t xml:space="preserve">
sustituido por 106112043 que a su vez va con el condensador 106117762</t>
        </r>
      </text>
    </comment>
    <comment ref="D59" authorId="0">
      <text>
        <r>
          <rPr>
            <b/>
            <sz val="8"/>
            <color indexed="81"/>
            <rFont val="Tahoma"/>
            <family val="2"/>
          </rPr>
          <t>ecordovin:</t>
        </r>
        <r>
          <rPr>
            <sz val="8"/>
            <color indexed="81"/>
            <rFont val="Tahoma"/>
            <family val="2"/>
          </rPr>
          <t xml:space="preserve">
sustituido por 106112043 que a su vez va con el condensador 106117762</t>
        </r>
      </text>
    </comment>
    <comment ref="D60" authorId="0">
      <text>
        <r>
          <rPr>
            <b/>
            <sz val="8"/>
            <color indexed="81"/>
            <rFont val="Tahoma"/>
            <family val="2"/>
          </rPr>
          <t>ecordovin:</t>
        </r>
        <r>
          <rPr>
            <sz val="8"/>
            <color indexed="81"/>
            <rFont val="Tahoma"/>
            <family val="2"/>
          </rPr>
          <t xml:space="preserve">
sustituido por FAN 106112525</t>
        </r>
      </text>
    </comment>
  </commentList>
</comments>
</file>

<file path=xl/comments13.xml><?xml version="1.0" encoding="utf-8"?>
<comments xmlns="http://schemas.openxmlformats.org/spreadsheetml/2006/main">
  <authors>
    <author>Eduardo E.C.S. Cordovin Santesteban</author>
    <author>ecordovin</author>
  </authors>
  <commentList>
    <comment ref="B37" authorId="0">
      <text>
        <r>
          <rPr>
            <b/>
            <sz val="9"/>
            <color indexed="81"/>
            <rFont val="Tahoma"/>
            <family val="2"/>
          </rPr>
          <t>Eduardo E.C.S. Cordovin Santesteban:</t>
        </r>
        <r>
          <rPr>
            <sz val="9"/>
            <color indexed="81"/>
            <rFont val="Tahoma"/>
            <family val="2"/>
          </rPr>
          <t xml:space="preserve">
sustituye al AAR0026</t>
        </r>
      </text>
    </comment>
    <comment ref="B48" authorId="1">
      <text>
        <r>
          <rPr>
            <b/>
            <sz val="8"/>
            <color indexed="81"/>
            <rFont val="Tahoma"/>
            <family val="2"/>
          </rPr>
          <t>ecordovin:</t>
        </r>
        <r>
          <rPr>
            <sz val="8"/>
            <color indexed="81"/>
            <rFont val="Tahoma"/>
            <family val="2"/>
          </rPr>
          <t xml:space="preserve">
Resistencias de precarga del trafo</t>
        </r>
      </text>
    </comment>
  </commentList>
</comments>
</file>

<file path=xl/comments14.xml><?xml version="1.0" encoding="utf-8"?>
<comments xmlns="http://schemas.openxmlformats.org/spreadsheetml/2006/main">
  <authors>
    <author>Eduardo E.C.S. Cordovin Santesteban</author>
  </authors>
  <commentList>
    <comment ref="C27" authorId="0">
      <text>
        <r>
          <rPr>
            <b/>
            <sz val="9"/>
            <color indexed="81"/>
            <rFont val="Tahoma"/>
            <family val="2"/>
          </rPr>
          <t>Eduardo E.C.S. Cordovin Santesteban:</t>
        </r>
        <r>
          <rPr>
            <sz val="9"/>
            <color indexed="81"/>
            <rFont val="Tahoma"/>
            <family val="2"/>
          </rPr>
          <t xml:space="preserve">
sustituye al 106112520</t>
        </r>
      </text>
    </comment>
  </commentList>
</comments>
</file>

<file path=xl/comments15.xml><?xml version="1.0" encoding="utf-8"?>
<comments xmlns="http://schemas.openxmlformats.org/spreadsheetml/2006/main">
  <authors>
    <author>Eduardo E.C.S. Cordovin Santesteban</author>
    <author>ecordovin</author>
  </authors>
  <commentList>
    <comment ref="C18" authorId="0">
      <text>
        <r>
          <rPr>
            <b/>
            <sz val="9"/>
            <color indexed="81"/>
            <rFont val="Tahoma"/>
            <family val="2"/>
          </rPr>
          <t>Eduardo E.C.S. Cordovin Santesteban:</t>
        </r>
        <r>
          <rPr>
            <sz val="9"/>
            <color indexed="81"/>
            <rFont val="Tahoma"/>
            <family val="2"/>
          </rPr>
          <t xml:space="preserve">
sustituye al 106116452 a partir de AAV0216_C, AAV0194_A y en AAV0298, 299 y 300.</t>
        </r>
      </text>
    </comment>
    <comment ref="D20" authorId="0">
      <text>
        <r>
          <rPr>
            <b/>
            <sz val="9"/>
            <color indexed="81"/>
            <rFont val="Tahoma"/>
            <family val="2"/>
          </rPr>
          <t>Eduardo E.C.S. Cordovin Santesteban:</t>
        </r>
        <r>
          <rPr>
            <sz val="9"/>
            <color indexed="81"/>
            <rFont val="Tahoma"/>
            <family val="2"/>
          </rPr>
          <t xml:space="preserve">
xa los de dos bloques, más baratos el de 800A aunque éste tb vale</t>
        </r>
      </text>
    </comment>
    <comment ref="C26" authorId="0">
      <text>
        <r>
          <rPr>
            <b/>
            <sz val="9"/>
            <color indexed="81"/>
            <rFont val="Tahoma"/>
            <charset val="1"/>
          </rPr>
          <t>Eduardo E.C.S. Cordovin Santesteban:</t>
        </r>
        <r>
          <rPr>
            <sz val="9"/>
            <color indexed="81"/>
            <rFont val="Tahoma"/>
            <charset val="1"/>
          </rPr>
          <t xml:space="preserve">
en los modulares iba el 106113993</t>
        </r>
      </text>
    </comment>
    <comment ref="C28" authorId="0">
      <text>
        <r>
          <rPr>
            <b/>
            <sz val="9"/>
            <color indexed="81"/>
            <rFont val="Tahoma"/>
            <family val="2"/>
          </rPr>
          <t>Eduardo E.C.S. Cordovin Santesteban:</t>
        </r>
        <r>
          <rPr>
            <sz val="9"/>
            <color indexed="81"/>
            <rFont val="Tahoma"/>
            <family val="2"/>
          </rPr>
          <t xml:space="preserve">
sustituido por 106130090</t>
        </r>
      </text>
    </comment>
    <comment ref="C37" authorId="1">
      <text>
        <r>
          <rPr>
            <b/>
            <sz val="8"/>
            <color indexed="81"/>
            <rFont val="Tahoma"/>
            <family val="2"/>
          </rPr>
          <t>ecordovin:</t>
        </r>
        <r>
          <rPr>
            <sz val="8"/>
            <color indexed="81"/>
            <rFont val="Tahoma"/>
            <family val="2"/>
          </rPr>
          <t xml:space="preserve">
en anterior v (AAV0121_), 106122313 de Microelettrica</t>
        </r>
      </text>
    </comment>
    <comment ref="Z37" authorId="0">
      <text>
        <r>
          <rPr>
            <b/>
            <sz val="9"/>
            <color indexed="81"/>
            <rFont val="Tahoma"/>
            <family val="2"/>
          </rPr>
          <t>Eduardo E.C.S. Cordovin Santesteban:</t>
        </r>
        <r>
          <rPr>
            <sz val="9"/>
            <color indexed="81"/>
            <rFont val="Tahoma"/>
            <family val="2"/>
          </rPr>
          <t xml:space="preserve">
a priori no son compatibles. Si se sustituye uno por otro, hay que sustituir y recrimpar los terminales de los cables que entran al contactor.</t>
        </r>
      </text>
    </comment>
    <comment ref="C41" authorId="0">
      <text>
        <r>
          <rPr>
            <b/>
            <sz val="9"/>
            <color indexed="81"/>
            <rFont val="Tahoma"/>
            <family val="2"/>
          </rPr>
          <t>Eduardo E.C.S. Cordovin Santesteban:</t>
        </r>
        <r>
          <rPr>
            <sz val="9"/>
            <color indexed="81"/>
            <rFont val="Tahoma"/>
            <family val="2"/>
          </rPr>
          <t xml:space="preserve">
tener en cuenta qué condensador lleva</t>
        </r>
      </text>
    </comment>
    <comment ref="B43" authorId="1">
      <text>
        <r>
          <rPr>
            <b/>
            <sz val="8"/>
            <color indexed="81"/>
            <rFont val="Tahoma"/>
            <family val="2"/>
          </rPr>
          <t>ecordovin:</t>
        </r>
        <r>
          <rPr>
            <sz val="8"/>
            <color indexed="81"/>
            <rFont val="Tahoma"/>
            <family val="2"/>
          </rPr>
          <t xml:space="preserve">
Es idéntica a la AAS0018, pero para montar directamente a la placa con torretas, en lugar de sobre carril DIN. Compatibles ambas.</t>
        </r>
      </text>
    </comment>
    <comment ref="C46" authorId="0">
      <text>
        <r>
          <rPr>
            <b/>
            <sz val="9"/>
            <color indexed="81"/>
            <rFont val="Tahoma"/>
            <family val="2"/>
          </rPr>
          <t>Eduardo E.C.S. Cordovin Santesteban:</t>
        </r>
        <r>
          <rPr>
            <sz val="9"/>
            <color indexed="81"/>
            <rFont val="Tahoma"/>
            <family val="2"/>
          </rPr>
          <t xml:space="preserve">
sustituye al 106112520</t>
        </r>
      </text>
    </comment>
    <comment ref="C48" authorId="0">
      <text>
        <r>
          <rPr>
            <b/>
            <sz val="9"/>
            <color indexed="81"/>
            <rFont val="Tahoma"/>
            <family val="2"/>
          </rPr>
          <t>Eduardo E.C.S. Cordovin Santesteban:</t>
        </r>
        <r>
          <rPr>
            <sz val="9"/>
            <color indexed="81"/>
            <rFont val="Tahoma"/>
            <family val="2"/>
          </rPr>
          <t xml:space="preserve">
sustituye al 106119667</t>
        </r>
      </text>
    </comment>
    <comment ref="B52" authorId="1">
      <text>
        <r>
          <rPr>
            <b/>
            <sz val="8"/>
            <color indexed="81"/>
            <rFont val="Tahoma"/>
            <family val="2"/>
          </rPr>
          <t>ecordovin:</t>
        </r>
        <r>
          <rPr>
            <sz val="8"/>
            <color indexed="81"/>
            <rFont val="Tahoma"/>
            <family val="2"/>
          </rPr>
          <t xml:space="preserve">
es idéntica a la AAV0009, pero para montar directamente a la placa con torretas, en lugar de sobre carril DIN. Compatibles ambas.</t>
        </r>
      </text>
    </comment>
    <comment ref="B82" authorId="0">
      <text>
        <r>
          <rPr>
            <b/>
            <sz val="9"/>
            <color indexed="81"/>
            <rFont val="Tahoma"/>
            <family val="2"/>
          </rPr>
          <t>Eduardo E.C.S. Cordovin Santesteban:</t>
        </r>
        <r>
          <rPr>
            <sz val="9"/>
            <color indexed="81"/>
            <rFont val="Tahoma"/>
            <family val="2"/>
          </rPr>
          <t xml:space="preserve">
si lleva vatímetro, lleva kit de trafos de tensión (AAV0067) y de corriente (AAV0066 en 4B, AAV0065 en 3B y AAV0235 en 2B).</t>
        </r>
      </text>
    </comment>
    <comment ref="C83" authorId="0">
      <text>
        <r>
          <rPr>
            <b/>
            <sz val="9"/>
            <color indexed="81"/>
            <rFont val="Tahoma"/>
            <family val="2"/>
          </rPr>
          <t>Eduardo E.C.S. Cordovin Santesteban:</t>
        </r>
        <r>
          <rPr>
            <sz val="9"/>
            <color indexed="81"/>
            <rFont val="Tahoma"/>
            <family val="2"/>
          </rPr>
          <t xml:space="preserve">
sustiutye al anterior de 0,5A 106105901</t>
        </r>
      </text>
    </comment>
    <comment ref="C89" authorId="0">
      <text>
        <r>
          <rPr>
            <b/>
            <sz val="9"/>
            <color indexed="81"/>
            <rFont val="Tahoma"/>
            <family val="2"/>
          </rPr>
          <t>Eduardo E.C.S. Cordovin Santesteban:</t>
        </r>
        <r>
          <rPr>
            <sz val="9"/>
            <color indexed="81"/>
            <rFont val="Tahoma"/>
            <family val="2"/>
          </rPr>
          <t xml:space="preserve">
AAV0089 que luego se sustituye por AAV0291</t>
        </r>
      </text>
    </comment>
  </commentList>
</comments>
</file>

<file path=xl/comments16.xml><?xml version="1.0" encoding="utf-8"?>
<comments xmlns="http://schemas.openxmlformats.org/spreadsheetml/2006/main">
  <authors>
    <author>Eduardo E.C.S. Cordovin Santesteban</author>
  </authors>
  <commentList>
    <comment ref="C18" authorId="0">
      <text>
        <r>
          <rPr>
            <b/>
            <sz val="9"/>
            <color indexed="81"/>
            <rFont val="Tahoma"/>
            <family val="2"/>
          </rPr>
          <t>Eduardo E.C.S. Cordovin Santesteban:</t>
        </r>
        <r>
          <rPr>
            <sz val="9"/>
            <color indexed="81"/>
            <rFont val="Tahoma"/>
            <family val="2"/>
          </rPr>
          <t xml:space="preserve">
sustituye al 106116452 a partir de AAV0216_C, AAV0194_A y en AAV0298, 299 y 300.</t>
        </r>
      </text>
    </comment>
    <comment ref="D20" authorId="0">
      <text>
        <r>
          <rPr>
            <b/>
            <sz val="9"/>
            <color indexed="81"/>
            <rFont val="Tahoma"/>
            <family val="2"/>
          </rPr>
          <t>Eduardo E.C.S. Cordovin Santesteban:</t>
        </r>
        <r>
          <rPr>
            <sz val="9"/>
            <color indexed="81"/>
            <rFont val="Tahoma"/>
            <family val="2"/>
          </rPr>
          <t xml:space="preserve">
No compatibles así que hay que mandar siempre el que tenga exactamente</t>
        </r>
      </text>
    </comment>
    <comment ref="C31" authorId="0">
      <text>
        <r>
          <rPr>
            <b/>
            <sz val="9"/>
            <color indexed="81"/>
            <rFont val="Tahoma"/>
            <family val="2"/>
          </rPr>
          <t>Eduardo E.C.S. Cordovin Santesteban:</t>
        </r>
        <r>
          <rPr>
            <sz val="9"/>
            <color indexed="81"/>
            <rFont val="Tahoma"/>
            <family val="2"/>
          </rPr>
          <t xml:space="preserve">
sustituye al 106122352</t>
        </r>
      </text>
    </comment>
    <comment ref="Z41" authorId="0">
      <text>
        <r>
          <rPr>
            <b/>
            <sz val="9"/>
            <color indexed="81"/>
            <rFont val="Tahoma"/>
            <family val="2"/>
          </rPr>
          <t>Eduardo E.C.S. Cordovin Santesteban:</t>
        </r>
        <r>
          <rPr>
            <sz val="9"/>
            <color indexed="81"/>
            <rFont val="Tahoma"/>
            <family val="2"/>
          </rPr>
          <t xml:space="preserve">
a priori no son compatibles. Si se sustituye uno por otro, hay que sustituir y recrimpar los terminales de los cables que entran al contactor.</t>
        </r>
      </text>
    </comment>
    <comment ref="C45" authorId="0">
      <text>
        <r>
          <rPr>
            <b/>
            <sz val="9"/>
            <color indexed="81"/>
            <rFont val="Tahoma"/>
            <family val="2"/>
          </rPr>
          <t>Eduardo E.C.S. Cordovin Santesteban:</t>
        </r>
        <r>
          <rPr>
            <sz val="9"/>
            <color indexed="81"/>
            <rFont val="Tahoma"/>
            <family val="2"/>
          </rPr>
          <t xml:space="preserve">
tener en cuenta qué condensador lleva</t>
        </r>
      </text>
    </comment>
    <comment ref="C50" authorId="0">
      <text>
        <r>
          <rPr>
            <b/>
            <sz val="9"/>
            <color indexed="81"/>
            <rFont val="Tahoma"/>
            <family val="2"/>
          </rPr>
          <t>Eduardo E.C.S. Cordovin Santesteban:</t>
        </r>
        <r>
          <rPr>
            <sz val="9"/>
            <color indexed="81"/>
            <rFont val="Tahoma"/>
            <family val="2"/>
          </rPr>
          <t xml:space="preserve">
sustituye al 106112520</t>
        </r>
      </text>
    </comment>
    <comment ref="C52" authorId="0">
      <text>
        <r>
          <rPr>
            <b/>
            <sz val="9"/>
            <color indexed="81"/>
            <rFont val="Tahoma"/>
            <family val="2"/>
          </rPr>
          <t>Eduardo E.C.S. Cordovin Santesteban:</t>
        </r>
        <r>
          <rPr>
            <sz val="9"/>
            <color indexed="81"/>
            <rFont val="Tahoma"/>
            <family val="2"/>
          </rPr>
          <t xml:space="preserve">
sustituye al 106119667</t>
        </r>
      </text>
    </comment>
    <comment ref="C87" authorId="0">
      <text>
        <r>
          <rPr>
            <b/>
            <sz val="9"/>
            <color indexed="81"/>
            <rFont val="Tahoma"/>
            <family val="2"/>
          </rPr>
          <t>Eduardo E.C.S. Cordovin Santesteban:</t>
        </r>
        <r>
          <rPr>
            <sz val="9"/>
            <color indexed="81"/>
            <rFont val="Tahoma"/>
            <family val="2"/>
          </rPr>
          <t xml:space="preserve">
AAV0291 que sustituye a la AAV0089</t>
        </r>
      </text>
    </comment>
  </commentList>
</comments>
</file>

<file path=xl/comments17.xml><?xml version="1.0" encoding="utf-8"?>
<comments xmlns="http://schemas.openxmlformats.org/spreadsheetml/2006/main">
  <authors>
    <author>Eduardo E.C.S. Cordovin Santesteban</author>
  </authors>
  <commentList>
    <comment ref="J12" authorId="0">
      <text>
        <r>
          <rPr>
            <b/>
            <sz val="9"/>
            <color indexed="81"/>
            <rFont val="Tahoma"/>
            <family val="2"/>
          </rPr>
          <t>Eduardo E.C.S. Cordovin Santesteban:</t>
        </r>
        <r>
          <rPr>
            <sz val="9"/>
            <color indexed="81"/>
            <rFont val="Tahoma"/>
            <family val="2"/>
          </rPr>
          <t xml:space="preserve">
algo menos xq no lleva cubrebornas</t>
        </r>
      </text>
    </comment>
    <comment ref="C18" authorId="0">
      <text>
        <r>
          <rPr>
            <b/>
            <sz val="9"/>
            <color indexed="81"/>
            <rFont val="Tahoma"/>
            <family val="2"/>
          </rPr>
          <t>Eduardo E.C.S. Cordovin Santesteban:</t>
        </r>
        <r>
          <rPr>
            <sz val="9"/>
            <color indexed="81"/>
            <rFont val="Tahoma"/>
            <family val="2"/>
          </rPr>
          <t xml:space="preserve">
sustituye al 106116452 a partir de AAV0216_C, AAV0194_A y en AAV0298, 299 y 300.</t>
        </r>
      </text>
    </comment>
    <comment ref="D20" authorId="0">
      <text>
        <r>
          <rPr>
            <b/>
            <sz val="9"/>
            <color indexed="81"/>
            <rFont val="Tahoma"/>
            <family val="2"/>
          </rPr>
          <t>Eduardo E.C.S. Cordovin Santesteban:</t>
        </r>
        <r>
          <rPr>
            <sz val="9"/>
            <color indexed="81"/>
            <rFont val="Tahoma"/>
            <family val="2"/>
          </rPr>
          <t xml:space="preserve">
No compatibles así que hay que mandar siempre el que tenga exactamente</t>
        </r>
      </text>
    </comment>
    <comment ref="J31" authorId="0">
      <text>
        <r>
          <rPr>
            <b/>
            <sz val="9"/>
            <color indexed="81"/>
            <rFont val="Tahoma"/>
            <family val="2"/>
          </rPr>
          <t>Eduardo E.C.S. Cordovin Santesteban:</t>
        </r>
        <r>
          <rPr>
            <sz val="9"/>
            <color indexed="81"/>
            <rFont val="Tahoma"/>
            <family val="2"/>
          </rPr>
          <t xml:space="preserve">
revisar coste</t>
        </r>
      </text>
    </comment>
    <comment ref="Z35" authorId="0">
      <text>
        <r>
          <rPr>
            <b/>
            <sz val="9"/>
            <color indexed="81"/>
            <rFont val="Tahoma"/>
            <family val="2"/>
          </rPr>
          <t>Eduardo E.C.S. Cordovin Santesteban:</t>
        </r>
        <r>
          <rPr>
            <sz val="9"/>
            <color indexed="81"/>
            <rFont val="Tahoma"/>
            <family val="2"/>
          </rPr>
          <t xml:space="preserve">
a priori no son compatibles. Si se sustituye uno por otro, hay que sustituir y recrimpar los terminales de los cables que entran al contactor.</t>
        </r>
      </text>
    </comment>
    <comment ref="J36" authorId="0">
      <text>
        <r>
          <rPr>
            <b/>
            <sz val="9"/>
            <color indexed="81"/>
            <rFont val="Tahoma"/>
            <family val="2"/>
          </rPr>
          <t>Eduardo E.C.S. Cordovin Santesteban:</t>
        </r>
        <r>
          <rPr>
            <sz val="9"/>
            <color indexed="81"/>
            <rFont val="Tahoma"/>
            <family val="2"/>
          </rPr>
          <t xml:space="preserve">
revisar coste</t>
        </r>
      </text>
    </comment>
    <comment ref="J37" authorId="0">
      <text>
        <r>
          <rPr>
            <b/>
            <sz val="9"/>
            <color indexed="81"/>
            <rFont val="Tahoma"/>
            <family val="2"/>
          </rPr>
          <t>Eduardo E.C.S. Cordovin Santesteban:</t>
        </r>
        <r>
          <rPr>
            <sz val="9"/>
            <color indexed="81"/>
            <rFont val="Tahoma"/>
            <family val="2"/>
          </rPr>
          <t xml:space="preserve">
revisar coste</t>
        </r>
      </text>
    </comment>
    <comment ref="J38" authorId="0">
      <text>
        <r>
          <rPr>
            <b/>
            <sz val="9"/>
            <color indexed="81"/>
            <rFont val="Tahoma"/>
            <family val="2"/>
          </rPr>
          <t>Eduardo E.C.S. Cordovin Santesteban:</t>
        </r>
        <r>
          <rPr>
            <sz val="9"/>
            <color indexed="81"/>
            <rFont val="Tahoma"/>
            <family val="2"/>
          </rPr>
          <t xml:space="preserve">
revisar coste</t>
        </r>
      </text>
    </comment>
    <comment ref="C39" authorId="0">
      <text>
        <r>
          <rPr>
            <b/>
            <sz val="9"/>
            <color indexed="81"/>
            <rFont val="Tahoma"/>
            <family val="2"/>
          </rPr>
          <t>Eduardo E.C.S. Cordovin Santesteban:</t>
        </r>
        <r>
          <rPr>
            <sz val="9"/>
            <color indexed="81"/>
            <rFont val="Tahoma"/>
            <family val="2"/>
          </rPr>
          <t xml:space="preserve">
tener en cuenta qué condensador lleva</t>
        </r>
      </text>
    </comment>
    <comment ref="C40" authorId="0">
      <text>
        <r>
          <rPr>
            <b/>
            <sz val="9"/>
            <color indexed="81"/>
            <rFont val="Tahoma"/>
            <family val="2"/>
          </rPr>
          <t>Eduardo E.C.S. Cordovin Santesteban:</t>
        </r>
        <r>
          <rPr>
            <sz val="9"/>
            <color indexed="81"/>
            <rFont val="Tahoma"/>
            <family val="2"/>
          </rPr>
          <t xml:space="preserve">
suministrar el mismo condensador del equipo (distintas medidas y conectado con pletinas)</t>
        </r>
      </text>
    </comment>
    <comment ref="J52" authorId="0">
      <text>
        <r>
          <rPr>
            <b/>
            <sz val="9"/>
            <color indexed="81"/>
            <rFont val="Tahoma"/>
            <family val="2"/>
          </rPr>
          <t>Eduardo E.C.S. Cordovin Santesteban:</t>
        </r>
        <r>
          <rPr>
            <sz val="9"/>
            <color indexed="81"/>
            <rFont val="Tahoma"/>
            <family val="2"/>
          </rPr>
          <t xml:space="preserve">
Revisar coste</t>
        </r>
      </text>
    </comment>
    <comment ref="B80" authorId="0">
      <text>
        <r>
          <rPr>
            <b/>
            <sz val="9"/>
            <color indexed="81"/>
            <rFont val="Tahoma"/>
            <family val="2"/>
          </rPr>
          <t>Eduardo E.C.S. Cordovin Santesteban:</t>
        </r>
        <r>
          <rPr>
            <sz val="9"/>
            <color indexed="81"/>
            <rFont val="Tahoma"/>
            <family val="2"/>
          </rPr>
          <t xml:space="preserve">
si lleva vatímetro, lleva kit de trafos de tensión (AAV0067) y de corriente (AAV0066 en 4B, AAV0065 en 3B y AAV0235 en 2B).</t>
        </r>
      </text>
    </comment>
    <comment ref="C87" authorId="0">
      <text>
        <r>
          <rPr>
            <b/>
            <sz val="9"/>
            <color indexed="81"/>
            <rFont val="Tahoma"/>
            <family val="2"/>
          </rPr>
          <t>Eduardo E.C.S. Cordovin Santesteban:</t>
        </r>
        <r>
          <rPr>
            <sz val="9"/>
            <color indexed="81"/>
            <rFont val="Tahoma"/>
            <family val="2"/>
          </rPr>
          <t xml:space="preserve">
AAV0291 que sustituye a la AAV0089</t>
        </r>
      </text>
    </comment>
    <comment ref="C91" authorId="0">
      <text>
        <r>
          <rPr>
            <b/>
            <sz val="9"/>
            <color indexed="81"/>
            <rFont val="Tahoma"/>
            <family val="2"/>
          </rPr>
          <t>Eduardo E.C.S. Cordovin Santesteban:</t>
        </r>
        <r>
          <rPr>
            <sz val="9"/>
            <color indexed="81"/>
            <rFont val="Tahoma"/>
            <family val="2"/>
          </rPr>
          <t xml:space="preserve">
106128870 el de 200A</t>
        </r>
      </text>
    </comment>
  </commentList>
</comments>
</file>

<file path=xl/comments18.xml><?xml version="1.0" encoding="utf-8"?>
<comments xmlns="http://schemas.openxmlformats.org/spreadsheetml/2006/main">
  <authors>
    <author>Eduardo E.C.S. Cordovin Santesteban</author>
  </authors>
  <commentList>
    <comment ref="P2" authorId="0">
      <text>
        <r>
          <rPr>
            <b/>
            <sz val="9"/>
            <color indexed="81"/>
            <rFont val="Tahoma"/>
            <family val="2"/>
          </rPr>
          <t>Eduardo E.C.S. Cordovin Santesteban:</t>
        </r>
        <r>
          <rPr>
            <sz val="9"/>
            <color indexed="81"/>
            <rFont val="Tahoma"/>
            <family val="2"/>
          </rPr>
          <t xml:space="preserve">
mientras tiremos del provisional, añadir la mitad más de inversores</t>
        </r>
      </text>
    </comment>
    <comment ref="H17" authorId="0">
      <text>
        <r>
          <rPr>
            <b/>
            <sz val="9"/>
            <color indexed="81"/>
            <rFont val="Tahoma"/>
            <family val="2"/>
          </rPr>
          <t>Eduardo E.C.S. Cordovin Santesteban:</t>
        </r>
        <r>
          <rPr>
            <sz val="9"/>
            <color indexed="81"/>
            <rFont val="Tahoma"/>
            <family val="2"/>
          </rPr>
          <t xml:space="preserve">
¿el cable viene de fábrica?</t>
        </r>
      </text>
    </comment>
    <comment ref="O17" authorId="0">
      <text>
        <r>
          <rPr>
            <b/>
            <sz val="9"/>
            <color indexed="81"/>
            <rFont val="Tahoma"/>
            <family val="2"/>
          </rPr>
          <t>Eduardo E.C.S. Cordovin Santesteban:</t>
        </r>
        <r>
          <rPr>
            <sz val="9"/>
            <color indexed="81"/>
            <rFont val="Tahoma"/>
            <family val="2"/>
          </rPr>
          <t xml:space="preserve">
la misma que la de la fase, aunque con distinto cable
</t>
        </r>
      </text>
    </comment>
  </commentList>
</comments>
</file>

<file path=xl/comments19.xml><?xml version="1.0" encoding="utf-8"?>
<comments xmlns="http://schemas.openxmlformats.org/spreadsheetml/2006/main">
  <authors>
    <author>Eduardo E.C.S. Cordovin Santesteban</author>
    <author>jcramirez</author>
  </authors>
  <commentList>
    <comment ref="O29" authorId="0">
      <text>
        <r>
          <rPr>
            <b/>
            <sz val="9"/>
            <color indexed="81"/>
            <rFont val="Tahoma"/>
            <family val="2"/>
          </rPr>
          <t>Eduardo E.C.S. Cordovin Santesteban:</t>
        </r>
        <r>
          <rPr>
            <sz val="9"/>
            <color indexed="81"/>
            <rFont val="Tahoma"/>
            <family val="2"/>
          </rPr>
          <t xml:space="preserve">
la misma que la de la fase, aunque con distinto cable
</t>
        </r>
      </text>
    </comment>
    <comment ref="D30" authorId="1">
      <text>
        <r>
          <rPr>
            <b/>
            <sz val="9"/>
            <color indexed="81"/>
            <rFont val="Tahoma"/>
            <family val="2"/>
          </rPr>
          <t>jcramirez:</t>
        </r>
        <r>
          <rPr>
            <sz val="9"/>
            <color indexed="81"/>
            <rFont val="Tahoma"/>
            <family val="2"/>
          </rPr>
          <t xml:space="preserve">
Se queda marcado en rojo xq dependemos de la longitud de cable</t>
        </r>
      </text>
    </comment>
    <comment ref="C53" authorId="1">
      <text>
        <r>
          <rPr>
            <b/>
            <sz val="9"/>
            <color indexed="81"/>
            <rFont val="Tahoma"/>
            <family val="2"/>
          </rPr>
          <t>jcramirez:</t>
        </r>
        <r>
          <rPr>
            <sz val="9"/>
            <color indexed="81"/>
            <rFont val="Tahoma"/>
            <family val="2"/>
          </rPr>
          <t xml:space="preserve">
No está dado de alta en SAP
</t>
        </r>
      </text>
    </comment>
    <comment ref="C54" authorId="1">
      <text>
        <r>
          <rPr>
            <b/>
            <sz val="9"/>
            <color indexed="81"/>
            <rFont val="Tahoma"/>
            <family val="2"/>
          </rPr>
          <t>jcramirez:</t>
        </r>
        <r>
          <rPr>
            <sz val="9"/>
            <color indexed="81"/>
            <rFont val="Tahoma"/>
            <family val="2"/>
          </rPr>
          <t xml:space="preserve">
No está dado de alta en SAP
</t>
        </r>
      </text>
    </comment>
    <comment ref="C56" authorId="1">
      <text>
        <r>
          <rPr>
            <b/>
            <sz val="9"/>
            <color indexed="81"/>
            <rFont val="Tahoma"/>
            <family val="2"/>
          </rPr>
          <t>jcramirez:</t>
        </r>
        <r>
          <rPr>
            <sz val="9"/>
            <color indexed="81"/>
            <rFont val="Tahoma"/>
            <family val="2"/>
          </rPr>
          <t xml:space="preserve">
No está 
dado de alta en SAP
</t>
        </r>
      </text>
    </comment>
    <comment ref="C58" authorId="1">
      <text>
        <r>
          <rPr>
            <b/>
            <sz val="9"/>
            <color indexed="81"/>
            <rFont val="Tahoma"/>
            <family val="2"/>
          </rPr>
          <t>jcramirez:</t>
        </r>
        <r>
          <rPr>
            <sz val="9"/>
            <color indexed="81"/>
            <rFont val="Tahoma"/>
            <family val="2"/>
          </rPr>
          <t xml:space="preserve">
No aparece en ABK00009ICA01_A
</t>
        </r>
      </text>
    </comment>
  </commentList>
</comments>
</file>

<file path=xl/comments2.xml><?xml version="1.0" encoding="utf-8"?>
<comments xmlns="http://schemas.openxmlformats.org/spreadsheetml/2006/main">
  <authors>
    <author>ecordovin</author>
    <author>Eduardo E.C.S. Cordovin Santesteban</author>
  </authors>
  <commentList>
    <comment ref="G4" authorId="0">
      <text>
        <r>
          <rPr>
            <b/>
            <sz val="8"/>
            <color indexed="81"/>
            <rFont val="Tahoma"/>
            <family val="2"/>
          </rPr>
          <t>ecordovin:</t>
        </r>
        <r>
          <rPr>
            <sz val="8"/>
            <color indexed="81"/>
            <rFont val="Tahoma"/>
            <family val="2"/>
          </rPr>
          <t xml:space="preserve">
Smart IP20</t>
        </r>
      </text>
    </comment>
    <comment ref="B8" authorId="0">
      <text>
        <r>
          <rPr>
            <b/>
            <sz val="8"/>
            <color indexed="81"/>
            <rFont val="Tahoma"/>
            <family val="2"/>
          </rPr>
          <t>ecordovin:</t>
        </r>
        <r>
          <rPr>
            <sz val="8"/>
            <color indexed="81"/>
            <rFont val="Tahoma"/>
            <family val="2"/>
          </rPr>
          <t xml:space="preserve">
sustituye al 106104141 por estar duplicados</t>
        </r>
      </text>
    </comment>
    <comment ref="B13" authorId="0">
      <text>
        <r>
          <rPr>
            <b/>
            <sz val="8"/>
            <color indexed="81"/>
            <rFont val="Tahoma"/>
            <family val="2"/>
          </rPr>
          <t>ecordovin:</t>
        </r>
        <r>
          <rPr>
            <sz val="8"/>
            <color indexed="81"/>
            <rFont val="Tahoma"/>
            <family val="2"/>
          </rPr>
          <t xml:space="preserve">
Dehn compatible con 106104232 de Iskra deshom.
conex. + y – arriba tierra arriba monitorización abajo.
Sustituye al 106104233 (deshomologado por proveedor)</t>
        </r>
      </text>
    </comment>
    <comment ref="G13" authorId="0">
      <text>
        <r>
          <rPr>
            <b/>
            <sz val="8"/>
            <color indexed="81"/>
            <rFont val="Tahoma"/>
            <family val="2"/>
          </rPr>
          <t>ecordovin:</t>
        </r>
        <r>
          <rPr>
            <sz val="8"/>
            <color indexed="81"/>
            <rFont val="Tahoma"/>
            <family val="2"/>
          </rPr>
          <t xml:space="preserve">
IP54 e IP20</t>
        </r>
      </text>
    </comment>
    <comment ref="M13" authorId="0">
      <text>
        <r>
          <rPr>
            <b/>
            <sz val="8"/>
            <color indexed="81"/>
            <rFont val="Tahoma"/>
            <family val="2"/>
          </rPr>
          <t>ecordovin:</t>
        </r>
        <r>
          <rPr>
            <sz val="8"/>
            <color indexed="81"/>
            <rFont val="Tahoma"/>
            <family val="2"/>
          </rPr>
          <t xml:space="preserve">
AAS0142</t>
        </r>
      </text>
    </comment>
    <comment ref="A19" authorId="0">
      <text>
        <r>
          <rPr>
            <b/>
            <sz val="8"/>
            <color indexed="81"/>
            <rFont val="Tahoma"/>
            <family val="2"/>
          </rPr>
          <t>ecordovin:</t>
        </r>
        <r>
          <rPr>
            <sz val="8"/>
            <color indexed="81"/>
            <rFont val="Tahoma"/>
            <family val="2"/>
          </rPr>
          <t xml:space="preserve">
si se quita y se dejan las bornas al aire (aisladas), no pasa nada.</t>
        </r>
      </text>
    </comment>
    <comment ref="C19" authorId="0">
      <text>
        <r>
          <rPr>
            <b/>
            <sz val="8"/>
            <color indexed="81"/>
            <rFont val="Tahoma"/>
            <family val="2"/>
          </rPr>
          <t>ecordovin:</t>
        </r>
        <r>
          <rPr>
            <sz val="8"/>
            <color indexed="81"/>
            <rFont val="Tahoma"/>
            <family val="2"/>
          </rPr>
          <t xml:space="preserve">
sandwich cond + resist</t>
        </r>
      </text>
    </comment>
    <comment ref="A23" authorId="0">
      <text>
        <r>
          <rPr>
            <b/>
            <sz val="8"/>
            <color indexed="81"/>
            <rFont val="Tahoma"/>
            <family val="2"/>
          </rPr>
          <t>ecordovin:</t>
        </r>
        <r>
          <rPr>
            <sz val="8"/>
            <color indexed="81"/>
            <rFont val="Tahoma"/>
            <family val="2"/>
          </rPr>
          <t xml:space="preserve">
válida para equipos de 20-30kW tanto IP20 como IP54.
La AAS0012 estaba mal documentada y se desdobló en dos tarjetas.Ésta era la de 9 condensadores de 10uF</t>
        </r>
      </text>
    </comment>
    <comment ref="A24" authorId="1">
      <text>
        <r>
          <rPr>
            <b/>
            <sz val="9"/>
            <color indexed="81"/>
            <rFont val="Tahoma"/>
            <family val="2"/>
          </rPr>
          <t>Eduardo E.C.S. Cordovin Santesteban:</t>
        </r>
        <r>
          <rPr>
            <sz val="9"/>
            <color indexed="81"/>
            <rFont val="Tahoma"/>
            <family val="2"/>
          </rPr>
          <t xml:space="preserve">
compatible con AAS0091</t>
        </r>
      </text>
    </comment>
    <comment ref="B46" authorId="1">
      <text>
        <r>
          <rPr>
            <b/>
            <sz val="9"/>
            <color indexed="81"/>
            <rFont val="Tahoma"/>
            <family val="2"/>
          </rPr>
          <t>Eduardo E.C.S. Cordovin Santesteban:</t>
        </r>
        <r>
          <rPr>
            <sz val="9"/>
            <color indexed="81"/>
            <rFont val="Tahoma"/>
            <family val="2"/>
          </rPr>
          <t xml:space="preserve">
tener en cuenta qué condensador lleva</t>
        </r>
      </text>
    </comment>
    <comment ref="A71" authorId="1">
      <text>
        <r>
          <rPr>
            <b/>
            <sz val="9"/>
            <color indexed="81"/>
            <rFont val="Tahoma"/>
            <family val="2"/>
          </rPr>
          <t>Eduardo E.C.S. Cordovin Santesteban:</t>
        </r>
        <r>
          <rPr>
            <sz val="9"/>
            <color indexed="81"/>
            <rFont val="Tahoma"/>
            <family val="2"/>
          </rPr>
          <t xml:space="preserve">
en los Power sustituye al AAS0026 (el kit xa sustituir el AAS0026 x el AAS0277 es el AAS5033</t>
        </r>
      </text>
    </comment>
    <comment ref="A75" authorId="0">
      <text>
        <r>
          <rPr>
            <b/>
            <sz val="8"/>
            <color indexed="81"/>
            <rFont val="Tahoma"/>
            <family val="2"/>
          </rPr>
          <t>ecordovin:</t>
        </r>
        <r>
          <rPr>
            <sz val="8"/>
            <color indexed="81"/>
            <rFont val="Tahoma"/>
            <family val="2"/>
          </rPr>
          <t xml:space="preserve">
Power y PoweMax MS</t>
        </r>
      </text>
    </comment>
    <comment ref="M75" authorId="0">
      <text>
        <r>
          <rPr>
            <b/>
            <sz val="8"/>
            <color indexed="81"/>
            <rFont val="Tahoma"/>
            <family val="2"/>
          </rPr>
          <t>ecordovin:</t>
        </r>
        <r>
          <rPr>
            <sz val="8"/>
            <color indexed="81"/>
            <rFont val="Tahoma"/>
            <family val="2"/>
          </rPr>
          <t xml:space="preserve">
AAS0194, AAS200, AAV0020</t>
        </r>
      </text>
    </comment>
    <comment ref="B81" authorId="1">
      <text>
        <r>
          <rPr>
            <b/>
            <sz val="9"/>
            <color indexed="81"/>
            <rFont val="Tahoma"/>
            <family val="2"/>
          </rPr>
          <t>Eduardo E.C.S. Cordovin Santesteban:</t>
        </r>
        <r>
          <rPr>
            <sz val="9"/>
            <color indexed="81"/>
            <rFont val="Tahoma"/>
            <family val="2"/>
          </rPr>
          <t xml:space="preserve">
DS-SC21 maneta roja hecha xa Ingeteam (no hay datasheet x internet)</t>
        </r>
      </text>
    </comment>
    <comment ref="G98" authorId="0">
      <text>
        <r>
          <rPr>
            <b/>
            <sz val="8"/>
            <color indexed="81"/>
            <rFont val="Tahoma"/>
            <family val="2"/>
          </rPr>
          <t>ecordovin:</t>
        </r>
        <r>
          <rPr>
            <sz val="8"/>
            <color indexed="81"/>
            <rFont val="Tahoma"/>
            <family val="2"/>
          </rPr>
          <t xml:space="preserve">
Smart IP20</t>
        </r>
      </text>
    </comment>
    <comment ref="G114" authorId="0">
      <text>
        <r>
          <rPr>
            <b/>
            <sz val="8"/>
            <color indexed="81"/>
            <rFont val="Tahoma"/>
            <family val="2"/>
          </rPr>
          <t>ecordovin:</t>
        </r>
        <r>
          <rPr>
            <sz val="8"/>
            <color indexed="81"/>
            <rFont val="Tahoma"/>
            <family val="2"/>
          </rPr>
          <t xml:space="preserve">
Smart IP20</t>
        </r>
      </text>
    </comment>
    <comment ref="A143" authorId="0">
      <text>
        <r>
          <rPr>
            <b/>
            <sz val="8"/>
            <color indexed="81"/>
            <rFont val="Tahoma"/>
            <family val="2"/>
          </rPr>
          <t>ecordovin:</t>
        </r>
        <r>
          <rPr>
            <sz val="8"/>
            <color indexed="81"/>
            <rFont val="Tahoma"/>
            <family val="2"/>
          </rPr>
          <t xml:space="preserve">
es idéntica a la AAV0009, pero para montar directamente a la placa con torretas, en lugar de sobre carril DIN. Compatibles ambas.</t>
        </r>
      </text>
    </comment>
    <comment ref="B194" authorId="0">
      <text>
        <r>
          <rPr>
            <b/>
            <sz val="8"/>
            <color indexed="81"/>
            <rFont val="Tahoma"/>
            <family val="2"/>
          </rPr>
          <t>ecordovin:</t>
        </r>
        <r>
          <rPr>
            <sz val="8"/>
            <color indexed="81"/>
            <rFont val="Tahoma"/>
            <family val="2"/>
          </rPr>
          <t xml:space="preserve">
la bobina 220V cód. 113672 </t>
        </r>
      </text>
    </comment>
    <comment ref="B210" authorId="0">
      <text>
        <r>
          <rPr>
            <b/>
            <sz val="8"/>
            <color indexed="81"/>
            <rFont val="Tahoma"/>
            <family val="2"/>
          </rPr>
          <t>ecordovin:</t>
        </r>
        <r>
          <rPr>
            <sz val="8"/>
            <color indexed="81"/>
            <rFont val="Tahoma"/>
            <family val="2"/>
          </rPr>
          <t xml:space="preserve">
de M10 sustituye al 106122313 en la versión_A de la AAV0121.
Compatible para atrás, salvo que I+D haga la prueba y diga que hay calentamiento.</t>
        </r>
      </text>
    </comment>
    <comment ref="G213" authorId="0">
      <text>
        <r>
          <rPr>
            <b/>
            <sz val="8"/>
            <color indexed="81"/>
            <rFont val="Tahoma"/>
            <family val="2"/>
          </rPr>
          <t>ecordovin:</t>
        </r>
        <r>
          <rPr>
            <sz val="8"/>
            <color indexed="81"/>
            <rFont val="Tahoma"/>
            <family val="2"/>
          </rPr>
          <t xml:space="preserve">
con tarjetas de seguidor</t>
        </r>
      </text>
    </comment>
    <comment ref="G214" authorId="0">
      <text>
        <r>
          <rPr>
            <b/>
            <sz val="8"/>
            <color indexed="81"/>
            <rFont val="Tahoma"/>
            <family val="2"/>
          </rPr>
          <t>ecordovin:</t>
        </r>
        <r>
          <rPr>
            <sz val="8"/>
            <color indexed="81"/>
            <rFont val="Tahoma"/>
            <family val="2"/>
          </rPr>
          <t xml:space="preserve">
con tarjetas de seguidor</t>
        </r>
      </text>
    </comment>
    <comment ref="B215" authorId="0">
      <text>
        <r>
          <rPr>
            <b/>
            <sz val="8"/>
            <color indexed="81"/>
            <rFont val="Tahoma"/>
            <family val="2"/>
          </rPr>
          <t>ecordovin:</t>
        </r>
        <r>
          <rPr>
            <sz val="8"/>
            <color indexed="81"/>
            <rFont val="Tahoma"/>
            <family val="2"/>
          </rPr>
          <t xml:space="preserve">
el zócalo donde se inserta es el 106112879</t>
        </r>
      </text>
    </comment>
    <comment ref="C222" authorId="0">
      <text>
        <r>
          <rPr>
            <b/>
            <sz val="8"/>
            <color indexed="81"/>
            <rFont val="Tahoma"/>
            <family val="2"/>
          </rPr>
          <t>ecordovin:</t>
        </r>
        <r>
          <rPr>
            <sz val="8"/>
            <color indexed="81"/>
            <rFont val="Tahoma"/>
            <family val="2"/>
          </rPr>
          <t xml:space="preserve">
tiene contacto auxiliar</t>
        </r>
      </text>
    </comment>
    <comment ref="G222" authorId="0">
      <text>
        <r>
          <rPr>
            <b/>
            <sz val="8"/>
            <color indexed="81"/>
            <rFont val="Tahoma"/>
            <family val="2"/>
          </rPr>
          <t>ecordovin:</t>
        </r>
        <r>
          <rPr>
            <sz val="8"/>
            <color indexed="81"/>
            <rFont val="Tahoma"/>
            <family val="2"/>
          </rPr>
          <t xml:space="preserve">
Smart IP20</t>
        </r>
      </text>
    </comment>
    <comment ref="B223" authorId="0">
      <text>
        <r>
          <rPr>
            <b/>
            <sz val="8"/>
            <color indexed="81"/>
            <rFont val="Tahoma"/>
            <family val="2"/>
          </rPr>
          <t>ecordovin:</t>
        </r>
        <r>
          <rPr>
            <sz val="8"/>
            <color indexed="81"/>
            <rFont val="Tahoma"/>
            <family val="2"/>
          </rPr>
          <t xml:space="preserve">
deshomologado
conex. + y – arriba tierra arriba monitorización arriba</t>
        </r>
      </text>
    </comment>
    <comment ref="C227" authorId="0">
      <text>
        <r>
          <rPr>
            <b/>
            <sz val="8"/>
            <color indexed="81"/>
            <rFont val="Tahoma"/>
            <family val="2"/>
          </rPr>
          <t>ecordovin:</t>
        </r>
        <r>
          <rPr>
            <sz val="8"/>
            <color indexed="81"/>
            <rFont val="Tahoma"/>
            <family val="2"/>
          </rPr>
          <t xml:space="preserve">
el nombre de I+D está mal, es 3+0 (y no 3+1)
Tiene contacto auxiliar</t>
        </r>
      </text>
    </comment>
    <comment ref="C228" authorId="0">
      <text>
        <r>
          <rPr>
            <b/>
            <sz val="8"/>
            <color indexed="81"/>
            <rFont val="Tahoma"/>
            <family val="2"/>
          </rPr>
          <t>ecordovin:</t>
        </r>
        <r>
          <rPr>
            <sz val="8"/>
            <color indexed="81"/>
            <rFont val="Tahoma"/>
            <family val="2"/>
          </rPr>
          <t xml:space="preserve">
el nombre de I+D está mal, es 3+0 (y no 3+1)
Tiene contacto auxiliar</t>
        </r>
      </text>
    </comment>
    <comment ref="B231" authorId="0">
      <text>
        <r>
          <rPr>
            <b/>
            <sz val="8"/>
            <color indexed="81"/>
            <rFont val="Tahoma"/>
            <family val="2"/>
          </rPr>
          <t>ecordovin:</t>
        </r>
        <r>
          <rPr>
            <sz val="8"/>
            <color indexed="81"/>
            <rFont val="Tahoma"/>
            <family val="2"/>
          </rPr>
          <t xml:space="preserve">
conex. + y – arriba tierra abajo monitorización arriba</t>
        </r>
      </text>
    </comment>
    <comment ref="M231" authorId="0">
      <text>
        <r>
          <rPr>
            <b/>
            <sz val="8"/>
            <color indexed="81"/>
            <rFont val="Tahoma"/>
            <family val="2"/>
          </rPr>
          <t>ecordovin:</t>
        </r>
        <r>
          <rPr>
            <sz val="8"/>
            <color indexed="81"/>
            <rFont val="Tahoma"/>
            <family val="2"/>
          </rPr>
          <t xml:space="preserve">
AAS0142</t>
        </r>
      </text>
    </comment>
    <comment ref="B254" authorId="1">
      <text>
        <r>
          <rPr>
            <b/>
            <sz val="9"/>
            <color indexed="81"/>
            <rFont val="Tahoma"/>
            <family val="2"/>
          </rPr>
          <t>Eduardo E.C.S. Cordovin Santesteban:</t>
        </r>
        <r>
          <rPr>
            <sz val="9"/>
            <color indexed="81"/>
            <rFont val="Tahoma"/>
            <family val="2"/>
          </rPr>
          <t xml:space="preserve">
aunque la descripción pone 500A, luego se homologó para 630A de poder de corte y 800A de térmica</t>
        </r>
      </text>
    </comment>
    <comment ref="B282" authorId="0">
      <text>
        <r>
          <rPr>
            <b/>
            <sz val="8"/>
            <color indexed="81"/>
            <rFont val="Tahoma"/>
            <family val="2"/>
          </rPr>
          <t>ecordovin:</t>
        </r>
        <r>
          <rPr>
            <sz val="8"/>
            <color indexed="81"/>
            <rFont val="Tahoma"/>
            <family val="2"/>
          </rPr>
          <t xml:space="preserve">
sustituye a 106.105.395</t>
        </r>
      </text>
    </comment>
    <comment ref="M290" authorId="0">
      <text>
        <r>
          <rPr>
            <b/>
            <sz val="8"/>
            <color indexed="81"/>
            <rFont val="Tahoma"/>
            <family val="2"/>
          </rPr>
          <t>ecordovin:</t>
        </r>
        <r>
          <rPr>
            <sz val="8"/>
            <color indexed="81"/>
            <rFont val="Tahoma"/>
            <family val="2"/>
          </rPr>
          <t xml:space="preserve">
en kits SAC</t>
        </r>
      </text>
    </comment>
    <comment ref="B299" authorId="1">
      <text>
        <r>
          <rPr>
            <b/>
            <sz val="9"/>
            <color indexed="81"/>
            <rFont val="Tahoma"/>
            <family val="2"/>
          </rPr>
          <t>Eduardo E.C.S. Cordovin Santesteban:</t>
        </r>
        <r>
          <rPr>
            <sz val="9"/>
            <color indexed="81"/>
            <rFont val="Tahoma"/>
            <family val="2"/>
          </rPr>
          <t xml:space="preserve">
cuando protegen al filtro RC, se pueden sustituir por el 106.126.857 que protege más</t>
        </r>
      </text>
    </comment>
    <comment ref="M299" authorId="0">
      <text>
        <r>
          <rPr>
            <b/>
            <sz val="8"/>
            <color indexed="81"/>
            <rFont val="Tahoma"/>
            <family val="2"/>
          </rPr>
          <t>ecordovin:</t>
        </r>
        <r>
          <rPr>
            <sz val="8"/>
            <color indexed="81"/>
            <rFont val="Tahoma"/>
            <family val="2"/>
          </rPr>
          <t xml:space="preserve">
AAS0219</t>
        </r>
      </text>
    </comment>
    <comment ref="M303" authorId="0">
      <text>
        <r>
          <rPr>
            <b/>
            <sz val="8"/>
            <color indexed="81"/>
            <rFont val="Tahoma"/>
            <family val="2"/>
          </rPr>
          <t>ecordovin:</t>
        </r>
        <r>
          <rPr>
            <sz val="8"/>
            <color indexed="81"/>
            <rFont val="Tahoma"/>
            <family val="2"/>
          </rPr>
          <t xml:space="preserve">
en kits SAC</t>
        </r>
      </text>
    </comment>
    <comment ref="M305" authorId="0">
      <text>
        <r>
          <rPr>
            <b/>
            <sz val="8"/>
            <color indexed="81"/>
            <rFont val="Tahoma"/>
            <family val="2"/>
          </rPr>
          <t>ecordovin:</t>
        </r>
        <r>
          <rPr>
            <sz val="8"/>
            <color indexed="81"/>
            <rFont val="Tahoma"/>
            <family val="2"/>
          </rPr>
          <t xml:space="preserve">
AAS0221</t>
        </r>
      </text>
    </comment>
    <comment ref="M306" authorId="0">
      <text>
        <r>
          <rPr>
            <b/>
            <sz val="8"/>
            <color indexed="81"/>
            <rFont val="Tahoma"/>
            <family val="2"/>
          </rPr>
          <t>ecordovin:</t>
        </r>
        <r>
          <rPr>
            <sz val="8"/>
            <color indexed="81"/>
            <rFont val="Tahoma"/>
            <family val="2"/>
          </rPr>
          <t xml:space="preserve">
AAS0220</t>
        </r>
      </text>
    </comment>
    <comment ref="B318" authorId="1">
      <text>
        <r>
          <rPr>
            <b/>
            <sz val="9"/>
            <color indexed="81"/>
            <rFont val="Tahoma"/>
            <family val="2"/>
          </rPr>
          <t>Eduardo E.C.S. Cordovin Santesteban:</t>
        </r>
        <r>
          <rPr>
            <sz val="9"/>
            <color indexed="81"/>
            <rFont val="Tahoma"/>
            <family val="2"/>
          </rPr>
          <t xml:space="preserve">
sustituye al 106119667</t>
        </r>
      </text>
    </comment>
    <comment ref="A322" authorId="0">
      <text>
        <r>
          <rPr>
            <b/>
            <sz val="8"/>
            <color indexed="81"/>
            <rFont val="Tahoma"/>
            <family val="2"/>
          </rPr>
          <t>ecordovin:</t>
        </r>
        <r>
          <rPr>
            <sz val="8"/>
            <color indexed="81"/>
            <rFont val="Tahoma"/>
            <family val="2"/>
          </rPr>
          <t xml:space="preserve">
Resistencias de precarga del trafo</t>
        </r>
      </text>
    </comment>
    <comment ref="B330" authorId="1">
      <text>
        <r>
          <rPr>
            <b/>
            <sz val="9"/>
            <color indexed="81"/>
            <rFont val="Tahoma"/>
            <family val="2"/>
          </rPr>
          <t>Eduardo E.C.S. Cordovin Santesteban:</t>
        </r>
        <r>
          <rPr>
            <sz val="9"/>
            <color indexed="81"/>
            <rFont val="Tahoma"/>
            <family val="2"/>
          </rPr>
          <t xml:space="preserve">
condensador del ventilador 106112043, que sustituye al 106104947</t>
        </r>
      </text>
    </comment>
    <comment ref="A331" authorId="1">
      <text>
        <r>
          <rPr>
            <b/>
            <sz val="9"/>
            <color indexed="81"/>
            <rFont val="Tahoma"/>
            <family val="2"/>
          </rPr>
          <t>Eduardo E.C.S. Cordovin Santesteban:</t>
        </r>
        <r>
          <rPr>
            <sz val="9"/>
            <color indexed="81"/>
            <rFont val="Tahoma"/>
            <family val="2"/>
          </rPr>
          <t xml:space="preserve">
compatible con AAS0221 si no hay kit AAV0219</t>
        </r>
      </text>
    </comment>
    <comment ref="B334" authorId="0">
      <text>
        <r>
          <rPr>
            <b/>
            <sz val="8"/>
            <color indexed="81"/>
            <rFont val="Tahoma"/>
            <family val="2"/>
          </rPr>
          <t>ecordovin:</t>
        </r>
        <r>
          <rPr>
            <sz val="8"/>
            <color indexed="81"/>
            <rFont val="Tahoma"/>
            <family val="2"/>
          </rPr>
          <t xml:space="preserve">
3 para Smart IP20 (que no tienen N)</t>
        </r>
      </text>
    </comment>
    <comment ref="B336" authorId="0">
      <text>
        <r>
          <rPr>
            <b/>
            <sz val="8"/>
            <color indexed="81"/>
            <rFont val="Tahoma"/>
            <family val="2"/>
          </rPr>
          <t>ecordovin:</t>
        </r>
        <r>
          <rPr>
            <sz val="8"/>
            <color indexed="81"/>
            <rFont val="Tahoma"/>
            <family val="2"/>
          </rPr>
          <t xml:space="preserve">
3+N para Smart nuevos (que tienen N)</t>
        </r>
      </text>
    </comment>
    <comment ref="A342" authorId="0">
      <text>
        <r>
          <rPr>
            <b/>
            <sz val="8"/>
            <color indexed="81"/>
            <rFont val="Tahoma"/>
            <family val="2"/>
          </rPr>
          <t>ecordovin:</t>
        </r>
        <r>
          <rPr>
            <sz val="8"/>
            <color indexed="81"/>
            <rFont val="Tahoma"/>
            <family val="2"/>
          </rPr>
          <t xml:space="preserve">
valida para equipos de hasta 15kW tanto IP20 como IP54.
La AAS0012 estaba mal documentada y se desdobló en dos tarjetas.Ésta era la de 15 condensadores de 2,2uF
Las AAS0012v_ pueden ser montadas todas en equipos hasta 15kW</t>
        </r>
      </text>
    </comment>
    <comment ref="A343" authorId="0">
      <text>
        <r>
          <rPr>
            <b/>
            <sz val="8"/>
            <color indexed="81"/>
            <rFont val="Tahoma"/>
            <family val="2"/>
          </rPr>
          <t>ecordovin:</t>
        </r>
        <r>
          <rPr>
            <sz val="8"/>
            <color indexed="81"/>
            <rFont val="Tahoma"/>
            <family val="2"/>
          </rPr>
          <t xml:space="preserve">
Power TL, PowerMax y PoweMax MS agrupados</t>
        </r>
      </text>
    </comment>
    <comment ref="M343" authorId="0">
      <text>
        <r>
          <rPr>
            <b/>
            <sz val="8"/>
            <color indexed="81"/>
            <rFont val="Tahoma"/>
            <family val="2"/>
          </rPr>
          <t>ecordovin:</t>
        </r>
        <r>
          <rPr>
            <sz val="8"/>
            <color indexed="81"/>
            <rFont val="Tahoma"/>
            <family val="2"/>
          </rPr>
          <t xml:space="preserve">
AAV0035, AAV0042</t>
        </r>
      </text>
    </comment>
    <comment ref="M345" authorId="0">
      <text>
        <r>
          <rPr>
            <b/>
            <sz val="8"/>
            <color indexed="81"/>
            <rFont val="Tahoma"/>
            <family val="2"/>
          </rPr>
          <t>ecordovin:</t>
        </r>
        <r>
          <rPr>
            <sz val="8"/>
            <color indexed="81"/>
            <rFont val="Tahoma"/>
            <family val="2"/>
          </rPr>
          <t xml:space="preserve">
en kits SAC</t>
        </r>
      </text>
    </comment>
    <comment ref="A346" authorId="0">
      <text>
        <r>
          <rPr>
            <b/>
            <sz val="8"/>
            <color indexed="81"/>
            <rFont val="Tahoma"/>
            <family val="2"/>
          </rPr>
          <t>ecordovin:</t>
        </r>
        <r>
          <rPr>
            <sz val="8"/>
            <color indexed="81"/>
            <rFont val="Tahoma"/>
            <family val="2"/>
          </rPr>
          <t xml:space="preserve">
Es idéntica a la AAS0018, pero para montar directamente a la placa con torretas, en lugar de sobre carril DIN. Compatibles ambas.</t>
        </r>
      </text>
    </comment>
    <comment ref="B353" authorId="0">
      <text>
        <r>
          <rPr>
            <b/>
            <sz val="8"/>
            <color indexed="81"/>
            <rFont val="Tahoma"/>
            <family val="2"/>
          </rPr>
          <t>ecordovin:</t>
        </r>
        <r>
          <rPr>
            <sz val="8"/>
            <color indexed="81"/>
            <rFont val="Tahoma"/>
            <family val="2"/>
          </rPr>
          <t xml:space="preserve">
sustituye al 106105852</t>
        </r>
      </text>
    </comment>
    <comment ref="B356" authorId="0">
      <text>
        <r>
          <rPr>
            <b/>
            <sz val="8"/>
            <color indexed="81"/>
            <rFont val="Tahoma"/>
            <family val="2"/>
          </rPr>
          <t>ecordovin:</t>
        </r>
        <r>
          <rPr>
            <sz val="8"/>
            <color indexed="81"/>
            <rFont val="Tahoma"/>
            <family val="2"/>
          </rPr>
          <t xml:space="preserve">
sustituye al 106105850 que se deshomologa.
Mandar con el condensador 106117762</t>
        </r>
      </text>
    </comment>
  </commentList>
</comments>
</file>

<file path=xl/comments20.xml><?xml version="1.0" encoding="utf-8"?>
<comments xmlns="http://schemas.openxmlformats.org/spreadsheetml/2006/main">
  <authors>
    <author>Eduardo E.C.S. Cordovin Santesteban</author>
    <author>ecordovin</author>
  </authors>
  <commentList>
    <comment ref="E12" authorId="0">
      <text>
        <r>
          <rPr>
            <b/>
            <sz val="9"/>
            <color indexed="81"/>
            <rFont val="Tahoma"/>
            <family val="2"/>
          </rPr>
          <t>Eduardo E.C.S. Cordovin Santesteban:</t>
        </r>
        <r>
          <rPr>
            <sz val="9"/>
            <color indexed="81"/>
            <rFont val="Tahoma"/>
            <family val="2"/>
          </rPr>
          <t xml:space="preserve">
AAS0196 y AAS0197</t>
        </r>
      </text>
    </comment>
    <comment ref="E13" authorId="0">
      <text>
        <r>
          <rPr>
            <b/>
            <sz val="9"/>
            <color indexed="81"/>
            <rFont val="Tahoma"/>
            <family val="2"/>
          </rPr>
          <t>Eduardo E.C.S. Cordovin Santesteban:</t>
        </r>
        <r>
          <rPr>
            <sz val="9"/>
            <color indexed="81"/>
            <rFont val="Tahoma"/>
            <family val="2"/>
          </rPr>
          <t xml:space="preserve">
AAS0190</t>
        </r>
      </text>
    </comment>
    <comment ref="E15" authorId="1">
      <text>
        <r>
          <rPr>
            <b/>
            <sz val="8"/>
            <color indexed="81"/>
            <rFont val="Tahoma"/>
            <family val="2"/>
          </rPr>
          <t>ecordovin:</t>
        </r>
        <r>
          <rPr>
            <sz val="8"/>
            <color indexed="81"/>
            <rFont val="Tahoma"/>
            <family val="2"/>
          </rPr>
          <t xml:space="preserve">
sustituye al 106105850 que a su vez va con el condensador 106104947</t>
        </r>
      </text>
    </comment>
    <comment ref="E18" authorId="0">
      <text>
        <r>
          <rPr>
            <b/>
            <sz val="9"/>
            <color indexed="81"/>
            <rFont val="Tahoma"/>
            <family val="2"/>
          </rPr>
          <t>Eduardo E.C.S. Cordovin Santesteban:</t>
        </r>
        <r>
          <rPr>
            <sz val="9"/>
            <color indexed="81"/>
            <rFont val="Tahoma"/>
            <family val="2"/>
          </rPr>
          <t xml:space="preserve">
sustituye al 106112520</t>
        </r>
      </text>
    </comment>
    <comment ref="E89" authorId="1">
      <text>
        <r>
          <rPr>
            <b/>
            <sz val="8"/>
            <color indexed="81"/>
            <rFont val="Tahoma"/>
            <family val="2"/>
          </rPr>
          <t>ecordovin:</t>
        </r>
        <r>
          <rPr>
            <sz val="8"/>
            <color indexed="81"/>
            <rFont val="Tahoma"/>
            <family val="2"/>
          </rPr>
          <t xml:space="preserve">
sustituye al 106105850 que a su vez va con el condensador 106104947</t>
        </r>
      </text>
    </comment>
    <comment ref="E93" authorId="0">
      <text>
        <r>
          <rPr>
            <b/>
            <sz val="9"/>
            <color indexed="81"/>
            <rFont val="Tahoma"/>
            <family val="2"/>
          </rPr>
          <t>Eduardo E.C.S. Cordovin Santesteban:</t>
        </r>
        <r>
          <rPr>
            <sz val="9"/>
            <color indexed="81"/>
            <rFont val="Tahoma"/>
            <family val="2"/>
          </rPr>
          <t xml:space="preserve">
sustituye al 106112520</t>
        </r>
      </text>
    </comment>
    <comment ref="E163" authorId="1">
      <text>
        <r>
          <rPr>
            <b/>
            <sz val="8"/>
            <color indexed="81"/>
            <rFont val="Tahoma"/>
            <family val="2"/>
          </rPr>
          <t>ecordovin:</t>
        </r>
        <r>
          <rPr>
            <sz val="8"/>
            <color indexed="81"/>
            <rFont val="Tahoma"/>
            <family val="2"/>
          </rPr>
          <t xml:space="preserve">
Fitro RC, componente de AAS0194</t>
        </r>
      </text>
    </comment>
    <comment ref="E167" authorId="0">
      <text>
        <r>
          <rPr>
            <b/>
            <sz val="9"/>
            <color indexed="81"/>
            <rFont val="Tahoma"/>
            <family val="2"/>
          </rPr>
          <t>Eduardo E.C.S. Cordovin Santesteban:</t>
        </r>
        <r>
          <rPr>
            <sz val="9"/>
            <color indexed="81"/>
            <rFont val="Tahoma"/>
            <family val="2"/>
          </rPr>
          <t xml:space="preserve">
sustituye al 106112520</t>
        </r>
      </text>
    </comment>
    <comment ref="E176" authorId="1">
      <text>
        <r>
          <rPr>
            <b/>
            <sz val="8"/>
            <color indexed="81"/>
            <rFont val="Tahoma"/>
            <family val="2"/>
          </rPr>
          <t>ecordovin:</t>
        </r>
        <r>
          <rPr>
            <sz val="8"/>
            <color indexed="81"/>
            <rFont val="Tahoma"/>
            <family val="2"/>
          </rPr>
          <t xml:space="preserve">
sustituido por 106112043 que a su vez va con el condensador 106117762</t>
        </r>
      </text>
    </comment>
    <comment ref="D218" authorId="1">
      <text>
        <r>
          <rPr>
            <b/>
            <sz val="8"/>
            <color indexed="81"/>
            <rFont val="Tahoma"/>
            <family val="2"/>
          </rPr>
          <t>ecordovin:</t>
        </r>
        <r>
          <rPr>
            <sz val="8"/>
            <color indexed="81"/>
            <rFont val="Tahoma"/>
            <family val="2"/>
          </rPr>
          <t xml:space="preserve">
sustituido por AAV0092</t>
        </r>
      </text>
    </comment>
    <comment ref="E230" authorId="1">
      <text>
        <r>
          <rPr>
            <b/>
            <sz val="8"/>
            <color indexed="81"/>
            <rFont val="Tahoma"/>
            <family val="2"/>
          </rPr>
          <t>ecordovin:</t>
        </r>
        <r>
          <rPr>
            <sz val="8"/>
            <color indexed="81"/>
            <rFont val="Tahoma"/>
            <family val="2"/>
          </rPr>
          <t xml:space="preserve">
sustituido por 106112043 que a su vez va con el condensador 106117762</t>
        </r>
      </text>
    </comment>
  </commentList>
</comments>
</file>

<file path=xl/comments21.xml><?xml version="1.0" encoding="utf-8"?>
<comments xmlns="http://schemas.openxmlformats.org/spreadsheetml/2006/main">
  <authors>
    <author>ecordovin</author>
    <author>Eduardo E.C.S. Cordovin Santesteban</author>
  </authors>
  <commentList>
    <comment ref="E12" authorId="0">
      <text>
        <r>
          <rPr>
            <b/>
            <sz val="8"/>
            <color indexed="81"/>
            <rFont val="Tahoma"/>
            <family val="2"/>
          </rPr>
          <t>ecordovin:</t>
        </r>
        <r>
          <rPr>
            <sz val="8"/>
            <color indexed="81"/>
            <rFont val="Tahoma"/>
            <family val="2"/>
          </rPr>
          <t xml:space="preserve">
Fitro RC, componente de AAV0035</t>
        </r>
      </text>
    </comment>
    <comment ref="E16" authorId="1">
      <text>
        <r>
          <rPr>
            <b/>
            <sz val="9"/>
            <color indexed="81"/>
            <rFont val="Tahoma"/>
            <family val="2"/>
          </rPr>
          <t>Eduardo E.C.S. Cordovin Santesteban:</t>
        </r>
        <r>
          <rPr>
            <sz val="9"/>
            <color indexed="81"/>
            <rFont val="Tahoma"/>
            <family val="2"/>
          </rPr>
          <t xml:space="preserve">
sustituye al 106112520</t>
        </r>
      </text>
    </comment>
    <comment ref="E26" authorId="0">
      <text>
        <r>
          <rPr>
            <b/>
            <sz val="8"/>
            <color indexed="81"/>
            <rFont val="Tahoma"/>
            <family val="2"/>
          </rPr>
          <t>ecordovin:</t>
        </r>
        <r>
          <rPr>
            <sz val="8"/>
            <color indexed="81"/>
            <rFont val="Tahoma"/>
            <family val="2"/>
          </rPr>
          <t xml:space="preserve">
sustituido por 106112043 que a su vez va con el condensador 106117762</t>
        </r>
      </text>
    </comment>
    <comment ref="E59" authorId="0">
      <text>
        <r>
          <rPr>
            <b/>
            <sz val="8"/>
            <color indexed="81"/>
            <rFont val="Tahoma"/>
            <family val="2"/>
          </rPr>
          <t>ecordovin:</t>
        </r>
        <r>
          <rPr>
            <sz val="8"/>
            <color indexed="81"/>
            <rFont val="Tahoma"/>
            <family val="2"/>
          </rPr>
          <t xml:space="preserve">
Fitro RC, componente de AAS0194</t>
        </r>
      </text>
    </comment>
    <comment ref="E63" authorId="1">
      <text>
        <r>
          <rPr>
            <b/>
            <sz val="9"/>
            <color indexed="81"/>
            <rFont val="Tahoma"/>
            <family val="2"/>
          </rPr>
          <t>Eduardo E.C.S. Cordovin Santesteban:</t>
        </r>
        <r>
          <rPr>
            <sz val="9"/>
            <color indexed="81"/>
            <rFont val="Tahoma"/>
            <family val="2"/>
          </rPr>
          <t xml:space="preserve">
sustituye al 106112520</t>
        </r>
      </text>
    </comment>
    <comment ref="E72" authorId="0">
      <text>
        <r>
          <rPr>
            <b/>
            <sz val="8"/>
            <color indexed="81"/>
            <rFont val="Tahoma"/>
            <family val="2"/>
          </rPr>
          <t>ecordovin:</t>
        </r>
        <r>
          <rPr>
            <sz val="8"/>
            <color indexed="81"/>
            <rFont val="Tahoma"/>
            <family val="2"/>
          </rPr>
          <t xml:space="preserve">
sustituido por 106112043 que a su vez va con el condensador 106117762</t>
        </r>
      </text>
    </comment>
    <comment ref="D114" authorId="0">
      <text>
        <r>
          <rPr>
            <b/>
            <sz val="8"/>
            <color indexed="81"/>
            <rFont val="Tahoma"/>
            <family val="2"/>
          </rPr>
          <t>ecordovin:</t>
        </r>
        <r>
          <rPr>
            <sz val="8"/>
            <color indexed="81"/>
            <rFont val="Tahoma"/>
            <family val="2"/>
          </rPr>
          <t xml:space="preserve">
sustituido por AAV0092</t>
        </r>
      </text>
    </comment>
    <comment ref="E128" authorId="0">
      <text>
        <r>
          <rPr>
            <b/>
            <sz val="8"/>
            <color indexed="81"/>
            <rFont val="Tahoma"/>
            <family val="2"/>
          </rPr>
          <t>ecordovin:</t>
        </r>
        <r>
          <rPr>
            <sz val="8"/>
            <color indexed="81"/>
            <rFont val="Tahoma"/>
            <family val="2"/>
          </rPr>
          <t xml:space="preserve">
sustituido por 106112043 que a su vez va con el condensador 106117762</t>
        </r>
      </text>
    </comment>
  </commentList>
</comments>
</file>

<file path=xl/comments22.xml><?xml version="1.0" encoding="utf-8"?>
<comments xmlns="http://schemas.openxmlformats.org/spreadsheetml/2006/main">
  <authors>
    <author>ecordovin</author>
    <author>Eduardo E.C.S. Cordovin Santesteban</author>
  </authors>
  <commentList>
    <comment ref="D62" authorId="0">
      <text>
        <r>
          <rPr>
            <b/>
            <sz val="8"/>
            <color indexed="81"/>
            <rFont val="Tahoma"/>
            <family val="2"/>
          </rPr>
          <t>ecordovin:</t>
        </r>
        <r>
          <rPr>
            <sz val="8"/>
            <color indexed="81"/>
            <rFont val="Tahoma"/>
            <family val="2"/>
          </rPr>
          <t xml:space="preserve">
sustituido por 106112043 que a su vez va con el condensador 106117762</t>
        </r>
      </text>
    </comment>
    <comment ref="A83" authorId="1">
      <text>
        <r>
          <rPr>
            <b/>
            <sz val="9"/>
            <color indexed="81"/>
            <rFont val="Tahoma"/>
            <family val="2"/>
          </rPr>
          <t>Eduardo E.C.S. Cordovin Santesteban:</t>
        </r>
        <r>
          <rPr>
            <sz val="9"/>
            <color indexed="81"/>
            <rFont val="Tahoma"/>
            <family val="2"/>
          </rPr>
          <t xml:space="preserve">
sustituir por AAS5033 (kit con el AAS0277)</t>
        </r>
      </text>
    </comment>
    <comment ref="C83" authorId="1">
      <text>
        <r>
          <rPr>
            <b/>
            <sz val="9"/>
            <color indexed="81"/>
            <rFont val="Tahoma"/>
            <family val="2"/>
          </rPr>
          <t>Eduardo E.C.S. Cordovin Santesteban:</t>
        </r>
        <r>
          <rPr>
            <sz val="9"/>
            <color indexed="81"/>
            <rFont val="Tahoma"/>
            <family val="2"/>
          </rPr>
          <t xml:space="preserve">
sustituir por AAS5033 (kit con el AAS0277)</t>
        </r>
      </text>
    </comment>
    <comment ref="D99" authorId="0">
      <text>
        <r>
          <rPr>
            <b/>
            <sz val="8"/>
            <color indexed="81"/>
            <rFont val="Tahoma"/>
            <family val="2"/>
          </rPr>
          <t>ecordovin:</t>
        </r>
        <r>
          <rPr>
            <sz val="8"/>
            <color indexed="81"/>
            <rFont val="Tahoma"/>
            <family val="2"/>
          </rPr>
          <t xml:space="preserve">
sustituido por 106112043 que a su vez va con el condensador 106117762</t>
        </r>
      </text>
    </comment>
    <comment ref="D132" authorId="0">
      <text>
        <r>
          <rPr>
            <b/>
            <sz val="8"/>
            <color indexed="81"/>
            <rFont val="Tahoma"/>
            <family val="2"/>
          </rPr>
          <t>ecordovin:</t>
        </r>
        <r>
          <rPr>
            <sz val="8"/>
            <color indexed="81"/>
            <rFont val="Tahoma"/>
            <family val="2"/>
          </rPr>
          <t xml:space="preserve">
sustituido por 106112043 que a su vez va con el condensador 106117762</t>
        </r>
      </text>
    </comment>
    <comment ref="D176" authorId="0">
      <text>
        <r>
          <rPr>
            <b/>
            <sz val="8"/>
            <color indexed="81"/>
            <rFont val="Tahoma"/>
            <family val="2"/>
          </rPr>
          <t>ecordovin:</t>
        </r>
        <r>
          <rPr>
            <sz val="8"/>
            <color indexed="81"/>
            <rFont val="Tahoma"/>
            <family val="2"/>
          </rPr>
          <t xml:space="preserve">
sustituido por 106112043 que a su vez va con el condensador 106117762</t>
        </r>
      </text>
    </comment>
  </commentList>
</comments>
</file>

<file path=xl/comments23.xml><?xml version="1.0" encoding="utf-8"?>
<comments xmlns="http://schemas.openxmlformats.org/spreadsheetml/2006/main">
  <authors>
    <author>ecordovin</author>
  </authors>
  <commentList>
    <comment ref="D32" authorId="0">
      <text>
        <r>
          <rPr>
            <b/>
            <sz val="8"/>
            <color indexed="81"/>
            <rFont val="Tahoma"/>
            <family val="2"/>
          </rPr>
          <t>ecordovin:</t>
        </r>
        <r>
          <rPr>
            <sz val="8"/>
            <color indexed="81"/>
            <rFont val="Tahoma"/>
            <family val="2"/>
          </rPr>
          <t xml:space="preserve">
viene con la goma</t>
        </r>
      </text>
    </comment>
    <comment ref="D46" authorId="0">
      <text>
        <r>
          <rPr>
            <b/>
            <sz val="8"/>
            <color indexed="81"/>
            <rFont val="Tahoma"/>
            <family val="2"/>
          </rPr>
          <t>ecordovin:</t>
        </r>
        <r>
          <rPr>
            <sz val="8"/>
            <color indexed="81"/>
            <rFont val="Tahoma"/>
            <family val="2"/>
          </rPr>
          <t xml:space="preserve">
en las AAS7043</t>
        </r>
      </text>
    </comment>
  </commentList>
</comments>
</file>

<file path=xl/comments24.xml><?xml version="1.0" encoding="utf-8"?>
<comments xmlns="http://schemas.openxmlformats.org/spreadsheetml/2006/main">
  <authors>
    <author>ecordovin</author>
  </authors>
  <commentList>
    <comment ref="G2" authorId="0">
      <text>
        <r>
          <rPr>
            <b/>
            <sz val="8"/>
            <color indexed="81"/>
            <rFont val="Tahoma"/>
            <family val="2"/>
          </rPr>
          <t>ecordovin:</t>
        </r>
        <r>
          <rPr>
            <sz val="8"/>
            <color indexed="81"/>
            <rFont val="Tahoma"/>
            <family val="2"/>
          </rPr>
          <t xml:space="preserve">
SAP Sept 2010</t>
        </r>
      </text>
    </comment>
  </commentList>
</comments>
</file>

<file path=xl/comments25.xml><?xml version="1.0" encoding="utf-8"?>
<comments xmlns="http://schemas.openxmlformats.org/spreadsheetml/2006/main">
  <authors>
    <author>ecordovin</author>
    <author>Eduardo E.C.S. Cordovin Santesteban</author>
  </authors>
  <commentList>
    <comment ref="E2" authorId="0">
      <text>
        <r>
          <rPr>
            <b/>
            <sz val="8"/>
            <color indexed="81"/>
            <rFont val="Tahoma"/>
            <family val="2"/>
          </rPr>
          <t>ecordovin:</t>
        </r>
        <r>
          <rPr>
            <sz val="8"/>
            <color indexed="81"/>
            <rFont val="Tahoma"/>
            <family val="2"/>
          </rPr>
          <t xml:space="preserve">
JMB dic 2012</t>
        </r>
      </text>
    </comment>
    <comment ref="D19" authorId="0">
      <text>
        <r>
          <rPr>
            <b/>
            <sz val="8"/>
            <color indexed="81"/>
            <rFont val="Tahoma"/>
            <family val="2"/>
          </rPr>
          <t>ecordovin:</t>
        </r>
        <r>
          <rPr>
            <sz val="8"/>
            <color indexed="81"/>
            <rFont val="Tahoma"/>
            <family val="2"/>
          </rPr>
          <t xml:space="preserve">
en verde coste 2013</t>
        </r>
      </text>
    </comment>
    <comment ref="C23" authorId="0">
      <text>
        <r>
          <rPr>
            <b/>
            <sz val="8"/>
            <color indexed="81"/>
            <rFont val="Tahoma"/>
            <family val="2"/>
          </rPr>
          <t>ecordovin:</t>
        </r>
        <r>
          <rPr>
            <sz val="8"/>
            <color indexed="81"/>
            <rFont val="Tahoma"/>
            <family val="2"/>
          </rPr>
          <t xml:space="preserve">
AAX7041 incluye una aplicación Linux</t>
        </r>
      </text>
    </comment>
    <comment ref="H26" authorId="0">
      <text>
        <r>
          <rPr>
            <b/>
            <sz val="8"/>
            <color indexed="81"/>
            <rFont val="Tahoma"/>
            <family val="2"/>
          </rPr>
          <t>ecordovin:</t>
        </r>
        <r>
          <rPr>
            <sz val="8"/>
            <color indexed="81"/>
            <rFont val="Tahoma"/>
            <family val="2"/>
          </rPr>
          <t xml:space="preserve">
coste Energy, 92,07€ (transporte aparte). Así que no bajar de 140€.</t>
        </r>
      </text>
    </comment>
    <comment ref="E29" authorId="1">
      <text>
        <r>
          <rPr>
            <b/>
            <sz val="9"/>
            <color indexed="81"/>
            <rFont val="Tahoma"/>
            <charset val="1"/>
          </rPr>
          <t>Eduardo E.C.S. Cordovin Santesteban:</t>
        </r>
        <r>
          <rPr>
            <sz val="9"/>
            <color indexed="81"/>
            <rFont val="Tahoma"/>
            <charset val="1"/>
          </rPr>
          <t xml:space="preserve">
68,26€ a Rios (46uds)</t>
        </r>
      </text>
    </comment>
    <comment ref="A41" authorId="0">
      <text>
        <r>
          <rPr>
            <b/>
            <sz val="8"/>
            <color indexed="81"/>
            <rFont val="Tahoma"/>
            <family val="2"/>
          </rPr>
          <t>ecordovin:</t>
        </r>
        <r>
          <rPr>
            <sz val="8"/>
            <color indexed="81"/>
            <rFont val="Tahoma"/>
            <family val="2"/>
          </rPr>
          <t xml:space="preserve">
los primeros, valía para los T y TL. Derivó en AAP0074 (T) y AAP0174 (TL).</t>
        </r>
      </text>
    </comment>
    <comment ref="A56" authorId="0">
      <text>
        <r>
          <rPr>
            <b/>
            <sz val="8"/>
            <color indexed="81"/>
            <rFont val="Tahoma"/>
            <family val="2"/>
          </rPr>
          <t>ecordovin:</t>
        </r>
        <r>
          <rPr>
            <sz val="8"/>
            <color indexed="81"/>
            <rFont val="Tahoma"/>
            <family val="2"/>
          </rPr>
          <t xml:space="preserve">
kit AAS0017</t>
        </r>
      </text>
    </comment>
    <comment ref="A57" authorId="0">
      <text>
        <r>
          <rPr>
            <b/>
            <sz val="8"/>
            <color indexed="81"/>
            <rFont val="Tahoma"/>
            <family val="2"/>
          </rPr>
          <t>ecordovin:</t>
        </r>
        <r>
          <rPr>
            <sz val="8"/>
            <color indexed="81"/>
            <rFont val="Tahoma"/>
            <family val="2"/>
          </rPr>
          <t xml:space="preserve">
kit AAS0008</t>
        </r>
      </text>
    </comment>
    <comment ref="B57" authorId="0">
      <text>
        <r>
          <rPr>
            <b/>
            <sz val="8"/>
            <color indexed="81"/>
            <rFont val="Tahoma"/>
            <family val="2"/>
          </rPr>
          <t>ecordovin:</t>
        </r>
        <r>
          <rPr>
            <sz val="8"/>
            <color indexed="81"/>
            <rFont val="Tahoma"/>
            <family val="2"/>
          </rPr>
          <t xml:space="preserve">
aunque principalmente es para Buskil de Acciona, tb lo llevan otros equipos con seguimiento a 1 eje, xo sólo para los de Acciona hay que aplicar la v_D; xa los demás, dejar la _C.</t>
        </r>
      </text>
    </comment>
    <comment ref="B59" authorId="1">
      <text>
        <r>
          <rPr>
            <b/>
            <sz val="9"/>
            <color indexed="81"/>
            <rFont val="Tahoma"/>
            <family val="2"/>
          </rPr>
          <t>Eduardo E.C.S. Cordovin Santesteban:</t>
        </r>
        <r>
          <rPr>
            <sz val="9"/>
            <color indexed="81"/>
            <rFont val="Tahoma"/>
            <family val="2"/>
          </rPr>
          <t xml:space="preserve">
AAP0084, 23,28€ de coste</t>
        </r>
      </text>
    </comment>
    <comment ref="B68" authorId="0">
      <text>
        <r>
          <rPr>
            <b/>
            <sz val="8"/>
            <color indexed="81"/>
            <rFont val="Tahoma"/>
            <family val="2"/>
          </rPr>
          <t>ecordovin:</t>
        </r>
        <r>
          <rPr>
            <sz val="8"/>
            <color indexed="81"/>
            <rFont val="Tahoma"/>
            <family val="2"/>
          </rPr>
          <t xml:space="preserve">
incluye AAX0001 (modem trifásico a partir de v_E) y cable AQL0103.</t>
        </r>
      </text>
    </comment>
    <comment ref="A70" authorId="0">
      <text>
        <r>
          <rPr>
            <b/>
            <sz val="8"/>
            <color indexed="81"/>
            <rFont val="Tahoma"/>
            <family val="2"/>
          </rPr>
          <t>ecordovin:</t>
        </r>
        <r>
          <rPr>
            <sz val="8"/>
            <color indexed="81"/>
            <rFont val="Tahoma"/>
            <family val="2"/>
          </rPr>
          <t xml:space="preserve">
es necesario en los azules y en los primeros Lite. Sustituirlo por el existente entre las tarjetas de control y de potencia</t>
        </r>
      </text>
    </comment>
    <comment ref="A71" authorId="0">
      <text>
        <r>
          <rPr>
            <b/>
            <sz val="8"/>
            <color indexed="81"/>
            <rFont val="Tahoma"/>
            <family val="2"/>
          </rPr>
          <t>ecordovin:</t>
        </r>
        <r>
          <rPr>
            <sz val="8"/>
            <color indexed="81"/>
            <rFont val="Tahoma"/>
            <family val="2"/>
          </rPr>
          <t xml:space="preserve">
va siempre del RS485 del modem al conector Harting. Sólo si se va a usar el RS485. Para conectarse con un solo nodo en remoto, no es necesario.</t>
        </r>
      </text>
    </comment>
  </commentList>
</comments>
</file>

<file path=xl/comments26.xml><?xml version="1.0" encoding="utf-8"?>
<comments xmlns="http://schemas.openxmlformats.org/spreadsheetml/2006/main">
  <authors>
    <author>Eduardo E.C.S. Cordovin Santesteban</author>
    <author>ecordovin</author>
    <author>Autor</author>
  </authors>
  <commentList>
    <comment ref="R3" authorId="0">
      <text>
        <r>
          <rPr>
            <b/>
            <sz val="9"/>
            <color indexed="81"/>
            <rFont val="Tahoma"/>
            <family val="2"/>
          </rPr>
          <t>Eduardo E.C.S. Cordovin Santesteban:</t>
        </r>
        <r>
          <rPr>
            <sz val="9"/>
            <color indexed="81"/>
            <rFont val="Tahoma"/>
            <family val="2"/>
          </rPr>
          <t xml:space="preserve">
la v_A incluye la AAX0054 con algún cable</t>
        </r>
      </text>
    </comment>
    <comment ref="R4" authorId="0">
      <text>
        <r>
          <rPr>
            <b/>
            <sz val="9"/>
            <color indexed="81"/>
            <rFont val="Tahoma"/>
            <family val="2"/>
          </rPr>
          <t>Eduardo E.C.S. Cordovin Santesteban:</t>
        </r>
        <r>
          <rPr>
            <sz val="9"/>
            <color indexed="81"/>
            <rFont val="Tahoma"/>
            <family val="2"/>
          </rPr>
          <t xml:space="preserve">
desaparece. Sustituida por AAX0054 cuando confirme Nerea la compatibilidad mecánica 100%. Mientras puede ser sustituida x AAX0041 (aunque es más cara)</t>
        </r>
      </text>
    </comment>
    <comment ref="R12" authorId="0">
      <text>
        <r>
          <rPr>
            <b/>
            <sz val="9"/>
            <color indexed="81"/>
            <rFont val="Tahoma"/>
            <family val="2"/>
          </rPr>
          <t>Eduardo E.C.S. Cordovin Santesteban:</t>
        </r>
        <r>
          <rPr>
            <sz val="9"/>
            <color indexed="81"/>
            <rFont val="Tahoma"/>
            <family val="2"/>
          </rPr>
          <t xml:space="preserve">
va a ser sustituido por el AAX7054</t>
        </r>
      </text>
    </comment>
    <comment ref="L14" authorId="0">
      <text>
        <r>
          <rPr>
            <b/>
            <sz val="9"/>
            <color indexed="81"/>
            <rFont val="Tahoma"/>
            <family val="2"/>
          </rPr>
          <t>Eduardo E.C.S. Cordovin Santesteban:</t>
        </r>
        <r>
          <rPr>
            <sz val="9"/>
            <color indexed="81"/>
            <rFont val="Tahoma"/>
            <family val="2"/>
          </rPr>
          <t xml:space="preserve">
AAS0018: 24,96€</t>
        </r>
      </text>
    </comment>
    <comment ref="P14" authorId="0">
      <text>
        <r>
          <rPr>
            <b/>
            <sz val="9"/>
            <color indexed="81"/>
            <rFont val="Tahoma"/>
            <family val="2"/>
          </rPr>
          <t>Eduardo E.C.S. Cordovin Santesteban:</t>
        </r>
        <r>
          <rPr>
            <sz val="9"/>
            <color indexed="81"/>
            <rFont val="Tahoma"/>
            <family val="2"/>
          </rPr>
          <t xml:space="preserve">
24,96x0,6+restox0,8</t>
        </r>
      </text>
    </comment>
    <comment ref="S14" authorId="0">
      <text>
        <r>
          <rPr>
            <b/>
            <sz val="9"/>
            <color indexed="81"/>
            <rFont val="Tahoma"/>
            <family val="2"/>
          </rPr>
          <t>Eduardo E.C.S. Cordovin Santesteban:</t>
        </r>
        <r>
          <rPr>
            <sz val="9"/>
            <color indexed="81"/>
            <rFont val="Tahoma"/>
            <family val="2"/>
          </rPr>
          <t xml:space="preserve">
lleva la AAX0054 que es la anterior AAX004 adaptada para Play. Va a sustituir a la AAX0004.</t>
        </r>
      </text>
    </comment>
    <comment ref="S15" authorId="0">
      <text>
        <r>
          <rPr>
            <b/>
            <sz val="9"/>
            <color indexed="81"/>
            <rFont val="Tahoma"/>
            <family val="2"/>
          </rPr>
          <t>Eduardo E.C.S. Cordovin Santesteban:</t>
        </r>
        <r>
          <rPr>
            <sz val="9"/>
            <color indexed="81"/>
            <rFont val="Tahoma"/>
            <family val="2"/>
          </rPr>
          <t xml:space="preserve">
va a sustituir al AAX7041. (AAX0057) xo con prensaestopas para instalar en los Play</t>
        </r>
      </text>
    </comment>
    <comment ref="S16" authorId="0">
      <text>
        <r>
          <rPr>
            <b/>
            <sz val="9"/>
            <color indexed="81"/>
            <rFont val="Tahoma"/>
            <family val="2"/>
          </rPr>
          <t>Eduardo E.C.S. Cordovin Santesteban:</t>
        </r>
        <r>
          <rPr>
            <sz val="9"/>
            <color indexed="81"/>
            <rFont val="Tahoma"/>
            <family val="2"/>
          </rPr>
          <t xml:space="preserve">
AAX0052
Vale xa todos los equipos. En 3Play va de serie</t>
        </r>
      </text>
    </comment>
    <comment ref="A18" authorId="0">
      <text>
        <r>
          <rPr>
            <b/>
            <sz val="9"/>
            <color indexed="81"/>
            <rFont val="Tahoma"/>
            <family val="2"/>
          </rPr>
          <t>Eduardo E.C.S. Cordovin Santesteban:</t>
        </r>
        <r>
          <rPr>
            <sz val="9"/>
            <color indexed="81"/>
            <rFont val="Tahoma"/>
            <family val="2"/>
          </rPr>
          <t xml:space="preserve">
IT0156</t>
        </r>
      </text>
    </comment>
    <comment ref="P18" authorId="1">
      <text>
        <r>
          <rPr>
            <b/>
            <sz val="8"/>
            <color indexed="81"/>
            <rFont val="Tahoma"/>
            <family val="2"/>
          </rPr>
          <t>ecordovin:</t>
        </r>
        <r>
          <rPr>
            <sz val="8"/>
            <color indexed="81"/>
            <rFont val="Tahoma"/>
            <family val="2"/>
          </rPr>
          <t xml:space="preserve">
Provisional</t>
        </r>
      </text>
    </comment>
    <comment ref="P19" authorId="1">
      <text>
        <r>
          <rPr>
            <b/>
            <sz val="8"/>
            <color indexed="81"/>
            <rFont val="Tahoma"/>
            <family val="2"/>
          </rPr>
          <t>ecordovin:</t>
        </r>
        <r>
          <rPr>
            <sz val="8"/>
            <color indexed="81"/>
            <rFont val="Tahoma"/>
            <family val="2"/>
          </rPr>
          <t xml:space="preserve">
Provisional</t>
        </r>
      </text>
    </comment>
    <comment ref="X21" authorId="0">
      <text>
        <r>
          <rPr>
            <b/>
            <sz val="9"/>
            <color indexed="81"/>
            <rFont val="Tahoma"/>
            <family val="2"/>
          </rPr>
          <t>Eduardo E.C.S. Cordovin Santesteban:</t>
        </r>
        <r>
          <rPr>
            <sz val="9"/>
            <color indexed="81"/>
            <rFont val="Tahoma"/>
            <family val="2"/>
          </rPr>
          <t xml:space="preserve">
sustituye a AAX0004</t>
        </r>
      </text>
    </comment>
    <comment ref="D22" authorId="0">
      <text>
        <r>
          <rPr>
            <b/>
            <sz val="9"/>
            <color indexed="81"/>
            <rFont val="Tahoma"/>
            <family val="2"/>
          </rPr>
          <t>Eduardo E.C.S. Cordovin Santesteban:</t>
        </r>
        <r>
          <rPr>
            <sz val="9"/>
            <color indexed="81"/>
            <rFont val="Tahoma"/>
            <family val="2"/>
          </rPr>
          <t xml:space="preserve">
Sólo para MS</t>
        </r>
      </text>
    </comment>
    <comment ref="K22" authorId="0">
      <text>
        <r>
          <rPr>
            <b/>
            <sz val="9"/>
            <color indexed="81"/>
            <rFont val="Tahoma"/>
            <family val="2"/>
          </rPr>
          <t>Eduardo E.C.S. Cordovin Santesteban:</t>
        </r>
        <r>
          <rPr>
            <sz val="9"/>
            <color indexed="81"/>
            <rFont val="Tahoma"/>
            <family val="2"/>
          </rPr>
          <t xml:space="preserve">
el magneto es 52,09€</t>
        </r>
      </text>
    </comment>
    <comment ref="O22" authorId="0">
      <text>
        <r>
          <rPr>
            <b/>
            <sz val="9"/>
            <color indexed="81"/>
            <rFont val="Tahoma"/>
            <family val="2"/>
          </rPr>
          <t>Eduardo E.C.S. Cordovin Santesteban:</t>
        </r>
        <r>
          <rPr>
            <sz val="9"/>
            <color indexed="81"/>
            <rFont val="Tahoma"/>
            <family val="2"/>
          </rPr>
          <t xml:space="preserve">
(52,09/0,8+resto/0,6)*1,1</t>
        </r>
      </text>
    </comment>
    <comment ref="P22" authorId="0">
      <text>
        <r>
          <rPr>
            <b/>
            <sz val="9"/>
            <color indexed="81"/>
            <rFont val="Tahoma"/>
            <family val="2"/>
          </rPr>
          <t>Eduardo E.C.S. Cordovin Santesteban:</t>
        </r>
        <r>
          <rPr>
            <sz val="9"/>
            <color indexed="81"/>
            <rFont val="Tahoma"/>
            <family val="2"/>
          </rPr>
          <t xml:space="preserve">
(52,09/0,95+resto/0,8)*1,1</t>
        </r>
      </text>
    </comment>
    <comment ref="X22" authorId="0">
      <text>
        <r>
          <rPr>
            <b/>
            <sz val="9"/>
            <color indexed="81"/>
            <rFont val="Tahoma"/>
            <family val="2"/>
          </rPr>
          <t>Eduardo E.C.S. Cordovin Santesteban:</t>
        </r>
        <r>
          <rPr>
            <sz val="9"/>
            <color indexed="81"/>
            <rFont val="Tahoma"/>
            <family val="2"/>
          </rPr>
          <t xml:space="preserve">
sustituye a AAX0041</t>
        </r>
      </text>
    </comment>
    <comment ref="D29" authorId="0">
      <text>
        <r>
          <rPr>
            <b/>
            <sz val="9"/>
            <color indexed="81"/>
            <rFont val="Tahoma"/>
            <family val="2"/>
          </rPr>
          <t>Eduardo E.C.S. Cordovin Santesteban:</t>
        </r>
        <r>
          <rPr>
            <sz val="9"/>
            <color indexed="81"/>
            <rFont val="Tahoma"/>
            <family val="2"/>
          </rPr>
          <t xml:space="preserve">
1 kit Sac xa PowerMax modulares</t>
        </r>
      </text>
    </comment>
    <comment ref="X29" authorId="0">
      <text>
        <r>
          <rPr>
            <b/>
            <sz val="9"/>
            <color indexed="81"/>
            <rFont val="Tahoma"/>
            <family val="2"/>
          </rPr>
          <t>Eduardo E.C.S. Cordovin Santesteban:</t>
        </r>
        <r>
          <rPr>
            <sz val="9"/>
            <color indexed="81"/>
            <rFont val="Tahoma"/>
            <family val="2"/>
          </rPr>
          <t xml:space="preserve">
sustituye a AAX0004</t>
        </r>
      </text>
    </comment>
    <comment ref="X30" authorId="0">
      <text>
        <r>
          <rPr>
            <b/>
            <sz val="9"/>
            <color indexed="81"/>
            <rFont val="Tahoma"/>
            <family val="2"/>
          </rPr>
          <t>Eduardo E.C.S. Cordovin Santesteban:</t>
        </r>
        <r>
          <rPr>
            <sz val="9"/>
            <color indexed="81"/>
            <rFont val="Tahoma"/>
            <family val="2"/>
          </rPr>
          <t xml:space="preserve">
sustituye a AAX0041</t>
        </r>
      </text>
    </comment>
    <comment ref="C46" authorId="0">
      <text>
        <r>
          <rPr>
            <b/>
            <sz val="9"/>
            <color indexed="81"/>
            <rFont val="Tahoma"/>
            <family val="2"/>
          </rPr>
          <t>Eduardo E.C.S. Cordovin Santesteban:</t>
        </r>
        <r>
          <rPr>
            <sz val="9"/>
            <color indexed="81"/>
            <rFont val="Tahoma"/>
            <family val="2"/>
          </rPr>
          <t xml:space="preserve">
igual que el AAX7001 pero con los cables AQL0089 y AQL0090 y el conector aéreo Harting</t>
        </r>
      </text>
    </comment>
    <comment ref="J55" authorId="1">
      <text>
        <r>
          <rPr>
            <b/>
            <sz val="8"/>
            <color indexed="81"/>
            <rFont val="Tahoma"/>
            <family val="2"/>
          </rPr>
          <t>ecordovin:</t>
        </r>
        <r>
          <rPr>
            <sz val="8"/>
            <color indexed="81"/>
            <rFont val="Tahoma"/>
            <family val="2"/>
          </rPr>
          <t xml:space="preserve">
la tarjeta sola AAX0041 139,03€</t>
        </r>
      </text>
    </comment>
    <comment ref="D56" authorId="0">
      <text>
        <r>
          <rPr>
            <b/>
            <sz val="9"/>
            <color indexed="81"/>
            <rFont val="Tahoma"/>
            <family val="2"/>
          </rPr>
          <t>Eduardo E.C.S. Cordovin Santesteban:</t>
        </r>
        <r>
          <rPr>
            <sz val="9"/>
            <color indexed="81"/>
            <rFont val="Tahoma"/>
            <family val="2"/>
          </rPr>
          <t xml:space="preserve">
como el AAX7041 xo con prensaestopas para instalar en los Play</t>
        </r>
      </text>
    </comment>
    <comment ref="D59" authorId="0">
      <text>
        <r>
          <rPr>
            <b/>
            <sz val="9"/>
            <color indexed="81"/>
            <rFont val="Tahoma"/>
            <family val="2"/>
          </rPr>
          <t>Eduardo E.C.S. Cordovin Santesteban:</t>
        </r>
        <r>
          <rPr>
            <sz val="9"/>
            <color indexed="81"/>
            <rFont val="Tahoma"/>
            <family val="2"/>
          </rPr>
          <t xml:space="preserve">
lleva la AAX0054 que es la anterior AAX004 adaptada para Play</t>
        </r>
      </text>
    </comment>
    <comment ref="D64" authorId="0">
      <text>
        <r>
          <rPr>
            <b/>
            <sz val="9"/>
            <color indexed="81"/>
            <rFont val="Tahoma"/>
            <family val="2"/>
          </rPr>
          <t>Eduardo E.C.S. Cordovin Santesteban:</t>
        </r>
        <r>
          <rPr>
            <sz val="9"/>
            <color indexed="81"/>
            <rFont val="Tahoma"/>
            <family val="2"/>
          </rPr>
          <t xml:space="preserve">
No para campo</t>
        </r>
      </text>
    </comment>
    <comment ref="P64" authorId="0">
      <text>
        <r>
          <rPr>
            <b/>
            <sz val="9"/>
            <color indexed="81"/>
            <rFont val="Tahoma"/>
            <family val="2"/>
          </rPr>
          <t>Eduardo E.C.S. Cordovin Santesteban:</t>
        </r>
        <r>
          <rPr>
            <sz val="9"/>
            <color indexed="81"/>
            <rFont val="Tahoma"/>
            <family val="2"/>
          </rPr>
          <t xml:space="preserve">
(178,34/0,95+resto/0,8)*1,1</t>
        </r>
      </text>
    </comment>
    <comment ref="P71" authorId="1">
      <text>
        <r>
          <rPr>
            <b/>
            <sz val="8"/>
            <color indexed="81"/>
            <rFont val="Tahoma"/>
            <family val="2"/>
          </rPr>
          <t>ecordovin:</t>
        </r>
        <r>
          <rPr>
            <sz val="8"/>
            <color indexed="81"/>
            <rFont val="Tahoma"/>
            <family val="2"/>
          </rPr>
          <t xml:space="preserve">
ver libro AAV5007 (en carpeta \Repuestos)
Xa 3 y 2 bloques, proporcional</t>
        </r>
      </text>
    </comment>
    <comment ref="D72" authorId="0">
      <text>
        <r>
          <rPr>
            <b/>
            <sz val="9"/>
            <color indexed="81"/>
            <rFont val="Tahoma"/>
            <charset val="1"/>
          </rPr>
          <t>Eduardo E.C.S. Cordovin Santesteban:</t>
        </r>
        <r>
          <rPr>
            <sz val="9"/>
            <color indexed="81"/>
            <rFont val="Tahoma"/>
            <charset val="1"/>
          </rPr>
          <t xml:space="preserve">
hay que pedir los específicos en función del nº de bloques (AAV5026-28)</t>
        </r>
      </text>
    </comment>
    <comment ref="B76" authorId="0">
      <text>
        <r>
          <rPr>
            <b/>
            <sz val="9"/>
            <color indexed="81"/>
            <rFont val="Tahoma"/>
            <family val="2"/>
          </rPr>
          <t>Eduardo E.C.S. Cordovin Santesteban:</t>
        </r>
        <r>
          <rPr>
            <sz val="9"/>
            <color indexed="81"/>
            <rFont val="Tahoma"/>
            <family val="2"/>
          </rPr>
          <t xml:space="preserve">
para los primeros modulares. A partir de uno (consultar Paneles), hay que instalar el AAV0292</t>
        </r>
      </text>
    </comment>
    <comment ref="D77" authorId="0">
      <text>
        <r>
          <rPr>
            <b/>
            <sz val="9"/>
            <color indexed="81"/>
            <rFont val="Tahoma"/>
            <family val="2"/>
          </rPr>
          <t>Eduardo E.C.S. Cordovin Santesteban:</t>
        </r>
        <r>
          <rPr>
            <sz val="9"/>
            <color indexed="81"/>
            <rFont val="Tahoma"/>
            <family val="2"/>
          </rPr>
          <t xml:space="preserve">
Se trata de un kit con EMS Manager compatible para todos los 3Play y 1Play</t>
        </r>
      </text>
    </comment>
    <comment ref="D78" authorId="0">
      <text>
        <r>
          <rPr>
            <b/>
            <sz val="9"/>
            <color indexed="81"/>
            <rFont val="Tahoma"/>
            <family val="2"/>
          </rPr>
          <t>Eduardo E.C.S. Cordovin Santesteban:</t>
        </r>
        <r>
          <rPr>
            <sz val="9"/>
            <color indexed="81"/>
            <rFont val="Tahoma"/>
            <family val="2"/>
          </rPr>
          <t xml:space="preserve">
Se trata de un kit con EMS Manager para grandes plantas donde la corriente es superior a la soportada por el vatímetro (65A por fase). Compatible con 1Play y 3Play</t>
        </r>
      </text>
    </comment>
    <comment ref="D79" authorId="0">
      <text>
        <r>
          <rPr>
            <b/>
            <sz val="9"/>
            <color indexed="81"/>
            <rFont val="Tahoma"/>
            <family val="2"/>
          </rPr>
          <t>Eduardo E.C.S. Cordovin Santesteban:</t>
        </r>
        <r>
          <rPr>
            <sz val="9"/>
            <color indexed="81"/>
            <rFont val="Tahoma"/>
            <family val="2"/>
          </rPr>
          <t xml:space="preserve">
Autoconsumo directo (Para un único inversor y sin EMS Manager)
Se trata de un kit compatible para todos los 3Play y 1Play</t>
        </r>
      </text>
    </comment>
    <comment ref="D80" authorId="0">
      <text>
        <r>
          <rPr>
            <b/>
            <sz val="9"/>
            <color indexed="81"/>
            <rFont val="Tahoma"/>
            <family val="2"/>
          </rPr>
          <t>Eduardo E.C.S. Cordovin Santesteban:</t>
        </r>
        <r>
          <rPr>
            <sz val="9"/>
            <color indexed="81"/>
            <rFont val="Tahoma"/>
            <family val="2"/>
          </rPr>
          <t xml:space="preserve">
Autoconsumo directo (Para un único inversor y sin EMS Manager)
Para grandes plantas donde la corriente es superior a la soportada por el vatímetro (65A por fase). Solo para 3Play
</t>
        </r>
      </text>
    </comment>
    <comment ref="D83" authorId="0">
      <text>
        <r>
          <rPr>
            <b/>
            <sz val="9"/>
            <color indexed="81"/>
            <rFont val="Tahoma"/>
            <family val="2"/>
          </rPr>
          <t>Eduardo E.C.S. Cordovin Santesteban:</t>
        </r>
        <r>
          <rPr>
            <sz val="9"/>
            <color indexed="81"/>
            <rFont val="Tahoma"/>
            <family val="2"/>
          </rPr>
          <t xml:space="preserve">
1udxbloque en multiMPPT</t>
        </r>
      </text>
    </comment>
    <comment ref="L83" authorId="0">
      <text>
        <r>
          <rPr>
            <b/>
            <sz val="9"/>
            <color indexed="81"/>
            <rFont val="Tahoma"/>
            <family val="2"/>
          </rPr>
          <t>Eduardo E.C.S. Cordovin Santesteban:</t>
        </r>
        <r>
          <rPr>
            <sz val="9"/>
            <color indexed="81"/>
            <rFont val="Tahoma"/>
            <family val="2"/>
          </rPr>
          <t xml:space="preserve">
Contactor (106.119.150) 444,44€</t>
        </r>
      </text>
    </comment>
    <comment ref="P83" authorId="0">
      <text>
        <r>
          <rPr>
            <b/>
            <sz val="9"/>
            <color indexed="81"/>
            <rFont val="Tahoma"/>
            <family val="2"/>
          </rPr>
          <t>Eduardo E.C.S. Cordovin Santesteban:</t>
        </r>
        <r>
          <rPr>
            <sz val="9"/>
            <color indexed="81"/>
            <rFont val="Tahoma"/>
            <family val="2"/>
          </rPr>
          <t xml:space="preserve">
444,44/0,95+resto/0,8
Para Italia retrofits /0,95</t>
        </r>
      </text>
    </comment>
    <comment ref="D85" authorId="0">
      <text>
        <r>
          <rPr>
            <b/>
            <sz val="9"/>
            <color indexed="81"/>
            <rFont val="Tahoma"/>
            <family val="2"/>
          </rPr>
          <t>Eduardo E.C.S. Cordovin Santesteban:</t>
        </r>
        <r>
          <rPr>
            <sz val="9"/>
            <color indexed="81"/>
            <rFont val="Tahoma"/>
            <family val="2"/>
          </rPr>
          <t xml:space="preserve">
AAV0067 trafo V
AAV0066 trafo I (diferente según num bloques)</t>
        </r>
      </text>
    </comment>
    <comment ref="P87" authorId="0">
      <text>
        <r>
          <rPr>
            <b/>
            <sz val="9"/>
            <color indexed="81"/>
            <rFont val="Tahoma"/>
            <family val="2"/>
          </rPr>
          <t>Eduardo E.C.S. Cordovin Santesteban:</t>
        </r>
        <r>
          <rPr>
            <sz val="9"/>
            <color indexed="81"/>
            <rFont val="Tahoma"/>
            <family val="2"/>
          </rPr>
          <t xml:space="preserve">
=432,06 (coste del vigilante 106.126.111)/0,95+53,82(el resto del coste, cableado y mano de obra)/0,8</t>
        </r>
      </text>
    </comment>
    <comment ref="O88" authorId="0">
      <text>
        <r>
          <rPr>
            <b/>
            <sz val="9"/>
            <color indexed="81"/>
            <rFont val="Tahoma"/>
            <family val="2"/>
          </rPr>
          <t>Eduardo E.C.S. Cordovin Santesteban:</t>
        </r>
        <r>
          <rPr>
            <sz val="9"/>
            <color indexed="81"/>
            <rFont val="Tahoma"/>
            <family val="2"/>
          </rPr>
          <t xml:space="preserve">
pongo el precio que tenía el AAS0026</t>
        </r>
      </text>
    </comment>
    <comment ref="P88" authorId="0">
      <text>
        <r>
          <rPr>
            <b/>
            <sz val="9"/>
            <color indexed="81"/>
            <rFont val="Tahoma"/>
            <family val="2"/>
          </rPr>
          <t>Eduardo E.C.S. Cordovin Santesteban:</t>
        </r>
        <r>
          <rPr>
            <sz val="9"/>
            <color indexed="81"/>
            <rFont val="Tahoma"/>
            <family val="2"/>
          </rPr>
          <t xml:space="preserve">
el q s cobraba a Service x el AAS0026</t>
        </r>
      </text>
    </comment>
    <comment ref="O89" authorId="0">
      <text>
        <r>
          <rPr>
            <b/>
            <sz val="9"/>
            <color indexed="81"/>
            <rFont val="Tahoma"/>
            <family val="2"/>
          </rPr>
          <t>Eduardo E.C.S. Cordovin Santesteban:</t>
        </r>
        <r>
          <rPr>
            <sz val="9"/>
            <color indexed="81"/>
            <rFont val="Tahoma"/>
            <family val="2"/>
          </rPr>
          <t xml:space="preserve">
=98,52 (coste de la AAV0291)/0,4+62,62(coste fuentes)/0,8+16,86(cableado y mano de obra)/0,6</t>
        </r>
      </text>
    </comment>
    <comment ref="P89" authorId="0">
      <text>
        <r>
          <rPr>
            <b/>
            <sz val="9"/>
            <color indexed="81"/>
            <rFont val="Tahoma"/>
            <family val="2"/>
          </rPr>
          <t>Eduardo E.C.S. Cordovin Santesteban:</t>
        </r>
        <r>
          <rPr>
            <sz val="9"/>
            <color indexed="81"/>
            <rFont val="Tahoma"/>
            <family val="2"/>
          </rPr>
          <t xml:space="preserve">
=98,52 (coste de la AAV0291)/0,6+62,62(coste fuentes)/0,95+16,86(cableado y mano de obra)/0,8</t>
        </r>
      </text>
    </comment>
    <comment ref="F90" authorId="2">
      <text>
        <r>
          <rPr>
            <b/>
            <sz val="8"/>
            <color indexed="81"/>
            <rFont val="Tahoma"/>
            <family val="2"/>
          </rPr>
          <t>Autor:</t>
        </r>
        <r>
          <rPr>
            <sz val="8"/>
            <color indexed="81"/>
            <rFont val="Tahoma"/>
            <family val="2"/>
          </rPr>
          <t xml:space="preserve">
SAP Sept 2010</t>
        </r>
      </text>
    </comment>
    <comment ref="C102" authorId="1">
      <text>
        <r>
          <rPr>
            <b/>
            <sz val="8"/>
            <color indexed="81"/>
            <rFont val="Tahoma"/>
            <family val="2"/>
          </rPr>
          <t>ecordovin:</t>
        </r>
        <r>
          <rPr>
            <sz val="8"/>
            <color indexed="81"/>
            <rFont val="Tahoma"/>
            <family val="2"/>
          </rPr>
          <t xml:space="preserve">
kit seccionador AC</t>
        </r>
      </text>
    </comment>
    <comment ref="I104" authorId="1">
      <text>
        <r>
          <rPr>
            <b/>
            <sz val="8"/>
            <color indexed="81"/>
            <rFont val="Tahoma"/>
            <family val="2"/>
          </rPr>
          <t>ecordovin:</t>
        </r>
        <r>
          <rPr>
            <sz val="8"/>
            <color indexed="81"/>
            <rFont val="Tahoma"/>
            <family val="2"/>
          </rPr>
          <t xml:space="preserve">
kit instalación</t>
        </r>
      </text>
    </comment>
    <comment ref="B111" authorId="1">
      <text>
        <r>
          <rPr>
            <b/>
            <sz val="8"/>
            <color indexed="81"/>
            <rFont val="Tahoma"/>
            <family val="2"/>
          </rPr>
          <t>ecordovin:</t>
        </r>
        <r>
          <rPr>
            <sz val="8"/>
            <color indexed="81"/>
            <rFont val="Tahoma"/>
            <family val="2"/>
          </rPr>
          <t xml:space="preserve">
sustituye al AAV0015 que era para 3 bloques. Éste vale para todos.</t>
        </r>
      </text>
    </comment>
    <comment ref="F121" authorId="1">
      <text>
        <r>
          <rPr>
            <b/>
            <sz val="8"/>
            <color indexed="81"/>
            <rFont val="Tahoma"/>
            <family val="2"/>
          </rPr>
          <t>ecordovin:</t>
        </r>
        <r>
          <rPr>
            <sz val="8"/>
            <color indexed="81"/>
            <rFont val="Tahoma"/>
            <family val="2"/>
          </rPr>
          <t xml:space="preserve">
sap 2012</t>
        </r>
      </text>
    </comment>
    <comment ref="D159" authorId="1">
      <text>
        <r>
          <rPr>
            <b/>
            <sz val="8"/>
            <color indexed="81"/>
            <rFont val="Tahoma"/>
            <family val="2"/>
          </rPr>
          <t>ecordovin:</t>
        </r>
        <r>
          <rPr>
            <sz val="8"/>
            <color indexed="81"/>
            <rFont val="Tahoma"/>
            <family val="2"/>
          </rPr>
          <t xml:space="preserve">
ver desglose a la derecha</t>
        </r>
      </text>
    </comment>
    <comment ref="G159" authorId="0">
      <text>
        <r>
          <rPr>
            <b/>
            <sz val="9"/>
            <color indexed="81"/>
            <rFont val="Tahoma"/>
            <family val="2"/>
          </rPr>
          <t>Eduardo E.C.S. Cordovin Santesteban:</t>
        </r>
        <r>
          <rPr>
            <sz val="9"/>
            <color indexed="81"/>
            <rFont val="Tahoma"/>
            <family val="2"/>
          </rPr>
          <t xml:space="preserve">
en los modulares la bobina es la AQG0142</t>
        </r>
      </text>
    </comment>
    <comment ref="F161" authorId="0">
      <text>
        <r>
          <rPr>
            <b/>
            <sz val="9"/>
            <color indexed="81"/>
            <rFont val="Tahoma"/>
            <family val="2"/>
          </rPr>
          <t>Eduardo E.C.S. Cordovin Santesteban:</t>
        </r>
        <r>
          <rPr>
            <sz val="9"/>
            <color indexed="81"/>
            <rFont val="Tahoma"/>
            <family val="2"/>
          </rPr>
          <t xml:space="preserve">
coste AAS0196-197 / 0,6 + coste resto / 0,8</t>
        </r>
      </text>
    </comment>
    <comment ref="B164" authorId="1">
      <text>
        <r>
          <rPr>
            <b/>
            <sz val="8"/>
            <color indexed="81"/>
            <rFont val="Tahoma"/>
            <family val="2"/>
          </rPr>
          <t>ecordovin:</t>
        </r>
        <r>
          <rPr>
            <sz val="8"/>
            <color indexed="81"/>
            <rFont val="Tahoma"/>
            <family val="2"/>
          </rPr>
          <t xml:space="preserve">
peligro si se pone en equipos No MS</t>
        </r>
      </text>
    </comment>
    <comment ref="D166" authorId="1">
      <text>
        <r>
          <rPr>
            <b/>
            <sz val="8"/>
            <color indexed="81"/>
            <rFont val="Tahoma"/>
            <family val="2"/>
          </rPr>
          <t>ecordovin:</t>
        </r>
        <r>
          <rPr>
            <sz val="8"/>
            <color indexed="81"/>
            <rFont val="Tahoma"/>
            <family val="2"/>
          </rPr>
          <t xml:space="preserve">
al loro con este kit: en la v_ la bobina se instala delante y en la v_A, detrás.</t>
        </r>
      </text>
    </comment>
    <comment ref="G166" authorId="0">
      <text>
        <r>
          <rPr>
            <b/>
            <sz val="9"/>
            <color indexed="81"/>
            <rFont val="Tahoma"/>
            <family val="2"/>
          </rPr>
          <t>Eduardo E.C.S. Cordovin Santesteban:</t>
        </r>
        <r>
          <rPr>
            <sz val="9"/>
            <color indexed="81"/>
            <rFont val="Tahoma"/>
            <family val="2"/>
          </rPr>
          <t xml:space="preserve">
en los modulares la bobina es la AQG0142</t>
        </r>
      </text>
    </comment>
    <comment ref="E175" authorId="0">
      <text>
        <r>
          <rPr>
            <b/>
            <sz val="9"/>
            <color indexed="81"/>
            <rFont val="Tahoma"/>
            <family val="2"/>
          </rPr>
          <t>Eduardo E.C.S. Cordovin Santesteban:</t>
        </r>
        <r>
          <rPr>
            <sz val="9"/>
            <color indexed="81"/>
            <rFont val="Tahoma"/>
            <family val="2"/>
          </rPr>
          <t xml:space="preserve">
2014</t>
        </r>
      </text>
    </comment>
    <comment ref="F175" authorId="0">
      <text>
        <r>
          <rPr>
            <b/>
            <sz val="9"/>
            <color indexed="81"/>
            <rFont val="Tahoma"/>
            <family val="2"/>
          </rPr>
          <t>Eduardo E.C.S. Cordovin Santesteban:</t>
        </r>
        <r>
          <rPr>
            <sz val="9"/>
            <color indexed="81"/>
            <rFont val="Tahoma"/>
            <family val="2"/>
          </rPr>
          <t xml:space="preserve">
(portafusibles y maneta)/0,95 y resto/0,8</t>
        </r>
      </text>
    </comment>
    <comment ref="I175" authorId="0">
      <text>
        <r>
          <rPr>
            <b/>
            <sz val="9"/>
            <color indexed="81"/>
            <rFont val="Tahoma"/>
            <family val="2"/>
          </rPr>
          <t>Eduardo E.C.S. Cordovin Santesteban:</t>
        </r>
        <r>
          <rPr>
            <sz val="9"/>
            <color indexed="81"/>
            <rFont val="Tahoma"/>
            <family val="2"/>
          </rPr>
          <t xml:space="preserve">
(portafusibles y maneta)/0,8 y resto/0,6</t>
        </r>
      </text>
    </comment>
    <comment ref="E176" authorId="0">
      <text>
        <r>
          <rPr>
            <b/>
            <sz val="9"/>
            <color indexed="81"/>
            <rFont val="Tahoma"/>
            <family val="2"/>
          </rPr>
          <t>Eduardo E.C.S. Cordovin Santesteban:</t>
        </r>
        <r>
          <rPr>
            <sz val="9"/>
            <color indexed="81"/>
            <rFont val="Tahoma"/>
            <family val="2"/>
          </rPr>
          <t xml:space="preserve">
2014</t>
        </r>
      </text>
    </comment>
    <comment ref="F176" authorId="0">
      <text>
        <r>
          <rPr>
            <b/>
            <sz val="9"/>
            <color indexed="81"/>
            <rFont val="Tahoma"/>
            <family val="2"/>
          </rPr>
          <t>Eduardo E.C.S. Cordovin Santesteban:</t>
        </r>
        <r>
          <rPr>
            <sz val="9"/>
            <color indexed="81"/>
            <rFont val="Tahoma"/>
            <family val="2"/>
          </rPr>
          <t xml:space="preserve">
AAP0022/0,6 y resto/0,8</t>
        </r>
      </text>
    </comment>
    <comment ref="I176" authorId="0">
      <text>
        <r>
          <rPr>
            <b/>
            <sz val="9"/>
            <color indexed="81"/>
            <rFont val="Tahoma"/>
            <family val="2"/>
          </rPr>
          <t>Eduardo E.C.S. Cordovin Santesteban:</t>
        </r>
        <r>
          <rPr>
            <sz val="9"/>
            <color indexed="81"/>
            <rFont val="Tahoma"/>
            <family val="2"/>
          </rPr>
          <t xml:space="preserve">
AAP0022/0,4 y resto/0,6</t>
        </r>
      </text>
    </comment>
  </commentList>
</comments>
</file>

<file path=xl/comments27.xml><?xml version="1.0" encoding="utf-8"?>
<comments xmlns="http://schemas.openxmlformats.org/spreadsheetml/2006/main">
  <authors>
    <author>ecordovin</author>
    <author>Eduardo E.C.S. Cordovin Santesteban</author>
  </authors>
  <commentList>
    <comment ref="D2" authorId="0">
      <text>
        <r>
          <rPr>
            <b/>
            <sz val="8"/>
            <color indexed="81"/>
            <rFont val="Tahoma"/>
            <family val="2"/>
          </rPr>
          <t>ecordovin:</t>
        </r>
        <r>
          <rPr>
            <sz val="8"/>
            <color indexed="81"/>
            <rFont val="Tahoma"/>
            <family val="2"/>
          </rPr>
          <t xml:space="preserve">
en verde, coste 2013</t>
        </r>
      </text>
    </comment>
    <comment ref="B3" authorId="0">
      <text>
        <r>
          <rPr>
            <b/>
            <sz val="8"/>
            <color indexed="81"/>
            <rFont val="Tahoma"/>
            <family val="2"/>
          </rPr>
          <t>ecordovin:</t>
        </r>
        <r>
          <rPr>
            <sz val="8"/>
            <color indexed="81"/>
            <rFont val="Tahoma"/>
            <family val="2"/>
          </rPr>
          <t xml:space="preserve">
para Lite 5kW, de transf. a equipo. Manguera+conector Harting</t>
        </r>
      </text>
    </comment>
    <comment ref="E53" authorId="1">
      <text>
        <r>
          <rPr>
            <b/>
            <sz val="9"/>
            <color indexed="81"/>
            <rFont val="Tahoma"/>
            <family val="2"/>
          </rPr>
          <t>Eduardo E.C.S. Cordovin Santesteban:</t>
        </r>
        <r>
          <rPr>
            <sz val="9"/>
            <color indexed="81"/>
            <rFont val="Tahoma"/>
            <family val="2"/>
          </rPr>
          <t xml:space="preserve">
18,76€ jun/14</t>
        </r>
      </text>
    </comment>
    <comment ref="A59" authorId="1">
      <text>
        <r>
          <rPr>
            <b/>
            <sz val="9"/>
            <color indexed="81"/>
            <rFont val="Tahoma"/>
            <family val="2"/>
          </rPr>
          <t>Eduardo E.C.S. Cordovin Santesteban:</t>
        </r>
        <r>
          <rPr>
            <sz val="9"/>
            <color indexed="81"/>
            <rFont val="Tahoma"/>
            <family val="2"/>
          </rPr>
          <t xml:space="preserve">
como el AQL0014, pero 2m</t>
        </r>
      </text>
    </comment>
    <comment ref="B59" authorId="0">
      <text>
        <r>
          <rPr>
            <b/>
            <sz val="8"/>
            <color indexed="81"/>
            <rFont val="Tahoma"/>
            <family val="2"/>
          </rPr>
          <t>ecordovin:</t>
        </r>
        <r>
          <rPr>
            <sz val="8"/>
            <color indexed="81"/>
            <rFont val="Tahoma"/>
            <family val="2"/>
          </rPr>
          <t xml:space="preserve">
Apantallado.
Anteriormente AQL0019 y AQL0020</t>
        </r>
      </text>
    </comment>
    <comment ref="B62" authorId="0">
      <text>
        <r>
          <rPr>
            <b/>
            <sz val="8"/>
            <color indexed="81"/>
            <rFont val="Tahoma"/>
            <family val="2"/>
          </rPr>
          <t>ecordovin:</t>
        </r>
        <r>
          <rPr>
            <sz val="8"/>
            <color indexed="81"/>
            <rFont val="Tahoma"/>
            <family val="2"/>
          </rPr>
          <t xml:space="preserve">
en IS 5 azul con seguidor doble eje</t>
        </r>
      </text>
    </comment>
    <comment ref="D66" authorId="1">
      <text>
        <r>
          <rPr>
            <b/>
            <sz val="9"/>
            <color indexed="81"/>
            <rFont val="Tahoma"/>
            <family val="2"/>
          </rPr>
          <t>Eduardo E.C.S. Cordovin Santesteban:</t>
        </r>
        <r>
          <rPr>
            <sz val="9"/>
            <color indexed="81"/>
            <rFont val="Tahoma"/>
            <family val="2"/>
          </rPr>
          <t xml:space="preserve">
comprando 10 uds en abr-15</t>
        </r>
      </text>
    </comment>
    <comment ref="B70" authorId="1">
      <text>
        <r>
          <rPr>
            <b/>
            <sz val="9"/>
            <color indexed="81"/>
            <rFont val="Tahoma"/>
            <family val="2"/>
          </rPr>
          <t>Eduardo E.C.S. Cordovin Santesteban:</t>
        </r>
        <r>
          <rPr>
            <sz val="9"/>
            <color indexed="81"/>
            <rFont val="Tahoma"/>
            <family val="2"/>
          </rPr>
          <t xml:space="preserve">
MANGUERA 34 VIAS 1200mm </t>
        </r>
      </text>
    </comment>
    <comment ref="B73" authorId="0">
      <text>
        <r>
          <rPr>
            <b/>
            <sz val="8"/>
            <color indexed="81"/>
            <rFont val="Tahoma"/>
            <family val="2"/>
          </rPr>
          <t>ecordovin:</t>
        </r>
        <r>
          <rPr>
            <sz val="8"/>
            <color indexed="81"/>
            <rFont val="Tahoma"/>
            <family val="2"/>
          </rPr>
          <t xml:space="preserve">
es la AQE0157IGB12 + pegatinas + varillaje y maneta.
El subcjto. De varillaje no lo compramos suelto.</t>
        </r>
      </text>
    </comment>
    <comment ref="A79" authorId="1">
      <text>
        <r>
          <rPr>
            <b/>
            <sz val="9"/>
            <color indexed="81"/>
            <rFont val="Tahoma"/>
            <family val="2"/>
          </rPr>
          <t>Eduardo E.C.S. Cordovin Santesteban:</t>
        </r>
        <r>
          <rPr>
            <sz val="9"/>
            <color indexed="81"/>
            <rFont val="Tahoma"/>
            <family val="2"/>
          </rPr>
          <t xml:space="preserve">
incluyen 'esponja'</t>
        </r>
      </text>
    </comment>
    <comment ref="A81" authorId="1">
      <text>
        <r>
          <rPr>
            <b/>
            <sz val="9"/>
            <color indexed="81"/>
            <rFont val="Tahoma"/>
            <family val="2"/>
          </rPr>
          <t>Eduardo E.C.S. Cordovin Santesteban:</t>
        </r>
        <r>
          <rPr>
            <sz val="9"/>
            <color indexed="81"/>
            <rFont val="Tahoma"/>
            <family val="2"/>
          </rPr>
          <t xml:space="preserve">
incluyen 'esponja'</t>
        </r>
      </text>
    </comment>
    <comment ref="C91" authorId="0">
      <text>
        <r>
          <rPr>
            <b/>
            <sz val="8"/>
            <color indexed="81"/>
            <rFont val="Tahoma"/>
            <family val="2"/>
          </rPr>
          <t>ecordovin:</t>
        </r>
        <r>
          <rPr>
            <sz val="8"/>
            <color indexed="81"/>
            <rFont val="Tahoma"/>
            <family val="2"/>
          </rPr>
          <t xml:space="preserve">
Paneles pasa éste 106110805</t>
        </r>
      </text>
    </comment>
    <comment ref="C96" authorId="1">
      <text>
        <r>
          <rPr>
            <b/>
            <sz val="9"/>
            <color indexed="81"/>
            <rFont val="Tahoma"/>
            <family val="2"/>
          </rPr>
          <t>Eduardo E.C.S. Cordovin Santesteban:</t>
        </r>
        <r>
          <rPr>
            <sz val="9"/>
            <color indexed="81"/>
            <rFont val="Tahoma"/>
            <family val="2"/>
          </rPr>
          <t xml:space="preserve">
el 106118222 es la 106105648 con la lámina antifogging</t>
        </r>
      </text>
    </comment>
    <comment ref="G96" authorId="0">
      <text>
        <r>
          <rPr>
            <b/>
            <sz val="8"/>
            <color indexed="81"/>
            <rFont val="Tahoma"/>
            <family val="2"/>
          </rPr>
          <t>ecordovin:</t>
        </r>
        <r>
          <rPr>
            <sz val="8"/>
            <color indexed="81"/>
            <rFont val="Tahoma"/>
            <family val="2"/>
          </rPr>
          <t xml:space="preserve">
2 siliconas especiales:
106.120.013   SILICONA SILIBAT TRASLUCIDA KRAFFT54803
106.120.103  SILICONA NEUTRA CS-34 RAL 7011 GRIS
Para trifásicos no hace falta IT ya que no lleva silicona y es muy simple, desatornillar tapa, pegar carátula y conectar.</t>
        </r>
      </text>
    </comment>
    <comment ref="B114" authorId="1">
      <text>
        <r>
          <rPr>
            <b/>
            <sz val="9"/>
            <color indexed="81"/>
            <rFont val="Tahoma"/>
            <family val="2"/>
          </rPr>
          <t>Eduardo E.C.S. Cordovin Santesteban:</t>
        </r>
        <r>
          <rPr>
            <sz val="9"/>
            <color indexed="81"/>
            <rFont val="Tahoma"/>
            <family val="2"/>
          </rPr>
          <t xml:space="preserve">
display-captaciones Smart IP54
La descripción en Sap marca que es de 2m</t>
        </r>
      </text>
    </comment>
    <comment ref="C114" authorId="1">
      <text>
        <r>
          <rPr>
            <b/>
            <sz val="9"/>
            <color indexed="81"/>
            <rFont val="Tahoma"/>
            <family val="2"/>
          </rPr>
          <t>Eduardo E.C.S. Cordovin Santesteban:</t>
        </r>
        <r>
          <rPr>
            <sz val="9"/>
            <color indexed="81"/>
            <rFont val="Tahoma"/>
            <family val="2"/>
          </rPr>
          <t xml:space="preserve">
como el AQL0013 pero de 1m</t>
        </r>
      </text>
    </comment>
    <comment ref="B117" authorId="0">
      <text>
        <r>
          <rPr>
            <b/>
            <sz val="8"/>
            <color indexed="81"/>
            <rFont val="Tahoma"/>
            <family val="2"/>
          </rPr>
          <t>ecordovin:</t>
        </r>
        <r>
          <rPr>
            <sz val="8"/>
            <color indexed="81"/>
            <rFont val="Tahoma"/>
            <family val="2"/>
          </rPr>
          <t xml:space="preserve">
conexión tarj control, generador de referencia y tarj seguidor ISSmart IP20</t>
        </r>
      </text>
    </comment>
    <comment ref="B119" authorId="0">
      <text>
        <r>
          <rPr>
            <b/>
            <sz val="8"/>
            <color indexed="81"/>
            <rFont val="Tahoma"/>
            <family val="2"/>
          </rPr>
          <t>ecordovin:</t>
        </r>
        <r>
          <rPr>
            <sz val="8"/>
            <color indexed="81"/>
            <rFont val="Tahoma"/>
            <family val="2"/>
          </rPr>
          <t xml:space="preserve">
forma parte del kit seguidor simple eje (AAS0008)</t>
        </r>
      </text>
    </comment>
    <comment ref="C119" authorId="0">
      <text>
        <r>
          <rPr>
            <b/>
            <sz val="8"/>
            <color indexed="81"/>
            <rFont val="Tahoma"/>
            <family val="2"/>
          </rPr>
          <t>ecordovin:</t>
        </r>
        <r>
          <rPr>
            <sz val="8"/>
            <color indexed="81"/>
            <rFont val="Tahoma"/>
            <family val="2"/>
          </rPr>
          <t xml:space="preserve">
 el CÓDIGO 106106305 es parecido. Al loro xq su coste es mucho menor</t>
        </r>
      </text>
    </comment>
    <comment ref="D119" authorId="0">
      <text>
        <r>
          <rPr>
            <b/>
            <sz val="8"/>
            <color indexed="81"/>
            <rFont val="Tahoma"/>
            <family val="2"/>
          </rPr>
          <t>ecordovin:</t>
        </r>
        <r>
          <rPr>
            <sz val="8"/>
            <color indexed="81"/>
            <rFont val="Tahoma"/>
            <family val="2"/>
          </rPr>
          <t xml:space="preserve">
JMB va a consultar precio a proveedor xq canta mucho</t>
        </r>
      </text>
    </comment>
    <comment ref="B120" authorId="1">
      <text>
        <r>
          <rPr>
            <b/>
            <sz val="9"/>
            <color indexed="81"/>
            <rFont val="Tahoma"/>
            <family val="2"/>
          </rPr>
          <t>Eduardo E.C.S. Cordovin Santesteban:</t>
        </r>
        <r>
          <rPr>
            <sz val="9"/>
            <color indexed="81"/>
            <rFont val="Tahoma"/>
            <family val="2"/>
          </rPr>
          <t xml:space="preserve">
Cable plano 34 vias,
CENVALSA 9127-3428 4 conectores.
Existe un v_B distinto… Así que cuidado al pedirlo porque si en Paneles no se dan cuenta y no se fijan en la descripción, podrían fabricar el v_B.
Si en un futuro da problemas, habrá que crear un AQN</t>
        </r>
      </text>
    </comment>
    <comment ref="B126" authorId="0">
      <text>
        <r>
          <rPr>
            <b/>
            <sz val="8"/>
            <color indexed="81"/>
            <rFont val="Tahoma"/>
            <family val="2"/>
          </rPr>
          <t>ecordovin:</t>
        </r>
        <r>
          <rPr>
            <sz val="8"/>
            <color indexed="81"/>
            <rFont val="Tahoma"/>
            <family val="2"/>
          </rPr>
          <t xml:space="preserve">
2 por equipo, pero para colocarla hay que levantar o tumbar el equipo, lo cual en campo es muy difícil, así que se puede hacer un apaño para poner el frontal sin sustituir el lateral (si es que éste está roto)</t>
        </r>
      </text>
    </comment>
    <comment ref="B127" authorId="0">
      <text>
        <r>
          <rPr>
            <b/>
            <sz val="8"/>
            <color indexed="81"/>
            <rFont val="Tahoma"/>
            <family val="2"/>
          </rPr>
          <t>ecordovin:</t>
        </r>
        <r>
          <rPr>
            <sz val="8"/>
            <color indexed="81"/>
            <rFont val="Tahoma"/>
            <family val="2"/>
          </rPr>
          <t xml:space="preserve">
2 por equipo (sujetos al lateral)</t>
        </r>
      </text>
    </comment>
    <comment ref="B133" authorId="0">
      <text>
        <r>
          <rPr>
            <b/>
            <sz val="8"/>
            <color indexed="81"/>
            <rFont val="Tahoma"/>
            <family val="2"/>
          </rPr>
          <t>ecordovin:</t>
        </r>
        <r>
          <rPr>
            <sz val="8"/>
            <color indexed="81"/>
            <rFont val="Tahoma"/>
            <family val="2"/>
          </rPr>
          <t xml:space="preserve">
en IDAs de últimas versiones de IS100 e IS25 está, así que entiendo que vale para todos por lo menos en ese rango, fuera preguntar.
Se puede cambiar sin más, aunque a priori no suministramos como repuesto. En principio se cambia y no hay que hacer ajustes (Service lo hace).</t>
        </r>
      </text>
    </comment>
    <comment ref="B134" authorId="0">
      <text>
        <r>
          <rPr>
            <b/>
            <sz val="8"/>
            <color indexed="81"/>
            <rFont val="Tahoma"/>
            <family val="2"/>
          </rPr>
          <t>ecordovin:</t>
        </r>
        <r>
          <rPr>
            <sz val="8"/>
            <color indexed="81"/>
            <rFont val="Tahoma"/>
            <family val="2"/>
          </rPr>
          <t xml:space="preserve">
NTC IS100
No suministramos como repuesto.Hay que hacer ajustes en el variador. No enviamos en garantía.
Fuera de garantía se les puede mandar bajo su responsabilidad.</t>
        </r>
      </text>
    </comment>
    <comment ref="B163" authorId="1">
      <text>
        <r>
          <rPr>
            <b/>
            <sz val="9"/>
            <color indexed="81"/>
            <rFont val="Tahoma"/>
            <family val="2"/>
          </rPr>
          <t>Eduardo E.C.S. Cordovin Santesteban:</t>
        </r>
        <r>
          <rPr>
            <sz val="9"/>
            <color indexed="81"/>
            <rFont val="Tahoma"/>
            <family val="2"/>
          </rPr>
          <t xml:space="preserve">
es igual que el AQE0185, xo el bueno es el ése (106113809)</t>
        </r>
      </text>
    </comment>
    <comment ref="B165" authorId="0">
      <text>
        <r>
          <rPr>
            <b/>
            <sz val="8"/>
            <color indexed="81"/>
            <rFont val="Tahoma"/>
            <family val="2"/>
          </rPr>
          <t>ecordovin:</t>
        </r>
        <r>
          <rPr>
            <sz val="8"/>
            <color indexed="81"/>
            <rFont val="Tahoma"/>
            <family val="2"/>
          </rPr>
          <t xml:space="preserve">
el varillaje y cierre propio (EMKA) está en AQE0180IGB08 (106113759)</t>
        </r>
      </text>
    </comment>
    <comment ref="B169" authorId="1">
      <text>
        <r>
          <rPr>
            <b/>
            <sz val="9"/>
            <color indexed="81"/>
            <rFont val="Tahoma"/>
            <family val="2"/>
          </rPr>
          <t>Eduardo E.C.S. Cordovin Santesteban:</t>
        </r>
        <r>
          <rPr>
            <sz val="9"/>
            <color indexed="81"/>
            <rFont val="Tahoma"/>
            <family val="2"/>
          </rPr>
          <t xml:space="preserve">
106112423, AQE0151IGD02 PUERTA DC 3X125KW IZDA</t>
        </r>
      </text>
    </comment>
    <comment ref="B170" authorId="1">
      <text>
        <r>
          <rPr>
            <b/>
            <sz val="9"/>
            <color indexed="81"/>
            <rFont val="Tahoma"/>
            <family val="2"/>
          </rPr>
          <t>Eduardo E.C.S. Cordovin Santesteban:</t>
        </r>
        <r>
          <rPr>
            <sz val="9"/>
            <color indexed="81"/>
            <rFont val="Tahoma"/>
            <family val="2"/>
          </rPr>
          <t xml:space="preserve">
en un PowerMax modular de 4b DCAC hay 6 rejillas.
Este es igual que el AQE0336IGJ01 (ver abajo). El 185 es el bueno.</t>
        </r>
      </text>
    </comment>
    <comment ref="B171" authorId="1">
      <text>
        <r>
          <rPr>
            <b/>
            <sz val="9"/>
            <color indexed="81"/>
            <rFont val="Tahoma"/>
            <family val="2"/>
          </rPr>
          <t>Eduardo E.C.S. Cordovin Santesteban:</t>
        </r>
        <r>
          <rPr>
            <sz val="9"/>
            <color indexed="81"/>
            <rFont val="Tahoma"/>
            <family val="2"/>
          </rPr>
          <t xml:space="preserve">
igual que el de la propia pero un poco más pequeña. Se pueden mandar siempre los grandes.</t>
        </r>
      </text>
    </comment>
    <comment ref="B172" authorId="1">
      <text>
        <r>
          <rPr>
            <b/>
            <sz val="9"/>
            <color indexed="81"/>
            <rFont val="Tahoma"/>
            <family val="2"/>
          </rPr>
          <t>Eduardo E.C.S. Cordovin Santesteban:</t>
        </r>
        <r>
          <rPr>
            <sz val="9"/>
            <color indexed="81"/>
            <rFont val="Tahoma"/>
            <family val="2"/>
          </rPr>
          <t xml:space="preserve">
en cada rejilla, un cuadrado de 450x420mm</t>
        </r>
      </text>
    </comment>
  </commentList>
</comments>
</file>

<file path=xl/comments28.xml><?xml version="1.0" encoding="utf-8"?>
<comments xmlns="http://schemas.openxmlformats.org/spreadsheetml/2006/main">
  <authors>
    <author>Eduardo E.C.S. Cordovin Santesteban</author>
  </authors>
  <commentList>
    <comment ref="B24" authorId="0">
      <text>
        <r>
          <rPr>
            <b/>
            <sz val="9"/>
            <color indexed="81"/>
            <rFont val="Tahoma"/>
            <family val="2"/>
          </rPr>
          <t>Eduardo E.C.S. Cordovin Santesteban:</t>
        </r>
        <r>
          <rPr>
            <sz val="9"/>
            <color indexed="81"/>
            <rFont val="Tahoma"/>
            <family val="2"/>
          </rPr>
          <t xml:space="preserve">
sustituir por AAS5033 (kit con el AAS0277)</t>
        </r>
      </text>
    </comment>
  </commentList>
</comments>
</file>

<file path=xl/comments29.xml><?xml version="1.0" encoding="utf-8"?>
<comments xmlns="http://schemas.openxmlformats.org/spreadsheetml/2006/main">
  <authors>
    <author>ecordovin</author>
  </authors>
  <commentList>
    <comment ref="C27" authorId="0">
      <text>
        <r>
          <rPr>
            <b/>
            <sz val="8"/>
            <color indexed="81"/>
            <rFont val="Tahoma"/>
            <family val="2"/>
          </rPr>
          <t>ecordovin:</t>
        </r>
        <r>
          <rPr>
            <sz val="8"/>
            <color indexed="81"/>
            <rFont val="Tahoma"/>
            <family val="2"/>
          </rPr>
          <t xml:space="preserve">
sustituido por 106112043 que a su vez va con el condensador 106117762</t>
        </r>
      </text>
    </comment>
    <comment ref="C28" authorId="0">
      <text>
        <r>
          <rPr>
            <b/>
            <sz val="8"/>
            <color indexed="81"/>
            <rFont val="Tahoma"/>
            <family val="2"/>
          </rPr>
          <t>ecordovin:</t>
        </r>
        <r>
          <rPr>
            <sz val="8"/>
            <color indexed="81"/>
            <rFont val="Tahoma"/>
            <family val="2"/>
          </rPr>
          <t xml:space="preserve">
sustituido por FAN 106112525</t>
        </r>
      </text>
    </comment>
  </commentList>
</comments>
</file>

<file path=xl/comments3.xml><?xml version="1.0" encoding="utf-8"?>
<comments xmlns="http://schemas.openxmlformats.org/spreadsheetml/2006/main">
  <authors>
    <author>Jesus Maria Asiain (Ingeteam)</author>
    <author>ecordovin</author>
  </authors>
  <commentList>
    <comment ref="E3" authorId="0">
      <text>
        <r>
          <rPr>
            <b/>
            <sz val="8"/>
            <color indexed="81"/>
            <rFont val="Tahoma"/>
            <family val="2"/>
          </rPr>
          <t>Jesus Maria Asiain (Ingeteam):</t>
        </r>
        <r>
          <rPr>
            <sz val="8"/>
            <color indexed="81"/>
            <rFont val="Tahoma"/>
            <family val="2"/>
          </rPr>
          <t xml:space="preserve">
ELEGIR EQUIPO desde AQUÍ
</t>
        </r>
      </text>
    </comment>
    <comment ref="D4" authorId="1">
      <text>
        <r>
          <rPr>
            <b/>
            <sz val="8"/>
            <color indexed="81"/>
            <rFont val="Tahoma"/>
            <family val="2"/>
          </rPr>
          <t>ecordovin:</t>
        </r>
        <r>
          <rPr>
            <sz val="8"/>
            <color indexed="81"/>
            <rFont val="Tahoma"/>
            <family val="2"/>
          </rPr>
          <t xml:space="preserve">
consultado en SAP julio/2010</t>
        </r>
      </text>
    </comment>
    <comment ref="D32" authorId="1">
      <text>
        <r>
          <rPr>
            <b/>
            <sz val="8"/>
            <color indexed="81"/>
            <rFont val="Tahoma"/>
            <family val="2"/>
          </rPr>
          <t>ecordovin:</t>
        </r>
        <r>
          <rPr>
            <sz val="8"/>
            <color indexed="81"/>
            <rFont val="Tahoma"/>
            <family val="2"/>
          </rPr>
          <t xml:space="preserve">
consultado en SAP julio/2010</t>
        </r>
      </text>
    </comment>
  </commentList>
</comments>
</file>

<file path=xl/comments30.xml><?xml version="1.0" encoding="utf-8"?>
<comments xmlns="http://schemas.openxmlformats.org/spreadsheetml/2006/main">
  <authors>
    <author>ecordovin</author>
  </authors>
  <commentList>
    <comment ref="E11" authorId="0">
      <text>
        <r>
          <rPr>
            <b/>
            <sz val="8"/>
            <color indexed="81"/>
            <rFont val="Tahoma"/>
            <family val="2"/>
          </rPr>
          <t>ecordovin:</t>
        </r>
        <r>
          <rPr>
            <sz val="8"/>
            <color indexed="81"/>
            <rFont val="Tahoma"/>
            <family val="2"/>
          </rPr>
          <t xml:space="preserve">
Fitro RC, componente de AAV0035</t>
        </r>
      </text>
    </comment>
    <comment ref="M33" authorId="0">
      <text>
        <r>
          <rPr>
            <b/>
            <sz val="8"/>
            <color indexed="81"/>
            <rFont val="Tahoma"/>
            <family val="2"/>
          </rPr>
          <t>ecordovin:</t>
        </r>
        <r>
          <rPr>
            <sz val="8"/>
            <color indexed="81"/>
            <rFont val="Tahoma"/>
            <family val="2"/>
          </rPr>
          <t xml:space="preserve">
coste medio para Energy</t>
        </r>
      </text>
    </comment>
    <comment ref="N33" authorId="0">
      <text>
        <r>
          <rPr>
            <b/>
            <sz val="8"/>
            <color indexed="81"/>
            <rFont val="Tahoma"/>
            <family val="2"/>
          </rPr>
          <t>ecordovin:</t>
        </r>
        <r>
          <rPr>
            <sz val="8"/>
            <color indexed="81"/>
            <rFont val="Tahoma"/>
            <family val="2"/>
          </rPr>
          <t xml:space="preserve">
coste medio para filiales</t>
        </r>
      </text>
    </comment>
    <comment ref="N35" authorId="0">
      <text>
        <r>
          <rPr>
            <b/>
            <sz val="8"/>
            <color indexed="81"/>
            <rFont val="Tahoma"/>
            <family val="2"/>
          </rPr>
          <t>ecordovin:</t>
        </r>
        <r>
          <rPr>
            <sz val="8"/>
            <color indexed="81"/>
            <rFont val="Tahoma"/>
            <family val="2"/>
          </rPr>
          <t xml:space="preserve">
coste medio (sin IVA y a día de hoy) a cliente, incluyendo transporte, pero no montaje ni desmontaje</t>
        </r>
      </text>
    </comment>
  </commentList>
</comments>
</file>

<file path=xl/comments31.xml><?xml version="1.0" encoding="utf-8"?>
<comments xmlns="http://schemas.openxmlformats.org/spreadsheetml/2006/main">
  <authors>
    <author>ecordovin</author>
  </authors>
  <commentList>
    <comment ref="G2" authorId="0">
      <text>
        <r>
          <rPr>
            <b/>
            <sz val="8"/>
            <color indexed="81"/>
            <rFont val="Tahoma"/>
            <family val="2"/>
          </rPr>
          <t>ecordovin:</t>
        </r>
        <r>
          <rPr>
            <sz val="8"/>
            <color indexed="81"/>
            <rFont val="Tahoma"/>
            <family val="2"/>
          </rPr>
          <t xml:space="preserve">
según documento de postventa (Junio 12): TII - I (Tasa de Incidencias Interanual menos Implementados) </t>
        </r>
      </text>
    </comment>
    <comment ref="G10" authorId="0">
      <text>
        <r>
          <rPr>
            <b/>
            <sz val="8"/>
            <color indexed="81"/>
            <rFont val="Tahoma"/>
            <family val="2"/>
          </rPr>
          <t>ecordovin:</t>
        </r>
        <r>
          <rPr>
            <sz val="8"/>
            <color indexed="81"/>
            <rFont val="Tahoma"/>
            <family val="2"/>
          </rPr>
          <t xml:space="preserve">
se supone que ahora vamos a instalar el nuestro (AAV0092), pero hay que poner una tasa y podemos tomar ésta como referencia.</t>
        </r>
      </text>
    </comment>
    <comment ref="C11" authorId="0">
      <text>
        <r>
          <rPr>
            <b/>
            <sz val="8"/>
            <color indexed="81"/>
            <rFont val="Tahoma"/>
            <family val="2"/>
          </rPr>
          <t>ecordovin:</t>
        </r>
        <r>
          <rPr>
            <sz val="8"/>
            <color indexed="81"/>
            <rFont val="Tahoma"/>
            <family val="2"/>
          </rPr>
          <t xml:space="preserve">
Fitro RC, componente de AAS0194</t>
        </r>
      </text>
    </comment>
    <comment ref="C24" authorId="0">
      <text>
        <r>
          <rPr>
            <b/>
            <sz val="8"/>
            <color indexed="81"/>
            <rFont val="Tahoma"/>
            <family val="2"/>
          </rPr>
          <t>ecordovin:</t>
        </r>
        <r>
          <rPr>
            <sz val="8"/>
            <color indexed="81"/>
            <rFont val="Tahoma"/>
            <family val="2"/>
          </rPr>
          <t xml:space="preserve">
sustituido por 106112043 que a su vez va con el condensador 106117762</t>
        </r>
      </text>
    </comment>
    <comment ref="F40" authorId="0">
      <text>
        <r>
          <rPr>
            <b/>
            <sz val="8"/>
            <color indexed="81"/>
            <rFont val="Tahoma"/>
            <family val="2"/>
          </rPr>
          <t>ecordovin:</t>
        </r>
        <r>
          <rPr>
            <sz val="8"/>
            <color indexed="81"/>
            <rFont val="Tahoma"/>
            <family val="2"/>
          </rPr>
          <t xml:space="preserve">
en Octubre lo sacará Postventa para calcular aprovisionamiento de garantía: sube el coste medio (¿al doble?)</t>
        </r>
      </text>
    </comment>
  </commentList>
</comments>
</file>

<file path=xl/comments32.xml><?xml version="1.0" encoding="utf-8"?>
<comments xmlns="http://schemas.openxmlformats.org/spreadsheetml/2006/main">
  <authors>
    <author>Eduardo E.C.S. Cordovin Santesteban</author>
  </authors>
  <commentList>
    <comment ref="C12" authorId="0">
      <text>
        <r>
          <rPr>
            <b/>
            <sz val="9"/>
            <color indexed="81"/>
            <rFont val="Tahoma"/>
            <family val="2"/>
          </rPr>
          <t>Eduardo E.C.S. Cordovin Santesteban:</t>
        </r>
        <r>
          <rPr>
            <sz val="9"/>
            <color indexed="81"/>
            <rFont val="Tahoma"/>
            <family val="2"/>
          </rPr>
          <t xml:space="preserve">
sustituye al 106122313</t>
        </r>
      </text>
    </comment>
    <comment ref="C20" authorId="0">
      <text>
        <r>
          <rPr>
            <b/>
            <sz val="9"/>
            <color indexed="81"/>
            <rFont val="Tahoma"/>
            <family val="2"/>
          </rPr>
          <t>Eduardo E.C.S. Cordovin Santesteban:</t>
        </r>
        <r>
          <rPr>
            <sz val="9"/>
            <color indexed="81"/>
            <rFont val="Tahoma"/>
            <family val="2"/>
          </rPr>
          <t xml:space="preserve">
sustituye al 106112520</t>
        </r>
      </text>
    </comment>
  </commentList>
</comments>
</file>

<file path=xl/comments33.xml><?xml version="1.0" encoding="utf-8"?>
<comments xmlns="http://schemas.openxmlformats.org/spreadsheetml/2006/main">
  <authors>
    <author>Eduardo E.C.S. Cordovin Santesteban</author>
  </authors>
  <commentList>
    <comment ref="D15" authorId="0">
      <text>
        <r>
          <rPr>
            <b/>
            <sz val="9"/>
            <color indexed="81"/>
            <rFont val="Tahoma"/>
            <family val="2"/>
          </rPr>
          <t>Eduardo E.C.S. Cordovin Santesteban:</t>
        </r>
        <r>
          <rPr>
            <sz val="9"/>
            <color indexed="81"/>
            <rFont val="Tahoma"/>
            <family val="2"/>
          </rPr>
          <t xml:space="preserve">
estimado</t>
        </r>
      </text>
    </comment>
  </commentList>
</comments>
</file>

<file path=xl/comments34.xml><?xml version="1.0" encoding="utf-8"?>
<comments xmlns="http://schemas.openxmlformats.org/spreadsheetml/2006/main">
  <authors>
    <author>ecordovin</author>
    <author>Eduardo E.C.S. Cordovin Santesteban</author>
  </authors>
  <commentList>
    <comment ref="J2" authorId="0">
      <text>
        <r>
          <rPr>
            <b/>
            <sz val="8"/>
            <color indexed="81"/>
            <rFont val="Tahoma"/>
            <family val="2"/>
          </rPr>
          <t>ecordovin:</t>
        </r>
        <r>
          <rPr>
            <sz val="8"/>
            <color indexed="81"/>
            <rFont val="Tahoma"/>
            <family val="2"/>
          </rPr>
          <t xml:space="preserve">
en verde, confirmado 2013</t>
        </r>
      </text>
    </comment>
    <comment ref="C3" authorId="0">
      <text>
        <r>
          <rPr>
            <b/>
            <sz val="8"/>
            <color indexed="81"/>
            <rFont val="Tahoma"/>
            <family val="2"/>
          </rPr>
          <t>ecordovin:</t>
        </r>
        <r>
          <rPr>
            <sz val="8"/>
            <color indexed="81"/>
            <rFont val="Tahoma"/>
            <family val="2"/>
          </rPr>
          <t xml:space="preserve">
FAN con 106.103.543 y 106.122.034</t>
        </r>
      </text>
    </comment>
    <comment ref="D9" authorId="1">
      <text>
        <r>
          <rPr>
            <b/>
            <sz val="9"/>
            <color indexed="81"/>
            <rFont val="Tahoma"/>
            <family val="2"/>
          </rPr>
          <t>Eduardo E.C.S. Cordovin Santesteban:</t>
        </r>
        <r>
          <rPr>
            <sz val="9"/>
            <color indexed="81"/>
            <rFont val="Tahoma"/>
            <family val="2"/>
          </rPr>
          <t xml:space="preserve">
los MS no la llevan</t>
        </r>
      </text>
    </comment>
    <comment ref="D10" authorId="1">
      <text>
        <r>
          <rPr>
            <b/>
            <sz val="9"/>
            <color indexed="81"/>
            <rFont val="Tahoma"/>
            <family val="2"/>
          </rPr>
          <t>Eduardo E.C.S. Cordovin Santesteban:</t>
        </r>
        <r>
          <rPr>
            <sz val="9"/>
            <color indexed="81"/>
            <rFont val="Tahoma"/>
            <family val="2"/>
          </rPr>
          <t xml:space="preserve">
los MS no la llevan</t>
        </r>
      </text>
    </comment>
    <comment ref="D11" authorId="1">
      <text>
        <r>
          <rPr>
            <b/>
            <sz val="9"/>
            <color indexed="81"/>
            <rFont val="Tahoma"/>
            <family val="2"/>
          </rPr>
          <t>Eduardo E.C.S. Cordovin Santesteban:</t>
        </r>
        <r>
          <rPr>
            <sz val="9"/>
            <color indexed="81"/>
            <rFont val="Tahoma"/>
            <family val="2"/>
          </rPr>
          <t xml:space="preserve">
al variador</t>
        </r>
      </text>
    </comment>
    <comment ref="D13" authorId="1">
      <text>
        <r>
          <rPr>
            <b/>
            <sz val="9"/>
            <color indexed="81"/>
            <rFont val="Tahoma"/>
            <family val="2"/>
          </rPr>
          <t>Eduardo E.C.S. Cordovin Santesteban:</t>
        </r>
        <r>
          <rPr>
            <sz val="9"/>
            <color indexed="81"/>
            <rFont val="Tahoma"/>
            <family val="2"/>
          </rPr>
          <t xml:space="preserve">
al K1</t>
        </r>
      </text>
    </comment>
    <comment ref="C14" authorId="1">
      <text>
        <r>
          <rPr>
            <b/>
            <sz val="9"/>
            <color indexed="81"/>
            <rFont val="Tahoma"/>
            <family val="2"/>
          </rPr>
          <t>Eduardo E.C.S. Cordovin Santesteban:</t>
        </r>
        <r>
          <rPr>
            <sz val="9"/>
            <color indexed="81"/>
            <rFont val="Tahoma"/>
            <family val="2"/>
          </rPr>
          <t xml:space="preserve">
ligados a AQG0110 y 111</t>
        </r>
      </text>
    </comment>
  </commentList>
</comments>
</file>

<file path=xl/comments35.xml><?xml version="1.0" encoding="utf-8"?>
<comments xmlns="http://schemas.openxmlformats.org/spreadsheetml/2006/main">
  <authors>
    <author>ecordovin</author>
    <author>Eduardo E.C.S. Cordovin Santesteban</author>
  </authors>
  <commentList>
    <comment ref="E16" authorId="0">
      <text>
        <r>
          <rPr>
            <b/>
            <sz val="8"/>
            <color indexed="81"/>
            <rFont val="Tahoma"/>
            <family val="2"/>
          </rPr>
          <t>ecordovin:</t>
        </r>
        <r>
          <rPr>
            <sz val="8"/>
            <color indexed="81"/>
            <rFont val="Tahoma"/>
            <family val="2"/>
          </rPr>
          <t xml:space="preserve">
sustituye al 106105850 que a su vez va con el condensador 106104947</t>
        </r>
      </text>
    </comment>
    <comment ref="E22" authorId="1">
      <text>
        <r>
          <rPr>
            <b/>
            <sz val="9"/>
            <color indexed="81"/>
            <rFont val="Tahoma"/>
            <family val="2"/>
          </rPr>
          <t>Eduardo E.C.S. Cordovin Santesteban:</t>
        </r>
        <r>
          <rPr>
            <sz val="9"/>
            <color indexed="81"/>
            <rFont val="Tahoma"/>
            <family val="2"/>
          </rPr>
          <t xml:space="preserve">
sustituye al 106112520</t>
        </r>
      </text>
    </comment>
  </commentList>
</comments>
</file>

<file path=xl/comments4.xml><?xml version="1.0" encoding="utf-8"?>
<comments xmlns="http://schemas.openxmlformats.org/spreadsheetml/2006/main">
  <authors>
    <author>ecordovin</author>
  </authors>
  <commentList>
    <comment ref="C11" authorId="0">
      <text>
        <r>
          <rPr>
            <b/>
            <sz val="8"/>
            <color indexed="81"/>
            <rFont val="Tahoma"/>
            <family val="2"/>
          </rPr>
          <t>ecordovin:</t>
        </r>
        <r>
          <rPr>
            <sz val="8"/>
            <color indexed="81"/>
            <rFont val="Tahoma"/>
            <family val="2"/>
          </rPr>
          <t xml:space="preserve">
sustituye a 106.105.395</t>
        </r>
      </text>
    </comment>
    <comment ref="C12" authorId="0">
      <text>
        <r>
          <rPr>
            <b/>
            <sz val="8"/>
            <color indexed="81"/>
            <rFont val="Tahoma"/>
            <family val="2"/>
          </rPr>
          <t>ecordovin:</t>
        </r>
        <r>
          <rPr>
            <sz val="8"/>
            <color indexed="81"/>
            <rFont val="Tahoma"/>
            <family val="2"/>
          </rPr>
          <t xml:space="preserve">
sustituye al 106104141 por estar duplicados</t>
        </r>
      </text>
    </comment>
    <comment ref="C19" authorId="0">
      <text>
        <r>
          <rPr>
            <b/>
            <sz val="8"/>
            <color indexed="81"/>
            <rFont val="Tahoma"/>
            <family val="2"/>
          </rPr>
          <t>ecordovin:</t>
        </r>
        <r>
          <rPr>
            <sz val="8"/>
            <color indexed="81"/>
            <rFont val="Tahoma"/>
            <family val="2"/>
          </rPr>
          <t xml:space="preserve">
vale para todos los IP20</t>
        </r>
      </text>
    </comment>
    <comment ref="E45" authorId="0">
      <text>
        <r>
          <rPr>
            <b/>
            <sz val="8"/>
            <color indexed="81"/>
            <rFont val="Tahoma"/>
            <family val="2"/>
          </rPr>
          <t>ecordovin:</t>
        </r>
        <r>
          <rPr>
            <sz val="8"/>
            <color indexed="81"/>
            <rFont val="Tahoma"/>
            <family val="2"/>
          </rPr>
          <t xml:space="preserve">
sustituye al 106104141 por estar duplicados</t>
        </r>
      </text>
    </comment>
  </commentList>
</comments>
</file>

<file path=xl/comments5.xml><?xml version="1.0" encoding="utf-8"?>
<comments xmlns="http://schemas.openxmlformats.org/spreadsheetml/2006/main">
  <authors>
    <author>ecordovin</author>
  </authors>
  <commentList>
    <comment ref="D48" authorId="0">
      <text>
        <r>
          <rPr>
            <b/>
            <sz val="8"/>
            <color indexed="81"/>
            <rFont val="Tahoma"/>
            <family val="2"/>
          </rPr>
          <t>ecordovin:</t>
        </r>
        <r>
          <rPr>
            <sz val="8"/>
            <color indexed="81"/>
            <rFont val="Tahoma"/>
            <family val="2"/>
          </rPr>
          <t xml:space="preserve">
SUSTITUIDO POR 106100945, que a su vez Schneider dejó de fabricar y puede ser reemplazado por el 106113689</t>
        </r>
      </text>
    </comment>
  </commentList>
</comments>
</file>

<file path=xl/comments6.xml><?xml version="1.0" encoding="utf-8"?>
<comments xmlns="http://schemas.openxmlformats.org/spreadsheetml/2006/main">
  <authors>
    <author>Eduardo E.C.S. Cordovin Santesteban</author>
    <author>Jesus Maria Asiain (Ingeteam)</author>
  </authors>
  <commentList>
    <comment ref="D25" authorId="0">
      <text>
        <r>
          <rPr>
            <b/>
            <sz val="9"/>
            <color indexed="81"/>
            <rFont val="Tahoma"/>
            <family val="2"/>
          </rPr>
          <t>Eduardo E.C.S. Cordovin Santesteban:</t>
        </r>
        <r>
          <rPr>
            <sz val="9"/>
            <color indexed="81"/>
            <rFont val="Tahoma"/>
            <family val="2"/>
          </rPr>
          <t xml:space="preserve">
sustituir por AAS5033 (kit con el AAS0277)</t>
        </r>
      </text>
    </comment>
    <comment ref="E39" authorId="1">
      <text>
        <r>
          <rPr>
            <b/>
            <sz val="8"/>
            <color indexed="81"/>
            <rFont val="Tahoma"/>
            <family val="2"/>
          </rPr>
          <t>Jesus Maria Asiain (Ingeteam):</t>
        </r>
        <r>
          <rPr>
            <sz val="8"/>
            <color indexed="81"/>
            <rFont val="Tahoma"/>
            <family val="2"/>
          </rPr>
          <t xml:space="preserve">
Consultado en SAP en enero de 2010
</t>
        </r>
      </text>
    </comment>
    <comment ref="D67" authorId="0">
      <text>
        <r>
          <rPr>
            <b/>
            <sz val="9"/>
            <color indexed="81"/>
            <rFont val="Tahoma"/>
            <family val="2"/>
          </rPr>
          <t>Eduardo E.C.S. Cordovin Santesteban:</t>
        </r>
        <r>
          <rPr>
            <sz val="9"/>
            <color indexed="81"/>
            <rFont val="Tahoma"/>
            <family val="2"/>
          </rPr>
          <t xml:space="preserve">
sustituir por AAS5033 (kit con el AAS0277)</t>
        </r>
      </text>
    </comment>
    <comment ref="E79" authorId="1">
      <text>
        <r>
          <rPr>
            <b/>
            <sz val="8"/>
            <color indexed="81"/>
            <rFont val="Tahoma"/>
            <family val="2"/>
          </rPr>
          <t>Jesus Maria Asiain (Ingeteam):</t>
        </r>
        <r>
          <rPr>
            <sz val="8"/>
            <color indexed="81"/>
            <rFont val="Tahoma"/>
            <family val="2"/>
          </rPr>
          <t xml:space="preserve">
Consultado en SAP en enero de 2010
</t>
        </r>
      </text>
    </comment>
    <comment ref="D87" authorId="0">
      <text>
        <r>
          <rPr>
            <b/>
            <sz val="9"/>
            <color indexed="81"/>
            <rFont val="Tahoma"/>
            <family val="2"/>
          </rPr>
          <t>Eduardo E.C.S. Cordovin Santesteban:</t>
        </r>
        <r>
          <rPr>
            <sz val="9"/>
            <color indexed="81"/>
            <rFont val="Tahoma"/>
            <family val="2"/>
          </rPr>
          <t xml:space="preserve">
sustituir por AAS5033 (kit con el AAS0277)</t>
        </r>
      </text>
    </comment>
    <comment ref="D135" authorId="0">
      <text>
        <r>
          <rPr>
            <b/>
            <sz val="9"/>
            <color indexed="81"/>
            <rFont val="Tahoma"/>
            <family val="2"/>
          </rPr>
          <t>Eduardo E.C.S. Cordovin Santesteban:</t>
        </r>
        <r>
          <rPr>
            <sz val="9"/>
            <color indexed="81"/>
            <rFont val="Tahoma"/>
            <family val="2"/>
          </rPr>
          <t xml:space="preserve">
sustituir por AAS5033 (kit con el AAS0277)</t>
        </r>
      </text>
    </comment>
  </commentList>
</comments>
</file>

<file path=xl/comments7.xml><?xml version="1.0" encoding="utf-8"?>
<comments xmlns="http://schemas.openxmlformats.org/spreadsheetml/2006/main">
  <authors>
    <author>Eduardo E.C.S. Cordovin Santesteban</author>
    <author>ecordovin</author>
  </authors>
  <commentList>
    <comment ref="D25" authorId="0">
      <text>
        <r>
          <rPr>
            <b/>
            <sz val="9"/>
            <color indexed="81"/>
            <rFont val="Tahoma"/>
            <family val="2"/>
          </rPr>
          <t>Eduardo E.C.S. Cordovin Santesteban:</t>
        </r>
        <r>
          <rPr>
            <sz val="9"/>
            <color indexed="81"/>
            <rFont val="Tahoma"/>
            <family val="2"/>
          </rPr>
          <t xml:space="preserve">
sustituir por AAS5033 (kit con el AAS0277)</t>
        </r>
      </text>
    </comment>
    <comment ref="E26" authorId="1">
      <text>
        <r>
          <rPr>
            <b/>
            <sz val="8"/>
            <color indexed="81"/>
            <rFont val="Tahoma"/>
            <family val="2"/>
          </rPr>
          <t>ecordovin:</t>
        </r>
        <r>
          <rPr>
            <sz val="8"/>
            <color indexed="81"/>
            <rFont val="Tahoma"/>
            <family val="2"/>
          </rPr>
          <t xml:space="preserve">
si hay un AAS0085 se sustituirá por un AAS0196/7</t>
        </r>
      </text>
    </comment>
    <comment ref="D65" authorId="0">
      <text>
        <r>
          <rPr>
            <b/>
            <sz val="9"/>
            <color indexed="81"/>
            <rFont val="Tahoma"/>
            <family val="2"/>
          </rPr>
          <t>Eduardo E.C.S. Cordovin Santesteban:</t>
        </r>
        <r>
          <rPr>
            <sz val="9"/>
            <color indexed="81"/>
            <rFont val="Tahoma"/>
            <family val="2"/>
          </rPr>
          <t xml:space="preserve">
sustituir por AAS5033 (kit con el AAS0277)</t>
        </r>
      </text>
    </comment>
    <comment ref="D106" authorId="0">
      <text>
        <r>
          <rPr>
            <b/>
            <sz val="9"/>
            <color indexed="81"/>
            <rFont val="Tahoma"/>
            <family val="2"/>
          </rPr>
          <t>Eduardo E.C.S. Cordovin Santesteban:</t>
        </r>
        <r>
          <rPr>
            <sz val="9"/>
            <color indexed="81"/>
            <rFont val="Tahoma"/>
            <family val="2"/>
          </rPr>
          <t xml:space="preserve">
sustituir por AAS5033 (kit con el AAS0277)</t>
        </r>
      </text>
    </comment>
    <comment ref="D119" authorId="0">
      <text>
        <r>
          <rPr>
            <b/>
            <sz val="9"/>
            <color indexed="81"/>
            <rFont val="Tahoma"/>
            <family val="2"/>
          </rPr>
          <t>Eduardo E.C.S. Cordovin Santesteban:</t>
        </r>
        <r>
          <rPr>
            <sz val="9"/>
            <color indexed="81"/>
            <rFont val="Tahoma"/>
            <family val="2"/>
          </rPr>
          <t xml:space="preserve">
sustituir por AAS5033 (kit con el AAS0277)</t>
        </r>
      </text>
    </comment>
    <comment ref="D167" authorId="0">
      <text>
        <r>
          <rPr>
            <b/>
            <sz val="9"/>
            <color indexed="81"/>
            <rFont val="Tahoma"/>
            <family val="2"/>
          </rPr>
          <t>Eduardo E.C.S. Cordovin Santesteban:</t>
        </r>
        <r>
          <rPr>
            <sz val="9"/>
            <color indexed="81"/>
            <rFont val="Tahoma"/>
            <family val="2"/>
          </rPr>
          <t xml:space="preserve">
sustituir por AAS5033 (kit con el AAS0277)</t>
        </r>
      </text>
    </comment>
  </commentList>
</comments>
</file>

<file path=xl/comments8.xml><?xml version="1.0" encoding="utf-8"?>
<comments xmlns="http://schemas.openxmlformats.org/spreadsheetml/2006/main">
  <authors>
    <author>Eduardo E.C.S. Cordovin Santesteban</author>
    <author>ecordovin</author>
  </authors>
  <commentList>
    <comment ref="D26" authorId="0">
      <text>
        <r>
          <rPr>
            <b/>
            <sz val="9"/>
            <color indexed="81"/>
            <rFont val="Tahoma"/>
            <family val="2"/>
          </rPr>
          <t>Eduardo E.C.S. Cordovin Santesteban:</t>
        </r>
        <r>
          <rPr>
            <sz val="9"/>
            <color indexed="81"/>
            <rFont val="Tahoma"/>
            <family val="2"/>
          </rPr>
          <t xml:space="preserve">
sustituye al AAS0026</t>
        </r>
      </text>
    </comment>
    <comment ref="E27" authorId="1">
      <text>
        <r>
          <rPr>
            <b/>
            <sz val="8"/>
            <color indexed="81"/>
            <rFont val="Tahoma"/>
            <family val="2"/>
          </rPr>
          <t>ecordovin:</t>
        </r>
        <r>
          <rPr>
            <sz val="8"/>
            <color indexed="81"/>
            <rFont val="Tahoma"/>
            <family val="2"/>
          </rPr>
          <t xml:space="preserve">
Fitro RC, componente de AAS0194</t>
        </r>
      </text>
    </comment>
    <comment ref="D74" authorId="0">
      <text>
        <r>
          <rPr>
            <b/>
            <sz val="9"/>
            <color indexed="81"/>
            <rFont val="Tahoma"/>
            <family val="2"/>
          </rPr>
          <t>Eduardo E.C.S. Cordovin Santesteban:</t>
        </r>
        <r>
          <rPr>
            <sz val="9"/>
            <color indexed="81"/>
            <rFont val="Tahoma"/>
            <family val="2"/>
          </rPr>
          <t xml:space="preserve">
sustituir por AAS5033 (kit con el AAS0277)</t>
        </r>
      </text>
    </comment>
    <comment ref="D117" authorId="0">
      <text>
        <r>
          <rPr>
            <b/>
            <sz val="9"/>
            <color indexed="81"/>
            <rFont val="Tahoma"/>
            <family val="2"/>
          </rPr>
          <t>Eduardo E.C.S. Cordovin Santesteban:</t>
        </r>
        <r>
          <rPr>
            <sz val="9"/>
            <color indexed="81"/>
            <rFont val="Tahoma"/>
            <family val="2"/>
          </rPr>
          <t xml:space="preserve">
sustituir por AAS5033 (kit con el AAS0277)</t>
        </r>
      </text>
    </comment>
    <comment ref="E158" authorId="1">
      <text>
        <r>
          <rPr>
            <b/>
            <sz val="8"/>
            <color indexed="81"/>
            <rFont val="Tahoma"/>
            <family val="2"/>
          </rPr>
          <t>ecordovin:</t>
        </r>
        <r>
          <rPr>
            <sz val="8"/>
            <color indexed="81"/>
            <rFont val="Tahoma"/>
            <family val="2"/>
          </rPr>
          <t xml:space="preserve">
sustituido por FAN 106112525</t>
        </r>
      </text>
    </comment>
    <comment ref="D159" authorId="0">
      <text>
        <r>
          <rPr>
            <b/>
            <sz val="9"/>
            <color indexed="81"/>
            <rFont val="Tahoma"/>
            <family val="2"/>
          </rPr>
          <t>Eduardo E.C.S. Cordovin Santesteban:</t>
        </r>
        <r>
          <rPr>
            <sz val="9"/>
            <color indexed="81"/>
            <rFont val="Tahoma"/>
            <family val="2"/>
          </rPr>
          <t xml:space="preserve">
sustituir por AAS5033 (kit con el AAS0277)</t>
        </r>
      </text>
    </comment>
    <comment ref="E192" authorId="1">
      <text>
        <r>
          <rPr>
            <b/>
            <sz val="8"/>
            <color indexed="81"/>
            <rFont val="Tahoma"/>
            <family val="2"/>
          </rPr>
          <t>ecordovin:</t>
        </r>
        <r>
          <rPr>
            <sz val="8"/>
            <color indexed="81"/>
            <rFont val="Tahoma"/>
            <family val="2"/>
          </rPr>
          <t xml:space="preserve">
pertenece al FAN 106111793</t>
        </r>
      </text>
    </comment>
    <comment ref="E199" authorId="1">
      <text>
        <r>
          <rPr>
            <b/>
            <sz val="8"/>
            <color indexed="81"/>
            <rFont val="Tahoma"/>
            <family val="2"/>
          </rPr>
          <t>ecordovin:</t>
        </r>
        <r>
          <rPr>
            <sz val="8"/>
            <color indexed="81"/>
            <rFont val="Tahoma"/>
            <family val="2"/>
          </rPr>
          <t xml:space="preserve">
sustituido por FAN 106112525</t>
        </r>
      </text>
    </comment>
    <comment ref="D200" authorId="0">
      <text>
        <r>
          <rPr>
            <b/>
            <sz val="9"/>
            <color indexed="81"/>
            <rFont val="Tahoma"/>
            <family val="2"/>
          </rPr>
          <t>Eduardo E.C.S. Cordovin Santesteban:</t>
        </r>
        <r>
          <rPr>
            <sz val="9"/>
            <color indexed="81"/>
            <rFont val="Tahoma"/>
            <family val="2"/>
          </rPr>
          <t xml:space="preserve">
sustituir por AAS5033 (kit con el AAS0277)</t>
        </r>
      </text>
    </comment>
    <comment ref="E236" authorId="1">
      <text>
        <r>
          <rPr>
            <b/>
            <sz val="8"/>
            <color indexed="81"/>
            <rFont val="Tahoma"/>
            <family val="2"/>
          </rPr>
          <t>ecordovin:</t>
        </r>
        <r>
          <rPr>
            <sz val="8"/>
            <color indexed="81"/>
            <rFont val="Tahoma"/>
            <family val="2"/>
          </rPr>
          <t xml:space="preserve">
pertenece al FAN 106111793</t>
        </r>
      </text>
    </comment>
    <comment ref="E241" authorId="1">
      <text>
        <r>
          <rPr>
            <b/>
            <sz val="8"/>
            <color indexed="81"/>
            <rFont val="Tahoma"/>
            <family val="2"/>
          </rPr>
          <t>ecordovin:</t>
        </r>
        <r>
          <rPr>
            <sz val="8"/>
            <color indexed="81"/>
            <rFont val="Tahoma"/>
            <family val="2"/>
          </rPr>
          <t xml:space="preserve">
sustituido por FAN 106112525</t>
        </r>
      </text>
    </comment>
    <comment ref="D242" authorId="0">
      <text>
        <r>
          <rPr>
            <b/>
            <sz val="9"/>
            <color indexed="81"/>
            <rFont val="Tahoma"/>
            <family val="2"/>
          </rPr>
          <t>Eduardo E.C.S. Cordovin Santesteban:</t>
        </r>
        <r>
          <rPr>
            <sz val="9"/>
            <color indexed="81"/>
            <rFont val="Tahoma"/>
            <family val="2"/>
          </rPr>
          <t xml:space="preserve">
sustituir por AAS5033 (kit con el AAS0277)</t>
        </r>
      </text>
    </comment>
    <comment ref="E277" authorId="1">
      <text>
        <r>
          <rPr>
            <b/>
            <sz val="8"/>
            <color indexed="81"/>
            <rFont val="Tahoma"/>
            <family val="2"/>
          </rPr>
          <t>ecordovin:</t>
        </r>
        <r>
          <rPr>
            <sz val="8"/>
            <color indexed="81"/>
            <rFont val="Tahoma"/>
            <family val="2"/>
          </rPr>
          <t xml:space="preserve">
sustituye al 106104141 por estar duplicados</t>
        </r>
      </text>
    </comment>
    <comment ref="E278" authorId="1">
      <text>
        <r>
          <rPr>
            <b/>
            <sz val="8"/>
            <color indexed="81"/>
            <rFont val="Tahoma"/>
            <family val="2"/>
          </rPr>
          <t>ecordovin:</t>
        </r>
        <r>
          <rPr>
            <sz val="8"/>
            <color indexed="81"/>
            <rFont val="Tahoma"/>
            <family val="2"/>
          </rPr>
          <t xml:space="preserve">
pertenece al FAN 106111793</t>
        </r>
      </text>
    </comment>
    <comment ref="E283" authorId="1">
      <text>
        <r>
          <rPr>
            <b/>
            <sz val="8"/>
            <color indexed="81"/>
            <rFont val="Tahoma"/>
            <family val="2"/>
          </rPr>
          <t>ecordovin:</t>
        </r>
        <r>
          <rPr>
            <sz val="8"/>
            <color indexed="81"/>
            <rFont val="Tahoma"/>
            <family val="2"/>
          </rPr>
          <t xml:space="preserve">
sustituido por FAN 106112525</t>
        </r>
      </text>
    </comment>
    <comment ref="D284" authorId="0">
      <text>
        <r>
          <rPr>
            <b/>
            <sz val="9"/>
            <color indexed="81"/>
            <rFont val="Tahoma"/>
            <family val="2"/>
          </rPr>
          <t>Eduardo E.C.S. Cordovin Santesteban:</t>
        </r>
        <r>
          <rPr>
            <sz val="9"/>
            <color indexed="81"/>
            <rFont val="Tahoma"/>
            <family val="2"/>
          </rPr>
          <t xml:space="preserve">
sustituir por AAS5033 (kit con el AAS0277)</t>
        </r>
      </text>
    </comment>
    <comment ref="E319" authorId="1">
      <text>
        <r>
          <rPr>
            <b/>
            <sz val="8"/>
            <color indexed="81"/>
            <rFont val="Tahoma"/>
            <family val="2"/>
          </rPr>
          <t>ecordovin:</t>
        </r>
        <r>
          <rPr>
            <sz val="8"/>
            <color indexed="81"/>
            <rFont val="Tahoma"/>
            <family val="2"/>
          </rPr>
          <t xml:space="preserve">
sustituye al 106104141 por estar duplicados</t>
        </r>
      </text>
    </comment>
    <comment ref="E320" authorId="1">
      <text>
        <r>
          <rPr>
            <b/>
            <sz val="8"/>
            <color indexed="81"/>
            <rFont val="Tahoma"/>
            <family val="2"/>
          </rPr>
          <t>ecordovin:</t>
        </r>
        <r>
          <rPr>
            <sz val="8"/>
            <color indexed="81"/>
            <rFont val="Tahoma"/>
            <family val="2"/>
          </rPr>
          <t xml:space="preserve">
pertenece al FAN 106111793</t>
        </r>
      </text>
    </comment>
    <comment ref="E325" authorId="1">
      <text>
        <r>
          <rPr>
            <b/>
            <sz val="8"/>
            <color indexed="81"/>
            <rFont val="Tahoma"/>
            <family val="2"/>
          </rPr>
          <t>ecordovin:</t>
        </r>
        <r>
          <rPr>
            <sz val="8"/>
            <color indexed="81"/>
            <rFont val="Tahoma"/>
            <family val="2"/>
          </rPr>
          <t xml:space="preserve">
sustituido por FAN 106112525</t>
        </r>
      </text>
    </comment>
    <comment ref="E351" authorId="1">
      <text>
        <r>
          <rPr>
            <b/>
            <sz val="8"/>
            <color indexed="81"/>
            <rFont val="Tahoma"/>
            <family val="2"/>
          </rPr>
          <t>ecordovin:</t>
        </r>
        <r>
          <rPr>
            <sz val="8"/>
            <color indexed="81"/>
            <rFont val="Tahoma"/>
            <family val="2"/>
          </rPr>
          <t xml:space="preserve">
sustituye al 106104141 por estar duplicados</t>
        </r>
      </text>
    </comment>
    <comment ref="E354" authorId="1">
      <text>
        <r>
          <rPr>
            <b/>
            <sz val="8"/>
            <color indexed="81"/>
            <rFont val="Tahoma"/>
            <family val="2"/>
          </rPr>
          <t>ecordovin:</t>
        </r>
        <r>
          <rPr>
            <sz val="8"/>
            <color indexed="81"/>
            <rFont val="Tahoma"/>
            <family val="2"/>
          </rPr>
          <t xml:space="preserve">
sustituido por FAN 106112525</t>
        </r>
      </text>
    </comment>
  </commentList>
</comments>
</file>

<file path=xl/comments9.xml><?xml version="1.0" encoding="utf-8"?>
<comments xmlns="http://schemas.openxmlformats.org/spreadsheetml/2006/main">
  <authors>
    <author>ecordovin</author>
    <author>Eduardo E.C.S. Cordovin Santesteban</author>
  </authors>
  <commentList>
    <comment ref="D2" authorId="0">
      <text>
        <r>
          <rPr>
            <b/>
            <sz val="8"/>
            <color indexed="81"/>
            <rFont val="Tahoma"/>
            <family val="2"/>
          </rPr>
          <t>ecordovin:</t>
        </r>
        <r>
          <rPr>
            <sz val="8"/>
            <color indexed="81"/>
            <rFont val="Tahoma"/>
            <family val="2"/>
          </rPr>
          <t xml:space="preserve">
Este IDG_ afecta a:
AAV7083_
AAV7003_B
AAV7030_B
AAV7080_
AAV7081_
AAV7082_</t>
        </r>
      </text>
    </comment>
    <comment ref="C10" authorId="1">
      <text>
        <r>
          <rPr>
            <b/>
            <sz val="9"/>
            <color indexed="81"/>
            <rFont val="Tahoma"/>
            <family val="2"/>
          </rPr>
          <t>Eduardo E.C.S. Cordovin Santesteban:</t>
        </r>
        <r>
          <rPr>
            <sz val="9"/>
            <color indexed="81"/>
            <rFont val="Tahoma"/>
            <family val="2"/>
          </rPr>
          <t xml:space="preserve">
sustituye al 106112520</t>
        </r>
      </text>
    </comment>
    <comment ref="B76" authorId="1">
      <text>
        <r>
          <rPr>
            <b/>
            <sz val="9"/>
            <color indexed="81"/>
            <rFont val="Tahoma"/>
            <family val="2"/>
          </rPr>
          <t>Eduardo E.C.S. Cordovin Santesteban:</t>
        </r>
        <r>
          <rPr>
            <sz val="9"/>
            <color indexed="81"/>
            <rFont val="Tahoma"/>
            <family val="2"/>
          </rPr>
          <t xml:space="preserve">
si lleva vatímetro, lleva kit de trafos de tensión (AAV0067) y de corriente (AAV0066 en 4B, AAV0065 en 3B y AAV0235 en 2B).</t>
        </r>
      </text>
    </comment>
    <comment ref="C83" authorId="1">
      <text>
        <r>
          <rPr>
            <b/>
            <sz val="9"/>
            <color indexed="81"/>
            <rFont val="Tahoma"/>
            <family val="2"/>
          </rPr>
          <t>Eduardo E.C.S. Cordovin Santesteban:</t>
        </r>
        <r>
          <rPr>
            <sz val="9"/>
            <color indexed="81"/>
            <rFont val="Tahoma"/>
            <family val="2"/>
          </rPr>
          <t xml:space="preserve">
AAV0089 que luego se sustituye por AAV0291</t>
        </r>
      </text>
    </comment>
  </commentList>
</comments>
</file>

<file path=xl/sharedStrings.xml><?xml version="1.0" encoding="utf-8"?>
<sst xmlns="http://schemas.openxmlformats.org/spreadsheetml/2006/main" count="15591" uniqueCount="4189">
  <si>
    <t>-</t>
  </si>
  <si>
    <t>Descripción</t>
  </si>
  <si>
    <t>AAP0055</t>
  </si>
  <si>
    <t>AAS0013</t>
  </si>
  <si>
    <t>AAS7144</t>
  </si>
  <si>
    <t>4.1</t>
  </si>
  <si>
    <t>EVE00180</t>
  </si>
  <si>
    <t>AAS7140</t>
  </si>
  <si>
    <t>Equipo</t>
  </si>
  <si>
    <t>Código SAP</t>
  </si>
  <si>
    <t>AAS7145</t>
  </si>
  <si>
    <t>VARIADOR</t>
  </si>
  <si>
    <t>Coste</t>
  </si>
  <si>
    <t>Cod. SAP</t>
  </si>
  <si>
    <t>AAS0070</t>
  </si>
  <si>
    <t>F1, F2, F3</t>
  </si>
  <si>
    <t>F1, F2, F3, FN</t>
  </si>
  <si>
    <t>N</t>
  </si>
  <si>
    <t>BARRA DE NEUTRO</t>
  </si>
  <si>
    <t>F4, F5, F6, F7, F8, F9, F10, F11, F12</t>
  </si>
  <si>
    <t>F4, F5, F6</t>
  </si>
  <si>
    <t>K1</t>
  </si>
  <si>
    <t>K1.RC</t>
  </si>
  <si>
    <t>VENT1, VENT2</t>
  </si>
  <si>
    <t>C1</t>
  </si>
  <si>
    <t>AQM0002</t>
  </si>
  <si>
    <t>AQM0010</t>
  </si>
  <si>
    <t>R</t>
  </si>
  <si>
    <t>AQL0014</t>
  </si>
  <si>
    <t>CC1</t>
  </si>
  <si>
    <t>AAS7142</t>
  </si>
  <si>
    <t>AAS7102</t>
  </si>
  <si>
    <t>1.1</t>
  </si>
  <si>
    <t>EVR20385</t>
  </si>
  <si>
    <t>APR51547</t>
  </si>
  <si>
    <t>ACA00088</t>
  </si>
  <si>
    <t>APR00232</t>
  </si>
  <si>
    <t>6.2</t>
  </si>
  <si>
    <t>APR00201</t>
  </si>
  <si>
    <t>APR13018</t>
  </si>
  <si>
    <t>AAS0049</t>
  </si>
  <si>
    <t>AAS0026</t>
  </si>
  <si>
    <t>EFU42163</t>
  </si>
  <si>
    <t>ELEGIR EQUIPO</t>
  </si>
  <si>
    <t>&lt;&lt; AQUÍ</t>
  </si>
  <si>
    <t>REPUESTOS INGECON SUN</t>
  </si>
  <si>
    <t>AAS7104</t>
  </si>
  <si>
    <t>AAS7120</t>
  </si>
  <si>
    <t>AAS0022</t>
  </si>
  <si>
    <t>2.1</t>
  </si>
  <si>
    <t xml:space="preserve">APR51547            </t>
  </si>
  <si>
    <t>2.2</t>
  </si>
  <si>
    <t xml:space="preserve">ACA50011            </t>
  </si>
  <si>
    <t>2.3</t>
  </si>
  <si>
    <t>3.1</t>
  </si>
  <si>
    <t>Q2,Q3,Q4</t>
  </si>
  <si>
    <t>APR00214</t>
  </si>
  <si>
    <t xml:space="preserve">EFU00063            </t>
  </si>
  <si>
    <t xml:space="preserve">AFU29324            </t>
  </si>
  <si>
    <t xml:space="preserve">ARE50116            </t>
  </si>
  <si>
    <t>DESCARGADOR 230 V 20 KA</t>
  </si>
  <si>
    <t xml:space="preserve">ACN13267            </t>
  </si>
  <si>
    <t>CCC</t>
  </si>
  <si>
    <t>CONTACTOR 50 AMPERIOS AC3, 50 AMP AC1, 50 HZ</t>
  </si>
  <si>
    <t>K1.F</t>
  </si>
  <si>
    <t>Q3</t>
  </si>
  <si>
    <t>DISYUNTOR MAGNET. 0,1...0,16</t>
  </si>
  <si>
    <t>IQ3</t>
  </si>
  <si>
    <t>CONTACTO AUXILIAR NA+NC</t>
  </si>
  <si>
    <t>Q1, Q2</t>
  </si>
  <si>
    <t>DISYUNTOR MAGNET. 6...10</t>
  </si>
  <si>
    <t>QAC</t>
  </si>
  <si>
    <t>Hw DISPLAY MATRICIAL, TECLADO Y LEDS CON CAN PARA I.S.</t>
  </si>
  <si>
    <t>AAS0109</t>
  </si>
  <si>
    <t>Hw FILTRADO DE ARMONICOS CONMUTACIÓN EQUIPOS 20-25kW</t>
  </si>
  <si>
    <t>R1, R2. R3</t>
  </si>
  <si>
    <t>coste</t>
  </si>
  <si>
    <t xml:space="preserve">EMC 520VCA 55A CN   </t>
  </si>
  <si>
    <t>REF</t>
  </si>
  <si>
    <t>Referencia</t>
  </si>
  <si>
    <t>Descripción repuesto</t>
  </si>
  <si>
    <t>Código repuestos</t>
  </si>
  <si>
    <t>MODULO INVERSOR</t>
  </si>
  <si>
    <t>C1X, CB1, CB2</t>
  </si>
  <si>
    <t>Condensador para ventilador centrífugo EBM 10uF</t>
  </si>
  <si>
    <t>ECD10096</t>
  </si>
  <si>
    <t>CC1X</t>
  </si>
  <si>
    <t>Filtro 690V/400A Salida pletina</t>
  </si>
  <si>
    <t>EFI34006</t>
  </si>
  <si>
    <t>IQ2X, IQ4X,IQ5X</t>
  </si>
  <si>
    <t>Señalizador para guardamotores GV2-P</t>
  </si>
  <si>
    <t>Q2X</t>
  </si>
  <si>
    <t>Disyuntor magnetotermico 24 .. 32 Amperios Ics 100 Ka</t>
  </si>
  <si>
    <t>Q5X</t>
  </si>
  <si>
    <t>Disyuntor magnetotermico 13 .. 18 Amperios Ics 100 Ka</t>
  </si>
  <si>
    <t>Q4X</t>
  </si>
  <si>
    <t>Disyuntor magnetotermico 0.1 .. 0.16 Amperios Ics 100 Ka</t>
  </si>
  <si>
    <t>KIX</t>
  </si>
  <si>
    <t>Kit Contactor trifásico 400A</t>
  </si>
  <si>
    <t>ACN40001</t>
  </si>
  <si>
    <t>KB1X</t>
  </si>
  <si>
    <t>ABO40001</t>
  </si>
  <si>
    <t>KF1X</t>
  </si>
  <si>
    <t>AFI00004</t>
  </si>
  <si>
    <t>KM1X</t>
  </si>
  <si>
    <t>ACA00157</t>
  </si>
  <si>
    <t>AAP0031</t>
  </si>
  <si>
    <t>Fuente de alimentación de 15Vdc externa</t>
  </si>
  <si>
    <t>AQG0030</t>
  </si>
  <si>
    <t>Caja condensadores trifasicas 90uF 275 Vac</t>
  </si>
  <si>
    <t>HW de captación de tensión DC 1000V</t>
  </si>
  <si>
    <t>AAV7100</t>
  </si>
  <si>
    <t>Variador para INGECON SUN trifásico con conexión a red 125kW</t>
  </si>
  <si>
    <t>PLACA DC</t>
  </si>
  <si>
    <t>QDCX</t>
  </si>
  <si>
    <t>Kit Interruptor-seccionador 4 polos 400 A  900 Vdc</t>
  </si>
  <si>
    <t>AIA40022</t>
  </si>
  <si>
    <t>QDCAX</t>
  </si>
  <si>
    <t>AMG00395</t>
  </si>
  <si>
    <t>FX1,FX2</t>
  </si>
  <si>
    <t>Fusible tipo UR 550 A para 900 VDC</t>
  </si>
  <si>
    <t>EFU00550</t>
  </si>
  <si>
    <t>RVDCX</t>
  </si>
  <si>
    <t>Descargador de sobretensión DC</t>
  </si>
  <si>
    <t>PLACA AC</t>
  </si>
  <si>
    <t>FX6,FX7,FX8</t>
  </si>
  <si>
    <t>Fusible 63 Amperios</t>
  </si>
  <si>
    <t>QAUX</t>
  </si>
  <si>
    <t>KIT NS400H STR23SE (100kA a 220V)</t>
  </si>
  <si>
    <t>AIA32695</t>
  </si>
  <si>
    <t>QACRX</t>
  </si>
  <si>
    <t>AMG32598</t>
  </si>
  <si>
    <t>QACMX</t>
  </si>
  <si>
    <t>ACA00051</t>
  </si>
  <si>
    <t>RVACX</t>
  </si>
  <si>
    <t>Descargador AC 690V</t>
  </si>
  <si>
    <t>ARE69020</t>
  </si>
  <si>
    <t>EXTERIOR</t>
  </si>
  <si>
    <t>SW2.NC</t>
  </si>
  <si>
    <t>Contacto auxiliar para Seta de emergencia 2NC</t>
  </si>
  <si>
    <t>ACA00032</t>
  </si>
  <si>
    <t>SWS1</t>
  </si>
  <si>
    <t>Seta de emergencia</t>
  </si>
  <si>
    <t>AST00031</t>
  </si>
  <si>
    <t>VENTIX</t>
  </si>
  <si>
    <t>Ventilador centrífugo 220V 50Hz</t>
  </si>
  <si>
    <t>EVE10096</t>
  </si>
  <si>
    <t>HW de display, teclado y leds para INGECON SUN aislado</t>
  </si>
  <si>
    <t>Elemento singulares</t>
  </si>
  <si>
    <t>REPUESTOS INGECON SUN 500_B</t>
  </si>
  <si>
    <t>REPUESTOS INGECON SUN 500_A</t>
  </si>
  <si>
    <t>Disyuntor magnetotermico 6 .. 10 Amperios Ics 100 Ka</t>
  </si>
  <si>
    <t>Contactor trifásico 400A</t>
  </si>
  <si>
    <t>Bobinas LC1-F400 a 220/230AC</t>
  </si>
  <si>
    <t>Filtro RC para bobina filtro</t>
  </si>
  <si>
    <t>Contacto NO+NC</t>
  </si>
  <si>
    <t>Caja condensadores trifásica 90uF 275Vac</t>
  </si>
  <si>
    <t>Interruptor-seccionador 4 polos 400 A  900 Vdc</t>
  </si>
  <si>
    <t>Kit de adaptador fusible</t>
  </si>
  <si>
    <t>QACX</t>
  </si>
  <si>
    <t>Contactor NSX400H 400A 690V 3P 20kA E</t>
  </si>
  <si>
    <t>Contactos OF</t>
  </si>
  <si>
    <t>Contacto auxiliar para Seta de emergencia NC</t>
  </si>
  <si>
    <t>AQL0056</t>
  </si>
  <si>
    <t>cable 2 vías 0,34mm2 longitud 1440mm</t>
  </si>
  <si>
    <t>AQL0057</t>
  </si>
  <si>
    <t>cable 2 vías 0,34mm2 longitud 1900mm</t>
  </si>
  <si>
    <t>AQL0058</t>
  </si>
  <si>
    <t>cable 2 vías 0,34mm2 longitud 2600mm</t>
  </si>
  <si>
    <t>AAV0005</t>
  </si>
  <si>
    <t>HW generador de sincronismo para triangular</t>
  </si>
  <si>
    <t>REPUESTOS INGECON SUN 500_D</t>
  </si>
  <si>
    <t>REPUESTOS INGECON SUN 500_C</t>
  </si>
  <si>
    <t>AAS023</t>
  </si>
  <si>
    <t>AAS026</t>
  </si>
  <si>
    <t>HW filtro de amortiguamiento de red para equipos 500</t>
  </si>
  <si>
    <t>HW filtro de armónicos de conmutación para equipos 500</t>
  </si>
  <si>
    <t>QDBX</t>
  </si>
  <si>
    <t>QDCEX</t>
  </si>
  <si>
    <t>QDMX</t>
  </si>
  <si>
    <t>QDCUX</t>
  </si>
  <si>
    <t>Cubrebornes seccionadores OESA</t>
  </si>
  <si>
    <t>NS400H STR23SE (100 kA a 220 V)</t>
  </si>
  <si>
    <t>Contacto No+Nc</t>
  </si>
  <si>
    <t>Barra de conexión serie de polos</t>
  </si>
  <si>
    <t>NS400/630 mando rotativo prol emp negra</t>
  </si>
  <si>
    <t>SWX</t>
  </si>
  <si>
    <t>AAV7101</t>
  </si>
  <si>
    <t>VARIADOR DIG INGCONSUN TRIF 125kW</t>
  </si>
  <si>
    <t>QDCBX</t>
  </si>
  <si>
    <t>Cubrebornes seccionador OESA</t>
  </si>
  <si>
    <t>Eje interruptor de continua 395mm</t>
  </si>
  <si>
    <t>QDCMX</t>
  </si>
  <si>
    <t>Maneta seccionador</t>
  </si>
  <si>
    <t>SW2.P</t>
  </si>
  <si>
    <t>Pulsador para seta de emergencia</t>
  </si>
  <si>
    <t>AAS0091</t>
  </si>
  <si>
    <t>HW de display matricial, teclado, leds</t>
  </si>
  <si>
    <t>AQL0069</t>
  </si>
  <si>
    <t>SINCRONISMO FIBRA OPTICA 1600mm</t>
  </si>
  <si>
    <t>AQL0070</t>
  </si>
  <si>
    <t>SINCRONISMO FIBRA OPTICA 1900mm</t>
  </si>
  <si>
    <t>AQL0071</t>
  </si>
  <si>
    <t>SINCRONISMO FIBRA OPTICA 2520mm</t>
  </si>
  <si>
    <t>AQL0072</t>
  </si>
  <si>
    <t>SINCRONISMO FIBRA OPTICA 3160mm</t>
  </si>
  <si>
    <t>AAV0009</t>
  </si>
  <si>
    <t>HW señal sincronismo fibra</t>
  </si>
  <si>
    <t>FX6, FX7, FX8</t>
  </si>
  <si>
    <t>Fusible 63 amperios</t>
  </si>
  <si>
    <t>RC</t>
  </si>
  <si>
    <t>CC</t>
  </si>
  <si>
    <t>PF1, PF2, PF3, PFN</t>
  </si>
  <si>
    <t>FN</t>
  </si>
  <si>
    <t>F4, F5, F6, F7, F8, F9</t>
  </si>
  <si>
    <t>PF4, PF5, PF6,PF7, PF8, PF9</t>
  </si>
  <si>
    <t>F7, F8, F9</t>
  </si>
  <si>
    <t>CFV1-8+</t>
  </si>
  <si>
    <t>TCFV1-8+</t>
  </si>
  <si>
    <t>CFV1-8-</t>
  </si>
  <si>
    <t>TCFV1-8-</t>
  </si>
  <si>
    <t>AAS0108</t>
  </si>
  <si>
    <t>CCC1</t>
  </si>
  <si>
    <t>Contactor 25 Amp AC3 , 40 Amp AC1, DC bajo consumo 1NA/1NC</t>
  </si>
  <si>
    <t>Resistencias 220H-2W 5% RC ventiladores AC</t>
  </si>
  <si>
    <t>Condensador de Polipropileno de 300VAC 220nF</t>
  </si>
  <si>
    <t>Fusible gG 32 amperios 690 V con indicador 14x51</t>
  </si>
  <si>
    <t>Barra de neutro</t>
  </si>
  <si>
    <t>Portafusible MSC10 10x38 Imax 32 Amp Vmax 690 Voltios con indicador</t>
  </si>
  <si>
    <t>Fusible gl-gG  0,5 amperios 500 V con indicador 10x38</t>
  </si>
  <si>
    <t>Fusible gl-gG  16 amperios 500 V con indicador 10x38</t>
  </si>
  <si>
    <t>Conector rápido MC4 Tipo hembra negativo</t>
  </si>
  <si>
    <t>Tapón conector rápido para hembra</t>
  </si>
  <si>
    <t>Conector rápido MC4 Tipo macho positivo</t>
  </si>
  <si>
    <t>Tapón conector rápido para macho</t>
  </si>
  <si>
    <t>Detector fusible fundido para equipo trifásico</t>
  </si>
  <si>
    <t>Hw filtrado armónicos de conmutación para equipos hasta 15kW</t>
  </si>
  <si>
    <t>Filtro EMI 3 fases y neutro</t>
  </si>
  <si>
    <t>Portafusible cilíndrico para fusible 14x51 Imax 50A  Vmax 690 V</t>
  </si>
  <si>
    <t>AAV7104</t>
  </si>
  <si>
    <t>AAV7103</t>
  </si>
  <si>
    <t>VARIADOR  DIG INGCONSUN TRIF 156kW</t>
  </si>
  <si>
    <t>Fusible gG 40 amperios 690 V con indicador 14x51</t>
  </si>
  <si>
    <t>_A</t>
  </si>
  <si>
    <t>REFERENCIA</t>
  </si>
  <si>
    <t>FILTRO EMI 3 FASES Y NEUTRO</t>
  </si>
  <si>
    <t>BASE PORTAFUSIBLES MODULAR 3+N 22x58</t>
  </si>
  <si>
    <t>FUSIBLE RAPIDOS aR 22x58 80 AMPERIOS</t>
  </si>
  <si>
    <t>VENTILADOR 119x119x38mm 220Vac 50Hz</t>
  </si>
  <si>
    <t>AAS7148</t>
  </si>
  <si>
    <t>Part</t>
  </si>
  <si>
    <t>Subtotal PVP</t>
  </si>
  <si>
    <t>Precio Unitario PVP</t>
  </si>
  <si>
    <t>Indice PVP</t>
  </si>
  <si>
    <t>VARIADOR DIG INGCONSUN TRIF 156kW MS</t>
  </si>
  <si>
    <t>MS</t>
  </si>
  <si>
    <t>CONTACTOR 38 AMPERIOS AC3, 50 AMP AC1, 50 HZ</t>
  </si>
  <si>
    <t>FUSIBLE RAPIDOS aR 22x58 63 AMPERIOS</t>
  </si>
  <si>
    <t>AAS7147</t>
  </si>
  <si>
    <t>RVCA</t>
  </si>
  <si>
    <t>DESCARGADOR DE SOBRETENSIÓN AC 40kA 320V 3+1</t>
  </si>
  <si>
    <t>RVDC</t>
  </si>
  <si>
    <t>DESCARGADOR DE SOBRETENSIÓN DC 1000V clase II 2+1</t>
  </si>
  <si>
    <t>QDC</t>
  </si>
  <si>
    <t>Seccionador en Carga 1200Vdc 125A 4P</t>
  </si>
  <si>
    <t>Precio Unitario InterCompany</t>
  </si>
  <si>
    <t>AAS7146</t>
  </si>
  <si>
    <t>Indice InterCompany</t>
  </si>
  <si>
    <t>PF4, PF5, PF6, PF7, PF8, PF9</t>
  </si>
  <si>
    <t>AAS7048</t>
  </si>
  <si>
    <t>AAS7112</t>
  </si>
  <si>
    <t>F1,F2</t>
  </si>
  <si>
    <t>Fusible tipo UR 400 A para 900 VDC</t>
  </si>
  <si>
    <t>Descargador continua 1000 V</t>
  </si>
  <si>
    <t>QDC1</t>
  </si>
  <si>
    <t>Interruptor Seccionador con Fusibles</t>
  </si>
  <si>
    <t>QDC1.M</t>
  </si>
  <si>
    <t>Mando exterior con bloqueo por candados</t>
  </si>
  <si>
    <t>QDC1.M1</t>
  </si>
  <si>
    <t>QDC1.P</t>
  </si>
  <si>
    <t>Cubrebornes de IP2</t>
  </si>
  <si>
    <t>K1.A</t>
  </si>
  <si>
    <t>Bobina a 220V para LC1F400 A</t>
  </si>
  <si>
    <t>K1.AUX</t>
  </si>
  <si>
    <t>Contacto Auxiliar 1NA 1NC para  LC1 F400</t>
  </si>
  <si>
    <t>Q4</t>
  </si>
  <si>
    <t>Q5</t>
  </si>
  <si>
    <t>F6,F7,F8</t>
  </si>
  <si>
    <t>Fusible 63 Amperios con indicador</t>
  </si>
  <si>
    <t>RV4,RV5,RV6</t>
  </si>
  <si>
    <t>Q1</t>
  </si>
  <si>
    <t>Automático NSX400H 400A 690V</t>
  </si>
  <si>
    <t>Q1.M</t>
  </si>
  <si>
    <t>NS400/630 Mando rotativo prol emp Negra</t>
  </si>
  <si>
    <t>Q1.SEPC</t>
  </si>
  <si>
    <t>Cubrebornes cortos 3P NSX400/630</t>
  </si>
  <si>
    <t>Q1.SEPL</t>
  </si>
  <si>
    <t>Cubrebornes largos 3P NSX400/630</t>
  </si>
  <si>
    <t>C1,C2,C3</t>
  </si>
  <si>
    <t>Condensadores para ventilador axial EBM 4uF</t>
  </si>
  <si>
    <t>Ventilador axial 230 V 50 Hz 1610 m3/h 115 W</t>
  </si>
  <si>
    <t>IQ1</t>
  </si>
  <si>
    <t>Contacto OF-SD-SDE-SDV NS100/../630 NS80H</t>
  </si>
  <si>
    <t>Indice</t>
  </si>
  <si>
    <t>Mando prolongador para seccionador longitud 500 mm</t>
  </si>
  <si>
    <t>Q1.C</t>
  </si>
  <si>
    <t>Interruptor automatico Compact, NSX250H TM200D 380/415V 70KA</t>
  </si>
  <si>
    <t>Q1.SEP</t>
  </si>
  <si>
    <t>Cubrebornes largos 3P NSX100-250</t>
  </si>
  <si>
    <t>Mando rotativo prolongado interruptor automatico NSX100-250</t>
  </si>
  <si>
    <t>Q3.C</t>
  </si>
  <si>
    <t>Q4.C</t>
  </si>
  <si>
    <t>IQ4</t>
  </si>
  <si>
    <t>Q5.C</t>
  </si>
  <si>
    <t>IQ5</t>
  </si>
  <si>
    <t>K1.C</t>
  </si>
  <si>
    <t>Contactor trifásico 185 A</t>
  </si>
  <si>
    <t>Bobina 220 V para LC1 F 185</t>
  </si>
  <si>
    <t>Contacto Auxiliar 1NA 1NC para  LC1 F185</t>
  </si>
  <si>
    <t>Base de fusibles 3F con indicador</t>
  </si>
  <si>
    <t>Filtro EMI 180 Amperios</t>
  </si>
  <si>
    <t>FILTRO DE ARMÓNICOS DE CONMUTACION EQUIPOS DE 60 A 100KW</t>
  </si>
  <si>
    <t>HW DE CAPTACION DE TENSION DC 1000V</t>
  </si>
  <si>
    <t>VENTI1-2-3</t>
  </si>
  <si>
    <t>HW DE DISPLAY MATRICIAL, TECLADO Y LEDS CON CAN PARA INGECON SUN</t>
  </si>
  <si>
    <t>VARIADOR INGECON SUN TRIFASICO CON CONEXIÓN A RED 90 kW</t>
  </si>
  <si>
    <t>SAP</t>
  </si>
  <si>
    <t>IQ2, IQ4,IQ5</t>
  </si>
  <si>
    <t>Q2</t>
  </si>
  <si>
    <t>KB1</t>
  </si>
  <si>
    <t>KF1</t>
  </si>
  <si>
    <t>KM1</t>
  </si>
  <si>
    <t>QDCA</t>
  </si>
  <si>
    <t>QDCB</t>
  </si>
  <si>
    <t>QDCE</t>
  </si>
  <si>
    <t>QDCM</t>
  </si>
  <si>
    <t>VENTI1</t>
  </si>
  <si>
    <t>VENTI2,VENTI3</t>
  </si>
  <si>
    <t>Ventilador axial 230 V 50 Hz 1610m3/h 115 W</t>
  </si>
  <si>
    <t>C2,C3</t>
  </si>
  <si>
    <t>QAC.M</t>
  </si>
  <si>
    <t>RVAC</t>
  </si>
  <si>
    <t>AAP0019</t>
  </si>
  <si>
    <t xml:space="preserve">Tarjeta comunicaciones RS485 trifasicos  </t>
  </si>
  <si>
    <t>PVP</t>
  </si>
  <si>
    <t>InterCompany</t>
  </si>
  <si>
    <t>Precio del cliente</t>
  </si>
  <si>
    <t>82,86 Eur.</t>
  </si>
  <si>
    <t>Precio de Paneles 2009</t>
  </si>
  <si>
    <t>Cantidad</t>
  </si>
  <si>
    <t>106104211</t>
  </si>
  <si>
    <t>106106242</t>
  </si>
  <si>
    <t>106104214</t>
  </si>
  <si>
    <t>ELEM MEC KIT ANCLAJE EQUIPO 4x125kW</t>
  </si>
  <si>
    <t>AQE0067</t>
  </si>
  <si>
    <t xml:space="preserve"> AAS7100</t>
  </si>
  <si>
    <t>FAMILIA INGECON SUN TRIFASICO 20-30KW IP54</t>
  </si>
  <si>
    <t>Descargador AC</t>
  </si>
  <si>
    <t>Descargador DC</t>
  </si>
  <si>
    <t>Seccionador DC</t>
  </si>
  <si>
    <t>Kit SPI Italia</t>
  </si>
  <si>
    <t>Kit cambio de tipo 3 a tipo 4</t>
  </si>
  <si>
    <t>Kit aterramiento paneles</t>
  </si>
  <si>
    <t>KIT</t>
  </si>
  <si>
    <t>•</t>
  </si>
  <si>
    <t>AAS0131</t>
  </si>
  <si>
    <t>AAS0137</t>
  </si>
  <si>
    <t>AAS0138</t>
  </si>
  <si>
    <t>AAS0139</t>
  </si>
  <si>
    <t>AAS0140</t>
  </si>
  <si>
    <t>AAS0141</t>
  </si>
  <si>
    <t>AAS0142</t>
  </si>
  <si>
    <t>AAS0135</t>
  </si>
  <si>
    <t>AAS0158</t>
  </si>
  <si>
    <t>AAS0128</t>
  </si>
  <si>
    <t>AAS0162</t>
  </si>
  <si>
    <t>AAS 0128</t>
  </si>
  <si>
    <t>KIT SPI EXT INV TRIF 20-30KW IP54 ITALIA</t>
  </si>
  <si>
    <t>AAS 0131</t>
  </si>
  <si>
    <t>KIT DESCARGADOR AC INV IP54 20 A 30KW</t>
  </si>
  <si>
    <t>AAS 0135</t>
  </si>
  <si>
    <t>KIT DESC SWITHC IN DC IP54 INV 20 A 30kW</t>
  </si>
  <si>
    <t>AAS 0137</t>
  </si>
  <si>
    <t>KIT DESCARGADOR DC INV IP54 20 A 30KW</t>
  </si>
  <si>
    <t>AAS 0138</t>
  </si>
  <si>
    <t>AAS 0139</t>
  </si>
  <si>
    <t>KIT INPUTS DC IP54 INV 20 A 30KW</t>
  </si>
  <si>
    <t>AAS 0140</t>
  </si>
  <si>
    <t xml:space="preserve">KIT DESC SWITCH DC IP54 INV 20 A 30 kW  </t>
  </si>
  <si>
    <t>AAS 0141</t>
  </si>
  <si>
    <t>KIT SWITCH INPUT DC IP54 INV20 A 30 kW</t>
  </si>
  <si>
    <t>AAS 0142</t>
  </si>
  <si>
    <t xml:space="preserve">KIT DESC INPUTDC IP54 INV 20 A 30 </t>
  </si>
  <si>
    <t>KIT ENTRADAS TIPO 4 PARA EQUIPOS 20 30 IP54</t>
  </si>
  <si>
    <t>KIT ATERRAMIENTO DC IS 20 30 kW IP54</t>
  </si>
  <si>
    <t>Nota: Los kits marcados en rojo están todavía sin documentar. Caso en que vaya a salir algún pedido informar a I+D (Marcos)</t>
  </si>
  <si>
    <t>AAS0127</t>
  </si>
  <si>
    <t>FRANCIA ULTRAMAR</t>
  </si>
  <si>
    <t>SW</t>
  </si>
  <si>
    <t>AAS0134</t>
  </si>
  <si>
    <t>FRANCIA CONTINENTAL</t>
  </si>
  <si>
    <t>AAS0136</t>
  </si>
  <si>
    <t xml:space="preserve">ITALIA </t>
  </si>
  <si>
    <t>AAS0150</t>
  </si>
  <si>
    <t>ALEMANIA</t>
  </si>
  <si>
    <t>SW y DSP REDUNDANTE</t>
  </si>
  <si>
    <t>Alemania/Rcheca</t>
  </si>
  <si>
    <t>Combox</t>
  </si>
  <si>
    <t>Modem GPRS trifasicos</t>
  </si>
  <si>
    <t xml:space="preserve">AAS0162 </t>
  </si>
  <si>
    <t>AAS0097</t>
  </si>
  <si>
    <t>AAS0082</t>
  </si>
  <si>
    <t xml:space="preserve">AAS0107 </t>
  </si>
  <si>
    <t>KIT ATERRAMIENTO DC IS 10 15 kW IP54</t>
  </si>
  <si>
    <t>KIT ATERRAMIENTO DC IS 25 30 kW IP20</t>
  </si>
  <si>
    <t>Alemania</t>
  </si>
  <si>
    <t>AAX0004</t>
  </si>
  <si>
    <t>AAX0006</t>
  </si>
  <si>
    <t xml:space="preserve"> MANGUERA 4MM2 HARTING-DESNUDO</t>
  </si>
  <si>
    <t>AAR7110</t>
  </si>
  <si>
    <t>VARIADOR DEL SISTEMA HÍBRIDO PARA GENERACIÓN AISLADA 10kW MONOFÁSICO</t>
  </si>
  <si>
    <t>10kVA HYBRID POWER BLOCK</t>
  </si>
  <si>
    <t>HMS POWER BLOCK - WT</t>
  </si>
  <si>
    <t>AAR7116</t>
  </si>
  <si>
    <t>VARIADOR DEL CARGADOR DE BATERÍAS DE 30kW PARA SISTEMA HÍBRIDO MODULAR</t>
  </si>
  <si>
    <t>HMS POWER BLOCK - CHARGER</t>
  </si>
  <si>
    <t>AAR7117</t>
  </si>
  <si>
    <t>VARIADOR DEL INVERSOR TRIFÁSICO DE 30kW PARA SISTEMA HÍBRIDO MODULAR</t>
  </si>
  <si>
    <t>HMS POWER BLOCK - INVERTER</t>
  </si>
  <si>
    <t>AAR7118</t>
  </si>
  <si>
    <t>VARIADOR DEL ELEVADOR FOTOVOLTAICO DE 3x15kW PARA SISTEMA HÍBRIDO MODULAR</t>
  </si>
  <si>
    <t>HMS POWER BLOCK - PV</t>
  </si>
  <si>
    <t>AAR7119</t>
  </si>
  <si>
    <t>VARIADOR DEL ELEVADOR EÓLICO DE 3x15kW PARA SISTEMA HÍBRIDO MODULAR</t>
  </si>
  <si>
    <t>Cód. SAP</t>
  </si>
  <si>
    <t xml:space="preserve"> AAS7105</t>
  </si>
  <si>
    <t>VARIADOR INGECON SUN TRIFASICO CON CONEXIÓN A RED 100 kW</t>
  </si>
  <si>
    <t>AAS7106</t>
  </si>
  <si>
    <t>AAS7101</t>
  </si>
  <si>
    <t xml:space="preserve">TARJETA DE COMUNICACIONES POR FIBRA OPTICA PARA INGECON SUN </t>
  </si>
  <si>
    <t>AAV7102</t>
  </si>
  <si>
    <t>VARIADOR DIG INGCONSUN TRIF 125kW MS</t>
  </si>
  <si>
    <t>AAS0069 versión_C</t>
  </si>
  <si>
    <t>Protección sobretensión DC 1000V 2+1 con monitorización</t>
  </si>
  <si>
    <t>AAS0123 versión_A</t>
  </si>
  <si>
    <t>Interruptor seccionador 4 polos DC1000V 63A</t>
  </si>
  <si>
    <t>AAS0068 versión_C</t>
  </si>
  <si>
    <t>AAS 0123</t>
  </si>
  <si>
    <t>Italia/Francia/Service</t>
  </si>
  <si>
    <t>KIT SWITCH DC IP54 INV 11 A 15KW (Seccionador)</t>
  </si>
  <si>
    <t>KIT SWITCH DC IP54 INV 20 A 30KW (Seccionador)</t>
  </si>
  <si>
    <t>Tarjeta Captaciones (de potencia, la grande, adecúa señales)</t>
  </si>
  <si>
    <t>Tarj. Entradas analógicas (para sensores, se pone junto a la de comun.)</t>
  </si>
  <si>
    <t>aap0016</t>
  </si>
  <si>
    <t>Antena GSM 900/1800 MMCX macho (la nueva no lleva latiguillo)</t>
  </si>
  <si>
    <t>Multicontact: sólo suministramos los propios del equipo, no aéreos</t>
  </si>
  <si>
    <r>
      <t xml:space="preserve">CONECTOR MULTICONTACT TIPO3 HEMBRA NEGATIVO </t>
    </r>
    <r>
      <rPr>
        <b/>
        <sz val="9"/>
        <color theme="1"/>
        <rFont val="Arial"/>
        <family val="2"/>
      </rPr>
      <t xml:space="preserve"> COP UC M M12 1 N/A 4mm2 20A</t>
    </r>
  </si>
  <si>
    <r>
      <t>CONECTOR MULTICONTACT TIPO3 MACHO POSITIVO</t>
    </r>
    <r>
      <rPr>
        <b/>
        <sz val="9"/>
        <color theme="1"/>
        <rFont val="Arial"/>
        <family val="2"/>
      </rPr>
      <t xml:space="preserve"> COP UC H M12 1 N/A 4mm2 20A</t>
    </r>
  </si>
  <si>
    <r>
      <t>CONECTOR MULTICONTACT TIPO 4 MACHO POSITIVO</t>
    </r>
    <r>
      <rPr>
        <b/>
        <sz val="9"/>
        <color theme="1"/>
        <rFont val="Arial"/>
        <family val="2"/>
      </rPr>
      <t xml:space="preserve"> COP UC H M12 1 N/A 6mm2 30A</t>
    </r>
  </si>
  <si>
    <r>
      <t>CONECTOR MULTICONTACT TIPO4 HEMBRA NEGATIVO</t>
    </r>
    <r>
      <rPr>
        <b/>
        <sz val="9"/>
        <color theme="1"/>
        <rFont val="Arial"/>
        <family val="2"/>
      </rPr>
      <t xml:space="preserve"> COP UC M M12 1 N/A 6mm2 30A</t>
    </r>
  </si>
  <si>
    <t>AAV0017</t>
  </si>
  <si>
    <t>KIT SINC EQ. MODULARES 125 kW DIGITALES (cable)</t>
  </si>
  <si>
    <t>REPETIDOR SINCRONISMO FIBRA (iguales xo switch a un lado o al otro)</t>
  </si>
  <si>
    <t>Disyuntor magnetotermico 0.. 6 Amperios Ics 100 kA</t>
  </si>
  <si>
    <t>RVDC (*)</t>
  </si>
  <si>
    <t>Descargador 690 V 20 kA</t>
  </si>
  <si>
    <t>CAJA CONDENSADORES TRIFÁSICA 90uF 275Vac</t>
  </si>
  <si>
    <t>VARIADOR INGECON SUN TRIFASICO CON CONEXIÓN A RED 100 KW TL</t>
  </si>
  <si>
    <t>Disyuntor magnetotermico 13 .. 18 Amperios Ics 100 kA</t>
  </si>
  <si>
    <t>RV1,RV2</t>
  </si>
  <si>
    <t>descargador pre-ultimo de iskra</t>
  </si>
  <si>
    <t>nueva seta</t>
  </si>
  <si>
    <t>HW DE DISPLAY ,TECLADO Y LEDS, PARA INGECON SUN. AISLADO.</t>
  </si>
  <si>
    <t>QDC1.SW</t>
  </si>
  <si>
    <t>Contacto auxiliar de precorte y señalización de la posición</t>
  </si>
  <si>
    <t>Q2.C</t>
  </si>
  <si>
    <t>IQ2</t>
  </si>
  <si>
    <t>Q21</t>
  </si>
  <si>
    <t>Limitador para disyuntor magnetotermico</t>
  </si>
  <si>
    <t>Q31</t>
  </si>
  <si>
    <t>Se va al 32A</t>
  </si>
  <si>
    <t>Q51</t>
  </si>
  <si>
    <t>seta vieja</t>
  </si>
  <si>
    <t>FILTRO ARMONICOS DE CONMUTACIÓN PARA EQUIPOS DE 60 A 100 KW</t>
  </si>
  <si>
    <t>AAS0023</t>
  </si>
  <si>
    <t>HW FILTRO AMORTIGUAMIENTO DE RED PARA EQUIPOS DE 80 A 100 KW</t>
  </si>
  <si>
    <t>Disyuntor magnetotermico 20 …25 Amperios Ics 100 Ka</t>
  </si>
  <si>
    <t>Q6.C</t>
  </si>
  <si>
    <t>IQ6</t>
  </si>
  <si>
    <t>Señalizador para magnetotermico de captación de continua</t>
  </si>
  <si>
    <t>Q6</t>
  </si>
  <si>
    <t>Magnetotermico continua 6 amperios 4 Polos</t>
  </si>
  <si>
    <t>Fusible 63 Amperios con percutor</t>
  </si>
  <si>
    <t>Base de fusibles 3F con microswitch</t>
  </si>
  <si>
    <t>REPUESTOS INGECON SUN 100TL v_D</t>
  </si>
  <si>
    <t>REPUESTOS INGECON SUN 100TL v_C</t>
  </si>
  <si>
    <t>REPUESTOS INGECON SUN 100TL v_B</t>
  </si>
  <si>
    <t>REPUESTOS INGECON SUN 100TL v_A</t>
  </si>
  <si>
    <t>REPUESTOS INGECON SUN 100TL v_</t>
  </si>
  <si>
    <t>RVDC (*): en esta versión homologamos dos descargadores RVDC:</t>
  </si>
  <si>
    <t>Se deberá preguntar al cliente cuál de los dos descargadores monta su equipo para poder suministrar el repuesto adecuado.</t>
  </si>
  <si>
    <t>DEHN 952515 (SAP 106110278)</t>
  </si>
  <si>
    <t>ISKRA 516 047 (SAP 106114700)</t>
  </si>
  <si>
    <t>LISTADO DE REPUESTOS INGECON SUN 125TL Versión _</t>
  </si>
  <si>
    <t>VARIADOR Ingecon Sun 10</t>
  </si>
  <si>
    <t>VARIADOR Ingecon Sun 11</t>
  </si>
  <si>
    <t>VARIADOR Ingecon Sun 12,5</t>
  </si>
  <si>
    <t>VARIADOR Ingecon Sun 15</t>
  </si>
  <si>
    <t>VARIADOR Ingecon Sun 20 IP54</t>
  </si>
  <si>
    <t>AAS7122</t>
  </si>
  <si>
    <t>VARIADOR Ingecon Sun 20 IP20</t>
  </si>
  <si>
    <t>VARIADOR Ingecon Sun 25 IP20</t>
  </si>
  <si>
    <t>VARIADOR Ingecon Sun 25 IP54</t>
  </si>
  <si>
    <t>VARIADOR Ingecon Sun 30 IP54</t>
  </si>
  <si>
    <t>VARIADOR Ingecon Sun 50</t>
  </si>
  <si>
    <t>VARIADOR Ingecon Sun 60</t>
  </si>
  <si>
    <t>AAS7105</t>
  </si>
  <si>
    <t>VARIADOR Ingecon Sun 70</t>
  </si>
  <si>
    <t>AAS7100</t>
  </si>
  <si>
    <t>VARIADOR Ingecon Sun 80</t>
  </si>
  <si>
    <t>VARIADOR Ingecon Sun 90</t>
  </si>
  <si>
    <t>VARIADOR INGECON SUN 100</t>
  </si>
  <si>
    <t>RC filter for filter coil</t>
  </si>
  <si>
    <t>Three phase contactor 400A</t>
  </si>
  <si>
    <t>NS400/630 Mando rotativo prolongador emp Negra</t>
  </si>
  <si>
    <t>Description</t>
  </si>
  <si>
    <t>Ref.</t>
  </si>
  <si>
    <t xml:space="preserve">InterCompany Unit Price </t>
  </si>
  <si>
    <t>AAS7055</t>
  </si>
  <si>
    <t>Caja strings</t>
  </si>
  <si>
    <t>AAS0104</t>
  </si>
  <si>
    <t>HW DIODOS ANTI-INVERSIÓN STRINGS</t>
  </si>
  <si>
    <t>AAS0126</t>
  </si>
  <si>
    <t>HW MEDIDA CORRIENTE DE 16S SIN FUS</t>
  </si>
  <si>
    <t>F1+,…,F16+, F1-,…,F16-</t>
  </si>
  <si>
    <t>F1+,…,F16+, F1-,…,F16-, Faux</t>
  </si>
  <si>
    <t>Portafusible 1000Vdc 10x38</t>
  </si>
  <si>
    <t>Faux</t>
  </si>
  <si>
    <t>Fusible 440mA, 1000V 10,3x35mm</t>
  </si>
  <si>
    <t>X+, X-</t>
  </si>
  <si>
    <t>RVDC (KIT AAS0144)</t>
  </si>
  <si>
    <t>QDC (KIT AAS0145)</t>
  </si>
  <si>
    <t>x 125kW</t>
  </si>
  <si>
    <t>x 156kW</t>
  </si>
  <si>
    <t>Capacitor for centrifugal fan EBM 10uF</t>
  </si>
  <si>
    <t>Thermal magnetic breaker 24 .. 32 Amps Ics 100 Ka</t>
  </si>
  <si>
    <t>Thermal magnetic breaker 6 .. 10 Amps Ics 100 Ka</t>
  </si>
  <si>
    <t>Thermal magnetic breaker 0.1 .. 0.16 Amps Ics 100 Ka</t>
  </si>
  <si>
    <t>Thermal magnetic breaker 13 .. 18 Amps Ics 100 Ka</t>
  </si>
  <si>
    <t>Coils LC1-F400 at 220/230AC</t>
  </si>
  <si>
    <t>Descargador AC 230 V 20 kA</t>
  </si>
  <si>
    <t>Descargador AC 690 V 20 kA</t>
  </si>
  <si>
    <t>x 156kW MS</t>
  </si>
  <si>
    <t>x 125kW MS</t>
  </si>
  <si>
    <t>REF.</t>
  </si>
  <si>
    <t>AAP0107 sustituye a AAP0007</t>
  </si>
  <si>
    <t>AAP0106 y lleva kit AAP0109</t>
  </si>
  <si>
    <t>NO+NC contact</t>
  </si>
  <si>
    <t>15 Vdc external power supply</t>
  </si>
  <si>
    <t>Box three phase capacitors 90uF 275Vac</t>
  </si>
  <si>
    <t>Hardware voltage capture DC 1000V</t>
  </si>
  <si>
    <t>4 pole switch-breaker 400A 900Vdc</t>
  </si>
  <si>
    <t>Fuse adaptor kit</t>
  </si>
  <si>
    <t>Terminal cover for disconnect switch OESA</t>
  </si>
  <si>
    <t>DC cut out switch 395mm</t>
  </si>
  <si>
    <t>Breaker lever</t>
  </si>
  <si>
    <t>Fuse type UR 550 A for 900 Vdc</t>
  </si>
  <si>
    <t>Dc voltage surge arrestor</t>
  </si>
  <si>
    <t>Auxiliary contact for NC emergency button</t>
  </si>
  <si>
    <t>Emergency push button</t>
  </si>
  <si>
    <t>Centrifugal fan 220V 50Hz</t>
  </si>
  <si>
    <t>Matrix display hardware, key pad, Leds</t>
  </si>
  <si>
    <t>Fibre optics synchronising 1600mm</t>
  </si>
  <si>
    <t>Fibre optics synchronising 1900mm</t>
  </si>
  <si>
    <t>Fibre optics synchronising 2520mm</t>
  </si>
  <si>
    <t>Fibre optics synchronising 3160mm</t>
  </si>
  <si>
    <t>Hardware fibre synchronising signal</t>
  </si>
  <si>
    <t>Fuse, 63Amps.</t>
  </si>
  <si>
    <t>OF contacts</t>
  </si>
  <si>
    <t>AC surge arrestor 690V</t>
  </si>
  <si>
    <t>Electronic Block  Dig 3Phase 125kW</t>
  </si>
  <si>
    <t>Electronic Block  Dig 3Phase 156kW</t>
  </si>
  <si>
    <t>Electronic Block  Dig 3Phase 125kW MS</t>
  </si>
  <si>
    <t>Electronic Block  Dig 3Phase 156kW MS</t>
  </si>
  <si>
    <t>Anchor kit IS4x125kW</t>
  </si>
  <si>
    <t>Interruptor DC</t>
  </si>
  <si>
    <t>Magneto AC</t>
  </si>
  <si>
    <t>Prot. Aux. AC</t>
  </si>
  <si>
    <t>Contactor AC</t>
  </si>
  <si>
    <t>AAS0026 ó AAS0178</t>
  </si>
  <si>
    <t>Bañera para proteger medición de VDC</t>
  </si>
  <si>
    <t>saber versión</t>
  </si>
  <si>
    <t>Fan=</t>
  </si>
  <si>
    <t>Hw nuestr</t>
  </si>
  <si>
    <t>Protección sobretensión AC</t>
  </si>
  <si>
    <t>Si es ver anterior a C (probable) buscar cuál</t>
  </si>
  <si>
    <t>FAMILIA INGECON SUN TRIFASICO 10-15KW IP54</t>
  </si>
  <si>
    <t>Kit cambio de tipo 4 a tipo 3</t>
  </si>
  <si>
    <t>AAS0068</t>
  </si>
  <si>
    <t>AAS0069</t>
  </si>
  <si>
    <t>AAS0123</t>
  </si>
  <si>
    <t>AAS0168</t>
  </si>
  <si>
    <t>AAS0107</t>
  </si>
  <si>
    <t xml:space="preserve">AAS0042 </t>
  </si>
  <si>
    <t xml:space="preserve">KIT PROTECCION MAGNETOTERMICA DIFERENCIAL ENTRADA AC MAGNETOTERMICO DC Y SEGUIDOR SIMPLE EJE. (KIT ACCIONA BUSKIL K12) </t>
  </si>
  <si>
    <t xml:space="preserve">AAS0056 </t>
  </si>
  <si>
    <t xml:space="preserve">KIT PROTECCION MAGNETOTERMICA DIFERENCIAL CON DESCARGADORES AC Y SECCIONADOR DC (KIT GUASCOR SOLAR) </t>
  </si>
  <si>
    <t xml:space="preserve">AAS0068 </t>
  </si>
  <si>
    <t xml:space="preserve">KIT PROTECCIÓN SOBRETENSIÓN AC EQUIPOS HASTA 15KW IP54 </t>
  </si>
  <si>
    <t xml:space="preserve">AAS0069 </t>
  </si>
  <si>
    <t xml:space="preserve">KIT PROTECCIÓN SOBRETENSIÓN DC EQUIPOS HASTA 15KW IP54 </t>
  </si>
  <si>
    <t xml:space="preserve">AAS0086 </t>
  </si>
  <si>
    <t xml:space="preserve">KIT DE AJUSTE DE EQUIPOS TRIFÁSICOS PARA TAIWAN </t>
  </si>
  <si>
    <t xml:space="preserve">AAS0089 </t>
  </si>
  <si>
    <r>
      <t>KIT PARA EQUIPOS TRIFÁSICOS DE 10 A 15 KW IP54 PARA ITALIA (</t>
    </r>
    <r>
      <rPr>
        <b/>
        <sz val="11"/>
        <color rgb="FF000000"/>
        <rFont val="Calibri"/>
        <family val="2"/>
      </rPr>
      <t>INCLUYE KIT AAS0123</t>
    </r>
    <r>
      <rPr>
        <sz val="11"/>
        <color rgb="FF000000"/>
        <rFont val="Calibri"/>
        <family val="2"/>
      </rPr>
      <t xml:space="preserve">) </t>
    </r>
  </si>
  <si>
    <t xml:space="preserve">AAS0094 </t>
  </si>
  <si>
    <t xml:space="preserve">KIT AJUSTE EQUIPOS TRIFÁSICOS PARA CHINA </t>
  </si>
  <si>
    <t xml:space="preserve">AAS0099 </t>
  </si>
  <si>
    <t xml:space="preserve">KIT DE DESCONEXIÓN DEL NEUTRO DE LA ETAPA DE POTENCIA PARA AAS7040 Y AAS7042 </t>
  </si>
  <si>
    <t xml:space="preserve">AAS0103 </t>
  </si>
  <si>
    <t xml:space="preserve">KIT FUENTE NOCTURNA PARA EQUIPOS DE 10 A 15KW IP54 </t>
  </si>
  <si>
    <t xml:space="preserve">KIT CONEXIÓN A TIERRA DEL CAMPO SOLAR PARA EQUIPOS DE 10 A 15KW IP54 </t>
  </si>
  <si>
    <t xml:space="preserve">AAS0119 </t>
  </si>
  <si>
    <t xml:space="preserve">KIT ADAPTACIÓN EQUIPOS DE 10 A 15KW PARA MINIEÓLICA </t>
  </si>
  <si>
    <t xml:space="preserve">AAS0123 </t>
  </si>
  <si>
    <t xml:space="preserve">KIT SECCIONADOR DE CAMPO SOLAR PARA EQUIPOS HASTA 15KW IP54 </t>
  </si>
  <si>
    <t xml:space="preserve">AAS0125 </t>
  </si>
  <si>
    <t>KIT DE ADAPTACIÓN DE AAS0123 PARA INTRODUCIR KIT DE PROTCCIÓN SOBRETENSIÓN DC</t>
  </si>
  <si>
    <t xml:space="preserve">AAS0127 </t>
  </si>
  <si>
    <t xml:space="preserve">KIT PARA ADAPTAR EQUIPOS TRIFÁSICOS A FRANCIA DE ULTRAMAR </t>
  </si>
  <si>
    <t xml:space="preserve">AAS0134 </t>
  </si>
  <si>
    <t xml:space="preserve">KIT ADAP INV TRIF FRANCIA CONTINENTAL </t>
  </si>
  <si>
    <t xml:space="preserve">AAS0148 </t>
  </si>
  <si>
    <t xml:space="preserve">KIT ALEMANIA IS DE 10 A 15KW IP54 </t>
  </si>
  <si>
    <t xml:space="preserve">AAS0159 </t>
  </si>
  <si>
    <t xml:space="preserve">KIT VDE0126-1-1 INGLÉS </t>
  </si>
  <si>
    <t xml:space="preserve">AAS0168 </t>
  </si>
  <si>
    <r>
      <t>KIT ENTRADAS TIPO 3 PARA EQUIPOS 10-15KW IP54 (</t>
    </r>
    <r>
      <rPr>
        <b/>
        <sz val="11"/>
        <color rgb="FF000000"/>
        <rFont val="Calibri"/>
        <family val="2"/>
      </rPr>
      <t>A PARTIR VERSIÓN AAS7040_F Y AAS7042_C</t>
    </r>
    <r>
      <rPr>
        <sz val="11"/>
        <color rgb="FF000000"/>
        <rFont val="Calibri"/>
        <family val="2"/>
      </rPr>
      <t>)</t>
    </r>
  </si>
  <si>
    <t xml:space="preserve">AAS0169 </t>
  </si>
  <si>
    <t xml:space="preserve">KIT TRIFÁSICOS SINGAPUR </t>
  </si>
  <si>
    <t xml:space="preserve">AAS0157 </t>
  </si>
  <si>
    <t xml:space="preserve">KIT ENTR. MC4 PARA EQUIPOS 10-15KW IP54 (APLICABLE SÓLO PARA VERSIONES ANTERIORES A AAS7040_F ó AAS7042_C) </t>
  </si>
  <si>
    <t>NOTAS</t>
  </si>
  <si>
    <t>A partir de la versión AAS7040_F y AAS7042_C (Ambas inclusive) el equipo tiene display nuevo, variador digital y colores nuevos (blanco y rojo). Además viene de serie con MC4</t>
  </si>
  <si>
    <t>OTROS KITS EN DESUSO</t>
  </si>
  <si>
    <t>RVDC(*)</t>
  </si>
  <si>
    <t>Fan(da =)</t>
  </si>
  <si>
    <t>Fan (da=)</t>
  </si>
  <si>
    <t>Magnetotérmico NSX400H 400A 690V 3P 20kA E</t>
  </si>
  <si>
    <t>FAN</t>
  </si>
  <si>
    <t>el q tienen no vale</t>
  </si>
  <si>
    <t>Versiones analógicas</t>
  </si>
  <si>
    <t>Disy. Magn. Schneider)</t>
  </si>
  <si>
    <t>Contactor (Schneider) 106.111.971</t>
  </si>
  <si>
    <t>FAN(=)</t>
  </si>
  <si>
    <t>Magneto AC (Schneider)</t>
  </si>
  <si>
    <t>siempre el mismo en todas las vers.</t>
  </si>
  <si>
    <t xml:space="preserve">REPUESTOS INGECON SUN  TL v_DIGITAL AC/DC </t>
  </si>
  <si>
    <t>Desc. DC</t>
  </si>
  <si>
    <t xml:space="preserve">REPUESTOS INGECON SUN  TL v_A DIGITAL AC/DC </t>
  </si>
  <si>
    <t>Disy. Magn. (Schneider o GE)</t>
  </si>
  <si>
    <t xml:space="preserve">Contactor (Schneider o GE) </t>
  </si>
  <si>
    <t>Cjto. (Sch o GE)</t>
  </si>
  <si>
    <t>106111805 (ó 106.104.215)</t>
  </si>
  <si>
    <t>Cjto. Disyuntor magnetotermico 24 .. 32 Amperios Ics 100 Ka</t>
  </si>
  <si>
    <t>Cjto. Disyuntor magnetotermico 6 .. 10 Amperios Ics 100 Ka</t>
  </si>
  <si>
    <t>Cjto. Disyuntor magnetotermico 13 .. 18 Amperios Ics 100 Ka</t>
  </si>
  <si>
    <t>Cjto. Disyuntor magnetotermico 0.1 .. 0.16 Amperios Ics 100 Ka</t>
  </si>
  <si>
    <t>Seccionador DC (ABB)</t>
  </si>
  <si>
    <t>Magneto AC (Schneider o GE)</t>
  </si>
  <si>
    <t xml:space="preserve">REPUESTOS INGECON SUN  TL v_A DIGITAL DC </t>
  </si>
  <si>
    <t xml:space="preserve">REPUESTOS INGECON SUN  TL v_DIGITAL DC </t>
  </si>
  <si>
    <t>Disy. Magneto (Schneider)</t>
  </si>
  <si>
    <t>Filtro EMI 690V/400A Salida pletina</t>
  </si>
  <si>
    <t>P AC</t>
  </si>
  <si>
    <t xml:space="preserve">Tarjeta de Control (MPPT, PWM, lo fino, lo que se rompe) </t>
  </si>
  <si>
    <t>VARIADOR DIG INGECON SUN 156</t>
  </si>
  <si>
    <t>AAP0057</t>
  </si>
  <si>
    <t>Convertidor USB RS485</t>
  </si>
  <si>
    <t>AAY7903</t>
  </si>
  <si>
    <t>Fuente de alimentación Lite</t>
  </si>
  <si>
    <t>Synchronising kit 125kW modules</t>
  </si>
  <si>
    <t>KIT SINC EQ. MODULARES 125 kW DIGITALES (cable hasta 10m.)</t>
  </si>
  <si>
    <t>Fusible 1000V 440mA 10kA Cilíndrico 10,3x35mm</t>
  </si>
  <si>
    <t>1000V 440mA 10kA Cylindrical Fuse 10,3x35mm</t>
  </si>
  <si>
    <t>KIT ALIMENTACIÓN NOCTURNA 10-15</t>
  </si>
  <si>
    <t>KIT ALIMENTACIÓN NOCTURNA 20-30</t>
  </si>
  <si>
    <t>AAS0182</t>
  </si>
  <si>
    <t>AAS0103</t>
  </si>
  <si>
    <t>Relé 12 V/16 A</t>
  </si>
  <si>
    <t>Varistor 505Vdc 1W</t>
  </si>
  <si>
    <t>Caja condensadores trifasicas 90uF 275 Vac (filtro armónicos de conm.)</t>
  </si>
  <si>
    <t>CONJ MAGNETOTERMICO 400A (EP) SCHNEIDER</t>
  </si>
  <si>
    <t>QA</t>
  </si>
  <si>
    <t>Cod. Ingeteam</t>
  </si>
  <si>
    <t>REPUESTOS INGECON SUN 500_</t>
  </si>
  <si>
    <t>HW FILTR ARMON CONMUT EQ 60 A 100 KW</t>
  </si>
  <si>
    <t>HW FILTRO AMORTRED EQUIPOS 60 A 100 KW</t>
  </si>
  <si>
    <t>IQ2X, IQ3X,IQ4X,IQ5X</t>
  </si>
  <si>
    <t>Contactos OF (Señalizador)</t>
  </si>
  <si>
    <t>Int Aut</t>
  </si>
  <si>
    <t>CubreBornas</t>
  </si>
  <si>
    <t>Espigas</t>
  </si>
  <si>
    <t>Mando prolong 500mm</t>
  </si>
  <si>
    <t>Cont. Aux</t>
  </si>
  <si>
    <t>IQ2X,IQ4X,IQ5X</t>
  </si>
  <si>
    <t>AAS0121</t>
  </si>
  <si>
    <t>viejos (MC3)</t>
  </si>
  <si>
    <t>nuevos (MC4)</t>
  </si>
  <si>
    <t>AAS0075</t>
  </si>
  <si>
    <t>Tarjeta de adaptación de la captación de tensión DC a 2000V en Ingecon Sun Trifásicos</t>
  </si>
  <si>
    <t>Monof.</t>
  </si>
  <si>
    <t>Tarj. Control</t>
  </si>
  <si>
    <t>Tarj. Potencia</t>
  </si>
  <si>
    <t>Tarj. Display</t>
  </si>
  <si>
    <t>AAY0014</t>
  </si>
  <si>
    <t>&gt;100</t>
  </si>
  <si>
    <t>AAY0008</t>
  </si>
  <si>
    <t>AAY0007</t>
  </si>
  <si>
    <t>Tarj. Captaciones</t>
  </si>
  <si>
    <t>Tarj. Drivers</t>
  </si>
  <si>
    <t>AAS0002</t>
  </si>
  <si>
    <t>FAN (no da =)</t>
  </si>
  <si>
    <t>sap</t>
  </si>
  <si>
    <t>AAY0014(AAP0019+2cables planos)</t>
  </si>
  <si>
    <t>AAS0002 (a partir de 70)</t>
  </si>
  <si>
    <t>50-60</t>
  </si>
  <si>
    <t>70 a 100</t>
  </si>
  <si>
    <t>AAS0095</t>
  </si>
  <si>
    <t>AAS0055</t>
  </si>
  <si>
    <t>20 a 30</t>
  </si>
  <si>
    <t>10 a 15</t>
  </si>
  <si>
    <t>AAR0001</t>
  </si>
  <si>
    <t>bobina</t>
  </si>
  <si>
    <t>AQG0023</t>
  </si>
  <si>
    <t>equipos 500TL</t>
  </si>
  <si>
    <t>kit cableados</t>
  </si>
  <si>
    <t>IBC02</t>
  </si>
  <si>
    <t>IBC01</t>
  </si>
  <si>
    <t>coste a Paneles</t>
  </si>
  <si>
    <t>Moura</t>
  </si>
  <si>
    <t>pvp</t>
  </si>
  <si>
    <t>Tornillos para los terminales de continua (TMN DIN933 M12x35 ACERO Inox.A2-70)</t>
  </si>
  <si>
    <t>KIT SPI EXT INV TRIF 70-100 KW IP54 ITALIA</t>
  </si>
  <si>
    <t>Pegatina indicando equipo aterrado y peligro</t>
  </si>
  <si>
    <t>Precio InterCompany</t>
  </si>
  <si>
    <t>TARJETAS</t>
  </si>
  <si>
    <t>Tarjeta Control</t>
  </si>
  <si>
    <t>Tarjetas ethernet/RS485 trifásicos</t>
  </si>
  <si>
    <t>Tarjetas ethernet/RS485 lite</t>
  </si>
  <si>
    <t>AAX0023</t>
  </si>
  <si>
    <t>Batería tarj. Control (BNR 2032 3V 230mAh Litio)</t>
  </si>
  <si>
    <t>TMN DIN933 M10X20 ACERO INOX. A2-70 (Tornillos M10 para variadores a partir de 60kW)</t>
  </si>
  <si>
    <t>5uds/var</t>
  </si>
  <si>
    <t>LISTADO DE REPUESTOS INGECON SUN 100 -Versión _G</t>
  </si>
  <si>
    <t>106111647</t>
  </si>
  <si>
    <t>Descargador 230 V 20 kA</t>
  </si>
  <si>
    <t>VARIADOR INGECON SUN TRIFASICO CON CONEXIÓN A RED 100 KW</t>
  </si>
  <si>
    <t>106104221</t>
  </si>
  <si>
    <t>Disyuntor magnetotermico 20 .. 25 Amperios Ics 100 Ka</t>
  </si>
  <si>
    <t>FILTRO AMORTIGUAMIENTO DE RED PARA EQUIPOS DE 80 A 100 KW</t>
  </si>
  <si>
    <t>Señalizador para magnetotermico de captación de continuaº</t>
  </si>
  <si>
    <t>HW FILTRO ARMONICOS DE CONMUTACIÓN PARA EQUIPOS DE 60 A 100 KW</t>
  </si>
  <si>
    <t>QDC deshomologado</t>
  </si>
  <si>
    <t>S1</t>
  </si>
  <si>
    <t>Señalizador para Seccionador</t>
  </si>
  <si>
    <t>Mando prolongador para seccionador GS1QQ3 longitud 400 mm</t>
  </si>
  <si>
    <t>Maneta para mando exterior frontal Negra/Negra</t>
  </si>
  <si>
    <t>SECCIONADOR DESHOMOLOGADO, EXISTE UNA INSTRUCCIÓN DE TRABAJO PARA SUSTITUIRLO POR EL SOCOMEC</t>
  </si>
  <si>
    <t>QDC intercambiable</t>
  </si>
  <si>
    <t>FG1</t>
  </si>
  <si>
    <t>Proteccion magnetotermica, NS160N TM160D 3P 36KA</t>
  </si>
  <si>
    <t/>
  </si>
  <si>
    <t>NS100/250 Mando rotativo prol emp Negra</t>
  </si>
  <si>
    <t>Contactor trifásico 115A</t>
  </si>
  <si>
    <t>Modulo RC 110/240V</t>
  </si>
  <si>
    <t>Contacto Auxiliar 1NA 1NC para LC1D115</t>
  </si>
  <si>
    <t>Fusible tamaño 2 315A gG con percutor</t>
  </si>
  <si>
    <t>RV1,RV2,RV3</t>
  </si>
  <si>
    <t>Descargador continua 1000 V VAV 1000</t>
  </si>
  <si>
    <t>F3,F4,F5,F6,F7,F8</t>
  </si>
  <si>
    <t>Condensador de filtro de armonicos 3x33uF triángulo</t>
  </si>
  <si>
    <t>EL VARIADOR REPUESTO DEBE SER ACTUAL PERO EXISTE UNA INSTRUCCIÓN DE TRABAJO PARA ADECUAR EL BORNERO</t>
  </si>
  <si>
    <t>REPUESTOS CAJA STRINGS (AAS7055)</t>
  </si>
  <si>
    <t>AAP7906</t>
  </si>
  <si>
    <t>concepto</t>
  </si>
  <si>
    <t>uds</t>
  </si>
  <si>
    <t>Precio Acciona</t>
  </si>
  <si>
    <t>aqg0023</t>
  </si>
  <si>
    <t>Tarjeta drivers 10-15kW</t>
  </si>
  <si>
    <t>Tarjeta drivers 20-30kW</t>
  </si>
  <si>
    <t>AAS0121 (distinto HW 10-15, 20-30, 50-90 y más de 100)</t>
  </si>
  <si>
    <t>AAS0044</t>
  </si>
  <si>
    <t>filtro RC xa cargas inductivas</t>
  </si>
  <si>
    <t>en primeras versiones del de 11 era la AAR0001</t>
  </si>
  <si>
    <t>en todas las versiones</t>
  </si>
  <si>
    <t>Tarjeta drivers 50-80kW</t>
  </si>
  <si>
    <t>Tarjeta drivers 90 kW en adelante</t>
  </si>
  <si>
    <t>CONECTOR COMUNICACIONES RS485 AEREO</t>
  </si>
  <si>
    <t>AAY0013</t>
  </si>
  <si>
    <t>Borna XAC (500TL) BCA 1000V 300mm2 520A ES 2 N/A N F</t>
  </si>
  <si>
    <t>Kit Radio para AAX0006</t>
  </si>
  <si>
    <t>Kit Módem GPRS para AAX0006 </t>
  </si>
  <si>
    <t>HW TARJETA DE COMUNICACIÓN RF + RS485     </t>
  </si>
  <si>
    <t>CABLE ACCESORIOS COMS-485 AAY0000          </t>
  </si>
  <si>
    <t>HW TARJETA DE COMUNICACIÓN INALÁMBRICA PARA INGECON SUN</t>
  </si>
  <si>
    <t xml:space="preserve">Kit de Modificación de Zona Lógica en radio AAX0005 para AAX0006 </t>
  </si>
  <si>
    <t>AQL0090</t>
  </si>
  <si>
    <t>AQL0089</t>
  </si>
  <si>
    <t>AAX0014</t>
  </si>
  <si>
    <t>AAX0013</t>
  </si>
  <si>
    <t>AAX0012</t>
  </si>
  <si>
    <t>AAX0005</t>
  </si>
  <si>
    <t>AAX0009</t>
  </si>
  <si>
    <t>CABLE DE CAN CONTROL POTENCIA SP1 AAY0000  </t>
  </si>
  <si>
    <t>ver precios distrib.</t>
  </si>
  <si>
    <r>
      <t xml:space="preserve">1 CONECTOR RED Aislante macho HARTING 09200032611  </t>
    </r>
    <r>
      <rPr>
        <b/>
        <sz val="8"/>
        <color rgb="FFFF0000"/>
        <rFont val="Arial"/>
        <family val="2"/>
      </rPr>
      <t>EQUIPO (XCO32611)</t>
    </r>
  </si>
  <si>
    <r>
      <t xml:space="preserve">1 CONECTOR RED Prensa plástico M20 dia. 10-14mm HARTING 19000005184  </t>
    </r>
    <r>
      <rPr>
        <b/>
        <sz val="8"/>
        <color rgb="FFFF0000"/>
        <rFont val="Arial"/>
        <family val="2"/>
      </rPr>
      <t>AÉREO (XCO05184)</t>
    </r>
  </si>
  <si>
    <r>
      <t xml:space="preserve">1 CONECTOR RED Capota recta plástico M 20 HARTING 19200030420  </t>
    </r>
    <r>
      <rPr>
        <b/>
        <sz val="8"/>
        <color rgb="FFFF0000"/>
        <rFont val="Arial"/>
        <family val="2"/>
      </rPr>
      <t>AÉREO (XCO30420)</t>
    </r>
  </si>
  <si>
    <r>
      <t xml:space="preserve">1 CONECTOR RED Aislante hembra HARTING 09200032711  </t>
    </r>
    <r>
      <rPr>
        <b/>
        <sz val="8"/>
        <color rgb="FFFF0000"/>
        <rFont val="Arial"/>
        <family val="2"/>
      </rPr>
      <t>AÉREO (XCO32711)</t>
    </r>
  </si>
  <si>
    <r>
      <t xml:space="preserve">1 CONECTOR RED Base empotrar plástico HARTING 09200030320  </t>
    </r>
    <r>
      <rPr>
        <b/>
        <sz val="8"/>
        <color rgb="FFFF0000"/>
        <rFont val="Arial"/>
        <family val="2"/>
      </rPr>
      <t>EQUIPO (XCO30320)</t>
    </r>
  </si>
  <si>
    <t>Lite (AAY0500IAD)</t>
  </si>
  <si>
    <t>COA UC M 3 N/A 25A – Conector AC 3 polos base Macho (Wieland Electric RST25I3 96.032.5054.3)</t>
  </si>
  <si>
    <t>COA UC H 3 N/A 25A – Conector AC 3 polos aéreo Hembra(Wieland Electric RST25I3 96.031.4154.3)</t>
  </si>
  <si>
    <t>Conector salida AC Monof.  Hasta 5 viejos (AAP7030)</t>
  </si>
  <si>
    <t>AAX7002</t>
  </si>
  <si>
    <t>AAX7004</t>
  </si>
  <si>
    <t>AAX7009</t>
  </si>
  <si>
    <t>AAX7019</t>
  </si>
  <si>
    <t>AAX7022</t>
  </si>
  <si>
    <t>AAX7023</t>
  </si>
  <si>
    <t>Contactor 690V 32A 230V CA 3P</t>
  </si>
  <si>
    <t>Cuando son kits como repuestos en vez de producción, se añade un 25% hasta que se definan.</t>
  </si>
  <si>
    <t>Parte</t>
  </si>
  <si>
    <t>F1, F2</t>
  </si>
  <si>
    <t>Q1,C</t>
  </si>
  <si>
    <t>AAS71000</t>
  </si>
  <si>
    <t>RV DC</t>
  </si>
  <si>
    <t>Q2,Q5</t>
  </si>
  <si>
    <t>Q21,Q31,Q51</t>
  </si>
  <si>
    <t>AAS0049 F10 F11</t>
  </si>
  <si>
    <t>F6-8</t>
  </si>
  <si>
    <t>Cubrebornas para NS100/250</t>
  </si>
  <si>
    <t>Q1.1</t>
  </si>
  <si>
    <t>SW2</t>
  </si>
  <si>
    <t xml:space="preserve">EFU10400            </t>
  </si>
  <si>
    <t xml:space="preserve">DESCARGADOR DE DC </t>
  </si>
  <si>
    <t xml:space="preserve">AMG04250            </t>
  </si>
  <si>
    <t>4.2</t>
  </si>
  <si>
    <t xml:space="preserve">AMG24250            </t>
  </si>
  <si>
    <t>4.3</t>
  </si>
  <si>
    <t xml:space="preserve">XBN04250            </t>
  </si>
  <si>
    <t>4.4</t>
  </si>
  <si>
    <t xml:space="preserve">ACA04250            </t>
  </si>
  <si>
    <t xml:space="preserve">ACN00076            </t>
  </si>
  <si>
    <t>5.1</t>
  </si>
  <si>
    <t xml:space="preserve">ABO00077            </t>
  </si>
  <si>
    <t>5.2</t>
  </si>
  <si>
    <t xml:space="preserve">ACA00061            </t>
  </si>
  <si>
    <t>5.3</t>
  </si>
  <si>
    <t xml:space="preserve">ACA00088            </t>
  </si>
  <si>
    <t>BLOQUE CONT.AUX.FRONTAL NA+NC</t>
  </si>
  <si>
    <t xml:space="preserve">APR13018            </t>
  </si>
  <si>
    <t xml:space="preserve">APR00013            </t>
  </si>
  <si>
    <t xml:space="preserve">APR00222            </t>
  </si>
  <si>
    <t xml:space="preserve">APR00201            </t>
  </si>
  <si>
    <t>FSAS0023</t>
  </si>
  <si>
    <t>FSAS0026</t>
  </si>
  <si>
    <t xml:space="preserve">AFU18755            </t>
  </si>
  <si>
    <t>12.1</t>
  </si>
  <si>
    <t xml:space="preserve">AMG29338            </t>
  </si>
  <si>
    <t>12.2</t>
  </si>
  <si>
    <t xml:space="preserve">XBN29326            </t>
  </si>
  <si>
    <t>CUBREBORNE PARA NS100/250</t>
  </si>
  <si>
    <t>12.3</t>
  </si>
  <si>
    <t xml:space="preserve">ACA00051            </t>
  </si>
  <si>
    <t xml:space="preserve">EVE25001            </t>
  </si>
  <si>
    <t>13.1</t>
  </si>
  <si>
    <t xml:space="preserve">ECD99284            </t>
  </si>
  <si>
    <t>CONDENSADOR 60040002</t>
  </si>
  <si>
    <t xml:space="preserve">VEM40030            </t>
  </si>
  <si>
    <t>14.1</t>
  </si>
  <si>
    <t>AAS71002</t>
  </si>
  <si>
    <t>Contactor 25 Amperios AC3 , 40 Amp AC1 , 50 Hz 1NA/1NC</t>
  </si>
  <si>
    <t>R1, R2, R3</t>
  </si>
  <si>
    <t>Resistencia siliconada 0,1R 90W</t>
  </si>
  <si>
    <t>F7, F8, F9, F10, F11, F12</t>
  </si>
  <si>
    <t xml:space="preserve">K1.RC </t>
  </si>
  <si>
    <t>ASS7140</t>
  </si>
  <si>
    <t>AAP0070</t>
  </si>
  <si>
    <t>aap0009</t>
  </si>
  <si>
    <t>AAS0021</t>
  </si>
  <si>
    <t>BOBINA TRIFÁSICA 250UH 320 A</t>
  </si>
  <si>
    <t>kit de cableado IS 500TL v_</t>
  </si>
  <si>
    <t>Equipo IS 500TL</t>
  </si>
  <si>
    <t>AAS0072</t>
  </si>
  <si>
    <t>Tarjeta de seguimiento 2 ejes (que no sea para Acciona)</t>
  </si>
  <si>
    <t>Tarjeta de seguimiento 1 eje para Acciona (Buskil)</t>
  </si>
  <si>
    <t>Tarjeta drivers (dispara IGBTS, perpend. A la de capt. En un lateral)</t>
  </si>
  <si>
    <r>
      <rPr>
        <sz val="10"/>
        <color rgb="FFFF0000"/>
        <rFont val="Arial"/>
        <family val="2"/>
      </rPr>
      <t>Q3X,</t>
    </r>
    <r>
      <rPr>
        <sz val="10"/>
        <color rgb="FF000000"/>
        <rFont val="Arial"/>
        <family val="2"/>
      </rPr>
      <t>Q5X</t>
    </r>
  </si>
  <si>
    <t>Q3 no vale para nada</t>
  </si>
  <si>
    <t>AAS0031</t>
  </si>
  <si>
    <t>AAS0102</t>
  </si>
  <si>
    <t>KIT ALIMENTACIÓN NOCTURNA 50-100</t>
  </si>
  <si>
    <t>KIT ALIMENTACIÓN NOCTURNA bloques 125kW (1/bloque)</t>
  </si>
  <si>
    <t>Fuente Alim. - AAS0018 (106200739)</t>
  </si>
  <si>
    <t xml:space="preserve">106.110.951      </t>
  </si>
  <si>
    <t>¿106.104.216  CMR 500mm CE IP55 Horizontal?</t>
  </si>
  <si>
    <t>106200926 </t>
  </si>
  <si>
    <t>ELEMENTOS MEC KIT ANCLAJE EQUIPO 25kW </t>
  </si>
  <si>
    <t>HW TARJETA DE COMUNICACIÓN RF + RS485 (Wireless) </t>
  </si>
  <si>
    <t>AAV6000IBC01_</t>
  </si>
  <si>
    <t>AAV6000IBC02_</t>
  </si>
  <si>
    <t>AAV7000_</t>
  </si>
  <si>
    <t>AAP0067</t>
  </si>
  <si>
    <t>Tarjetas ethernet trifásicos</t>
  </si>
  <si>
    <t>AQE0131</t>
  </si>
  <si>
    <t>AAU7001</t>
  </si>
  <si>
    <t>UPS 2,4kVA</t>
  </si>
  <si>
    <t>EMBALAJE PARA EQUIPO 10-25 kW. IP54</t>
  </si>
  <si>
    <t>HW CENTRO DE COMUNICACIONES    (Combox)</t>
  </si>
  <si>
    <t>KIT ATERRAMIENTO DC IS 10 25 kW IP20</t>
  </si>
  <si>
    <t>AAS0038</t>
  </si>
  <si>
    <t>BCA (Borna carril) 1000V 185mm2 353A ES 2 N/A N F</t>
  </si>
  <si>
    <t>Kit Seccionador DC para AAS7055 200A 1000V</t>
  </si>
  <si>
    <t>Kit Protección de sobretensión para AAS7055 2+1 1000V con monitorización</t>
  </si>
  <si>
    <t>Fusible 1000V 440mA 10kA Cilíndrico 10,3x35mm (en AAS0049)</t>
  </si>
  <si>
    <t>Lite 5 con secc (AAY7101)</t>
  </si>
  <si>
    <t>v_C xa equipos a partir de v_H inc. Sólo cambia borna X2 a X3</t>
  </si>
  <si>
    <t>Siba 900Vdc16A ó Bussmann 1000Vdc15A</t>
  </si>
  <si>
    <t>100 version_H-_I</t>
  </si>
  <si>
    <t>AAV0018 (el cambio que hay que añadir al AAV0009)</t>
  </si>
  <si>
    <t>AAP0030</t>
  </si>
  <si>
    <t>TJTA ALARMA ANTIRROBO PANELES FV</t>
  </si>
  <si>
    <t>AAS7904</t>
  </si>
  <si>
    <t>Ingeteam Code</t>
  </si>
  <si>
    <t>Código Ingeteam</t>
  </si>
  <si>
    <t>Tapa mecanizada para seccionador DC</t>
  </si>
  <si>
    <t>Plano con mecanizado AQE0168IGH01</t>
  </si>
  <si>
    <t>Inst. montaje kit secc. DC AAS0145IED01_</t>
  </si>
  <si>
    <t>020070204R26</t>
  </si>
  <si>
    <t>TOTAL</t>
  </si>
  <si>
    <t>DESCARGADOR DE CC</t>
  </si>
  <si>
    <t>ACA50011</t>
  </si>
  <si>
    <t>EFU00063</t>
  </si>
  <si>
    <t>AFU29324</t>
  </si>
  <si>
    <t>ARE50116</t>
  </si>
  <si>
    <t>DESCARGADOR 230V, 20KA</t>
  </si>
  <si>
    <t>ACN13267</t>
  </si>
  <si>
    <t>CONTACTOR 32A AC3, 50A AC1, 50Hz</t>
  </si>
  <si>
    <t>FSAS0014</t>
  </si>
  <si>
    <t>AAP0107</t>
  </si>
  <si>
    <t>RELÉS (¿Relé 12 V/16 A?)</t>
  </si>
  <si>
    <t>CONVERSOR RS485 - USB</t>
  </si>
  <si>
    <t>CABLE USB</t>
  </si>
  <si>
    <t>Relay 12V/16A</t>
  </si>
  <si>
    <t>AAS0194</t>
  </si>
  <si>
    <t>Kit filtro MC Continua Power</t>
  </si>
  <si>
    <t>lo llevan a partir de versión_I</t>
  </si>
  <si>
    <t>Units / inverter</t>
  </si>
  <si>
    <t>Unidades / inversor</t>
  </si>
  <si>
    <t>CPR AAP0006IBC02_A (Cable 34 vías 3 conectores)</t>
  </si>
  <si>
    <t>Conjunto seta emergencia</t>
  </si>
  <si>
    <t>INVERSOR</t>
  </si>
  <si>
    <t>KIT FILTRO MC LC CONTINUA INV. POWER MAX(AAV0035)</t>
  </si>
  <si>
    <t>FAN BOBINA MC 1.6mH 400A DIF 8A MC</t>
  </si>
  <si>
    <t>KIT FILTRO MC CONTINUA INV. SMART 10-15(AAS0199)</t>
  </si>
  <si>
    <t>KIT FILTRO MC CONTINUA INV. SMART 20-30(AAS0193)</t>
  </si>
  <si>
    <t>KIT FILTRO MC CONTINUA INV POWERMAX(AAV0020)</t>
  </si>
  <si>
    <t>Filtro equipos con trafo</t>
  </si>
  <si>
    <t>AQG0030 AAS0176 AAS0160</t>
  </si>
  <si>
    <t>PF3, PF4, PF5, PF6</t>
  </si>
  <si>
    <t>Conjunto Disyuntor magnetotermico 24...32 Amperios Ics 100kA</t>
  </si>
  <si>
    <t>Conjunto Disyuntor magnetotermico 6...10 Amperios Ics 100kA</t>
  </si>
  <si>
    <t>Conjunto Disyuntor magnetotermico 0.1...0.16 Amperios Ics 100kA</t>
  </si>
  <si>
    <t>Ventilador axial 230 V 50 Hz</t>
  </si>
  <si>
    <t>KIT FILTRO MC CONTINUA IS 100TL (AAS0200_A)</t>
  </si>
  <si>
    <t>AAS0125</t>
  </si>
  <si>
    <t>Entradas Rápidas MC4</t>
  </si>
  <si>
    <t>VER NOTAS</t>
  </si>
  <si>
    <t>KIT DE SECCIONADOR DE CAMPO SOLAR Y PROTECCION DE SOBRETENSION DC</t>
  </si>
  <si>
    <t>OTROS KITS EN DESHUSO</t>
  </si>
  <si>
    <t>_B</t>
  </si>
  <si>
    <t>CONTACTOR 690V 38A 12V CC 3P</t>
  </si>
  <si>
    <t>Kits MS</t>
  </si>
  <si>
    <t>Sujeción variador Smart</t>
  </si>
  <si>
    <r>
      <rPr>
        <sz val="7"/>
        <color rgb="FF1F497D"/>
        <rFont val="Times New Roman"/>
        <family val="1"/>
      </rPr>
      <t xml:space="preserve"> </t>
    </r>
    <r>
      <rPr>
        <sz val="11"/>
        <color rgb="FF1F497D"/>
        <rFont val="Calibri"/>
        <family val="2"/>
        <scheme val="minor"/>
      </rPr>
      <t>Tornillo DIN 933 M-8x20 A2-70 Inox</t>
    </r>
  </si>
  <si>
    <r>
      <rPr>
        <sz val="7"/>
        <color rgb="FF1F497D"/>
        <rFont val="Times New Roman"/>
        <family val="1"/>
      </rPr>
      <t xml:space="preserve"> </t>
    </r>
    <r>
      <rPr>
        <sz val="11"/>
        <color rgb="FF1F497D"/>
        <rFont val="Calibri"/>
        <family val="2"/>
        <scheme val="minor"/>
      </rPr>
      <t>Arandela Contact M-8 A2-70 Inox</t>
    </r>
  </si>
  <si>
    <t>Enjaulada Himel M-8</t>
  </si>
  <si>
    <t>AAT7910</t>
  </si>
  <si>
    <t>KIT SINCRONIZACIÓN VAR DIG 100TL-150TL (bañera)</t>
  </si>
  <si>
    <t>FTE ALIM PARA AAY0001 y AAY0014 (sustituye a la AAS7904)</t>
  </si>
  <si>
    <t>FTE ALIM PARA PROGR TARJETAS CONTROL (sustituido por la AAT7910)</t>
  </si>
  <si>
    <t>aax0022</t>
  </si>
  <si>
    <t>Modem GPRS Lite</t>
  </si>
  <si>
    <t>HW DE CONEXION JTAG- PUERTO PARALELO (acceder a los DSP)</t>
  </si>
  <si>
    <t>Seccionador en carga 900V 200A 4P</t>
  </si>
  <si>
    <t>No suministrar kit</t>
  </si>
  <si>
    <t>AAP0034 (AAP0022+conector)</t>
  </si>
  <si>
    <t xml:space="preserve">sustituido por 106109799 (es bueno pero no lo cambian en las listas de materiales los de I+D xq alguien lo cambió sin seguir el protocolo). </t>
  </si>
  <si>
    <t xml:space="preserve"> KIT ADAPTACION HUECOS SMART 10-15KW</t>
  </si>
  <si>
    <t>KIT ADAPTACION HUECOS SMART 20-30KW</t>
  </si>
  <si>
    <t>Nºequipos</t>
  </si>
  <si>
    <t>KIT INSTALACION TARJETA MODEM GSM/GPRS TRIFASICO</t>
  </si>
  <si>
    <t>KIT INSTALACION TARJETA MODEM GSM/GPRS COMBOX</t>
  </si>
  <si>
    <t>KIT INSTALACION TARJETA MODEM GSM/GPRS LITE-SMART TL</t>
  </si>
  <si>
    <t>1 (optional)</t>
  </si>
  <si>
    <t>Units recommended</t>
  </si>
  <si>
    <t>Nº inverters</t>
  </si>
  <si>
    <t>AAX0028 (incluye AP0057) el antiguo</t>
  </si>
  <si>
    <t>AAX0030 el nuevo</t>
  </si>
  <si>
    <t>No apto para equipos MS</t>
  </si>
  <si>
    <t>Descripción COMERCIAL (CASTELLANO)</t>
  </si>
  <si>
    <t>KIT ATERRAMIENTO DC IS 60 100 kW (también 100TL)</t>
  </si>
  <si>
    <t>LISTADO DE REPUESTOS INGECON SUN 100 Versiones_E-F</t>
  </si>
  <si>
    <t>LISTADO DE REPUESTOS INGECON SUN 100 Versión_D</t>
  </si>
  <si>
    <t>LISTADO DE REPUESTOS INGECON SUN 100 Versión_C</t>
  </si>
  <si>
    <t>LISTADO DE REPUESTOS INGECON SUN 100 Versión_B</t>
  </si>
  <si>
    <t>LISTADO DE REPUESTOS INGECON SUN 100 Versión_A</t>
  </si>
  <si>
    <t>LISTADO DE REPUESTOS INGECON SUN 100 Versión _</t>
  </si>
  <si>
    <t>AAV5000</t>
  </si>
  <si>
    <t>AAV5001</t>
  </si>
  <si>
    <t>AAV5002</t>
  </si>
  <si>
    <t>AAV5003</t>
  </si>
  <si>
    <t>AAS5002</t>
  </si>
  <si>
    <t>AAS5006</t>
  </si>
  <si>
    <t>AAS5003</t>
  </si>
  <si>
    <t>AAS5004</t>
  </si>
  <si>
    <t>AAS5005</t>
  </si>
  <si>
    <t>AAX0001</t>
  </si>
  <si>
    <t>AAP0022</t>
  </si>
  <si>
    <t xml:space="preserve">CABLE ACCESORIO COM-485 AAX0006  (AQL0103)        </t>
  </si>
  <si>
    <t>AAP0057 (viejo)</t>
  </si>
  <si>
    <t>KIT RS485-USB PARA INGECON SUN LITE</t>
  </si>
  <si>
    <t>KIT RS485-USB PARA INGECON SUN</t>
  </si>
  <si>
    <t>Consta de bobina AQG0108 y Filtro RC AAS0190</t>
  </si>
  <si>
    <t>KIT FILTRO MC LC CONTINUA INV. POWER CON TRAFO (AAS0194)</t>
  </si>
  <si>
    <t>KIT FILTRO LC CONTINUA IS 100 A 150 TL (AAV0042)</t>
  </si>
  <si>
    <t>100 version_J</t>
  </si>
  <si>
    <t>90 version_J</t>
  </si>
  <si>
    <t xml:space="preserve">Fusibles 1000V 4A 10kA Cil. 10x38 </t>
  </si>
  <si>
    <t>Fusibles 500V 4A 120kA Cil. 10x38 gG SI</t>
  </si>
  <si>
    <t>Relé 12V/8A 2CM 250VCA</t>
  </si>
  <si>
    <t>Bañera condensadores filtro MC RC POS y NEG 470uF</t>
  </si>
  <si>
    <t>AAS0196/7</t>
  </si>
  <si>
    <t>Portafusibles BFU 100V 1P Cil 10x38 SI</t>
  </si>
  <si>
    <t>F9</t>
  </si>
  <si>
    <t>F10,F11</t>
  </si>
  <si>
    <t>Para proteger medición de VDC</t>
  </si>
  <si>
    <t>EMC RC filter</t>
  </si>
  <si>
    <t>AAS0201</t>
  </si>
  <si>
    <t>AAS0202</t>
  </si>
  <si>
    <t>En equipos MS</t>
  </si>
  <si>
    <t>AAV0038</t>
  </si>
  <si>
    <t>AAS0196 y AAS0197 + bobina</t>
  </si>
  <si>
    <t xml:space="preserve">FILTRO MC AAS0196/7 </t>
  </si>
  <si>
    <t>Filtro MC RC POS y NEG 470uF</t>
  </si>
  <si>
    <t>Contacto Auxiliar NA+NC</t>
  </si>
  <si>
    <t>NO+NC auxiliar contact</t>
  </si>
  <si>
    <t>AAS0196 y AAS0197 (sin bobina)</t>
  </si>
  <si>
    <t>AAV0012 (4bloq)-AAV0013 (3bloq)-AAV0014 (2bloq)</t>
  </si>
  <si>
    <r>
      <rPr>
        <sz val="10"/>
        <rFont val="Arial"/>
        <family val="2"/>
      </rPr>
      <t>106201976</t>
    </r>
    <r>
      <rPr>
        <sz val="10"/>
        <color rgb="FFFF0000"/>
        <rFont val="Arial"/>
        <family val="2"/>
      </rPr>
      <t xml:space="preserve"> (106104169)</t>
    </r>
    <r>
      <rPr>
        <sz val="10"/>
        <color theme="1"/>
        <rFont val="Arial"/>
        <family val="2"/>
      </rPr>
      <t xml:space="preserve"> </t>
    </r>
  </si>
  <si>
    <r>
      <rPr>
        <sz val="10"/>
        <rFont val="Arial"/>
        <family val="2"/>
      </rPr>
      <t>106201975</t>
    </r>
    <r>
      <rPr>
        <sz val="10"/>
        <color rgb="FFFF0000"/>
        <rFont val="Arial"/>
        <family val="2"/>
      </rPr>
      <t xml:space="preserve"> (106110278)</t>
    </r>
    <r>
      <rPr>
        <sz val="10"/>
        <color theme="1"/>
        <rFont val="Arial"/>
        <family val="2"/>
      </rPr>
      <t xml:space="preserve"> </t>
    </r>
  </si>
  <si>
    <t xml:space="preserve">REPUESTOS INGECON SUN  TL v_B DIGITAL DC </t>
  </si>
  <si>
    <t>x 125kW MS v_A y B</t>
  </si>
  <si>
    <t>x 156kW MS v_A y B</t>
  </si>
  <si>
    <t>Opción MS ver v_A</t>
  </si>
  <si>
    <t xml:space="preserve">FILTRO MC AAS0190 </t>
  </si>
  <si>
    <t>RC POS Y NEG 3uF PARA FILTRO MC PARTE DC</t>
  </si>
  <si>
    <t>FX9,FX10</t>
  </si>
  <si>
    <t>FX11,FX12</t>
  </si>
  <si>
    <t>FUS 1000Vdc 4A 10kA Cilíndrico 10x38</t>
  </si>
  <si>
    <t>FUS 1000Vdc 15A 30kA Cilínd. 10x38</t>
  </si>
  <si>
    <t>1000Vdc 4A 10kA Cylindrical Fuse 10x38mm</t>
  </si>
  <si>
    <t>1000Vdc 15A 30kA Cylindrical Fuse 10x38mm</t>
  </si>
  <si>
    <t>RX1,RX2,RX3</t>
  </si>
  <si>
    <t>RDP Siliconada Tubular Bob 0R1 200W</t>
  </si>
  <si>
    <t>Menos de 10 inversores: 1 (optional)</t>
  </si>
  <si>
    <t>Era la AAX0009 sin RS485 (ya no se hace)</t>
  </si>
  <si>
    <t>Lote REPUESTOS INGECON SUN SMART</t>
  </si>
  <si>
    <t>Unidades</t>
  </si>
  <si>
    <t>20 a 25</t>
  </si>
  <si>
    <t>10 a 12,5</t>
  </si>
  <si>
    <t>Q1, Q2, Q3</t>
  </si>
  <si>
    <t>IQ1, IQ2, IQ3</t>
  </si>
  <si>
    <t>10 a 30</t>
  </si>
  <si>
    <t>10 a 20</t>
  </si>
  <si>
    <t>Lote REPUESTOS INGECON SUN POWER</t>
  </si>
  <si>
    <t>LOTE REPUESTOS INGECON SUN Power Max</t>
  </si>
  <si>
    <t>Units / string box</t>
  </si>
  <si>
    <t>AAY0019 (negativo)</t>
  </si>
  <si>
    <t>AAY0020 (positivo)</t>
  </si>
  <si>
    <t>KIT ATERRAMIENTO DC IS LITE</t>
  </si>
  <si>
    <t>Thermal magnetic breaker NSX400H 400A 690V 3P 20kA E</t>
  </si>
  <si>
    <t>componente de AQE0022</t>
  </si>
  <si>
    <t>SCI MANETA GIRATORIA EMKA 1180 (maneta equipos 60-100)</t>
  </si>
  <si>
    <t>AAP0004</t>
  </si>
  <si>
    <t>Tarjeta de potencia (Monof.)</t>
  </si>
  <si>
    <t>AAP0044</t>
  </si>
  <si>
    <t>Display monof. desde v_D (se puede sustituir por AAP0055 que es el AAP0044 mejorado). El AAP0005 es más viejuno</t>
  </si>
  <si>
    <t>(a falta de AAS0197 en algún equipo se puso coyunturalmente AAS0085)</t>
  </si>
  <si>
    <t>Smart</t>
  </si>
  <si>
    <t>Power</t>
  </si>
  <si>
    <t>Power Max</t>
  </si>
  <si>
    <t>X</t>
  </si>
  <si>
    <t>FUSIBLES STRING CONTROL INPUT 10A</t>
  </si>
  <si>
    <t>FUSIBLES STRING CONTROL INPUT 8A</t>
  </si>
  <si>
    <t>FUSIBLES STRING CONTROL INPUT 5A</t>
  </si>
  <si>
    <t>AAS0219</t>
  </si>
  <si>
    <t>AAS0221</t>
  </si>
  <si>
    <t>AAS0220</t>
  </si>
  <si>
    <t>Q3,Q4, APR00201</t>
  </si>
  <si>
    <t>APR00214, Q1,Q2,Q3,Q5</t>
  </si>
  <si>
    <t>Q2X, Q3X</t>
  </si>
  <si>
    <t>QAUX, Q2</t>
  </si>
  <si>
    <t>VENT1, VENT2 (EVE00180)</t>
  </si>
  <si>
    <t>FX9,FX10,F10,F11</t>
  </si>
  <si>
    <t>Descripción COMERCIAL (INGLÉS)</t>
  </si>
  <si>
    <t>F5,F6,FX11,FX12 ó F1+…..F16-</t>
  </si>
  <si>
    <t>F1+…..F16-</t>
  </si>
  <si>
    <t>FAN FUS 1000Vdc 15A 30kA Cilínd. 10x38</t>
  </si>
  <si>
    <t>F3, F4 ó Faux</t>
  </si>
  <si>
    <t>AAV7105</t>
  </si>
  <si>
    <t>AAV7106</t>
  </si>
  <si>
    <t>AAV7107</t>
  </si>
  <si>
    <t>AAV7108</t>
  </si>
  <si>
    <t>AAV7109</t>
  </si>
  <si>
    <t>AAV7110</t>
  </si>
  <si>
    <t>Electronic Block  Dig 3Phase 182,5kW</t>
  </si>
  <si>
    <t>Electronic Block  Dig 3Phase 200kW</t>
  </si>
  <si>
    <t>Electronic Block  Dig 3Phase 210kW</t>
  </si>
  <si>
    <t>VARIADOR  DIG INGCONSUN TRIF 182,5kW</t>
  </si>
  <si>
    <t>VARIADOR  DIG INGCONSUN TRIF 200kW</t>
  </si>
  <si>
    <t>VARIADOR  DIG INGCONSUN TRIF 210kW</t>
  </si>
  <si>
    <t>Electronic Block  Dig 3Phase 182,5kW MS</t>
  </si>
  <si>
    <t>Electronic Block  Dig 3Phase 200kW MS</t>
  </si>
  <si>
    <t>Electronic Block  Dig 3Phase 210kW MS</t>
  </si>
  <si>
    <t>x 182,5kW</t>
  </si>
  <si>
    <t>x 200kW</t>
  </si>
  <si>
    <t>x 210kW</t>
  </si>
  <si>
    <t>x 182,5kW MS v_A y B</t>
  </si>
  <si>
    <t>x 200kW MS v_A y B</t>
  </si>
  <si>
    <t>x 210kW MS v_A y B</t>
  </si>
  <si>
    <t>R1,R2,R3</t>
  </si>
  <si>
    <t>Resistencia siliconada tubular bob 0R1 200W</t>
  </si>
  <si>
    <t>Baterías UPS</t>
  </si>
  <si>
    <t>AAX0007</t>
  </si>
  <si>
    <t>Modem trif (AAX0001)+ latiguillo AQL0041</t>
  </si>
  <si>
    <t>Módem GPRS embebido para Ingecon Sun 
Monofásico azul</t>
  </si>
  <si>
    <t>SAC UPS 50W 230VAC 1000VDC</t>
  </si>
  <si>
    <t>KIT INSTALACION PUESTA TIERRA CAMPO FV POWER TL</t>
  </si>
  <si>
    <t>KIT INSTALACION FUENTE ALIMENT. NOCTURNA IS 10-15kW</t>
  </si>
  <si>
    <t>KIT INSTALACION FUENTE ALIMENT. NOCTURNA IS 20-30kW</t>
  </si>
  <si>
    <t>KIT INSTALACION DESCARGADORES AC IS 10-15kW</t>
  </si>
  <si>
    <t>KIT INSTALACION DESCARGADORES AC IS 20-30kW</t>
  </si>
  <si>
    <t>KIT INSTALACION PUESTA TIERRA CAMPO FV IS 10-15kW</t>
  </si>
  <si>
    <t>KIT INSTALACION PUESTA TIERRA CAMPO FV IS 20-30kW</t>
  </si>
  <si>
    <t>KIT INSTALACION DESCARGADORES DC IS 10-15kW</t>
  </si>
  <si>
    <t>KIT INSTALACION DESCARGADORES DC IS 20-30kW</t>
  </si>
  <si>
    <t>KIT INSTALACION SECCIONADOR DC IS 10-15kW</t>
  </si>
  <si>
    <t>KIT INSTALACION SECCIONADOR DC IS 20-30kW</t>
  </si>
  <si>
    <t>KIT INSTALACION DESCARGADOR Y SECCIONADOR DC IS 10-15kW</t>
  </si>
  <si>
    <t>KIT INSTALACION DESCARGADOR Y SECCIONADOR DC IS 20-30kW</t>
  </si>
  <si>
    <t>KIT INSTALACION SPI IS 20-30kW</t>
  </si>
  <si>
    <t>KIT INSTALACION FUENTE ALIMENT. NOCTURNA POWER</t>
  </si>
  <si>
    <t>KIT INSTALACION FUENTE ALIMENT. NOCTURNA IS 100TL</t>
  </si>
  <si>
    <t>KIT INSTALACION FUENTE ALIMENT. NOCTURNA POWER TL</t>
  </si>
  <si>
    <t>KIT INSTALACION PUESTA TIERRA CAMPO FV POWER</t>
  </si>
  <si>
    <t>KIT INSTALACION PUESTA TIERRA CAMPO FV IS 100TL</t>
  </si>
  <si>
    <t>KIT INSTALACION DISPARO REMOTO POWER</t>
  </si>
  <si>
    <t>KIT INSTALACION DISPARO REMOTO POWER TL</t>
  </si>
  <si>
    <t>KIT INSTALACION SPI POWER</t>
  </si>
  <si>
    <t>KIT INSTALACION RESISTENCIA CALDEO POWER</t>
  </si>
  <si>
    <t>KIT INSTALACION SINCRONISMO POWER TL</t>
  </si>
  <si>
    <t>KIT INSTALACION PUESTA TIERRA CAMPO FV POWERMAX</t>
  </si>
  <si>
    <t>AAS5025</t>
  </si>
  <si>
    <t>AAS5007</t>
  </si>
  <si>
    <t>AAS5008</t>
  </si>
  <si>
    <t>AAS5009</t>
  </si>
  <si>
    <t>AAS5010</t>
  </si>
  <si>
    <t>AAS5011</t>
  </si>
  <si>
    <t>AAS5012</t>
  </si>
  <si>
    <t>AAS5013</t>
  </si>
  <si>
    <t>AAS5014</t>
  </si>
  <si>
    <t>AAS5015</t>
  </si>
  <si>
    <t>AAS5016</t>
  </si>
  <si>
    <t>AAS5017</t>
  </si>
  <si>
    <t>AAS5018</t>
  </si>
  <si>
    <t>AAS5019</t>
  </si>
  <si>
    <t>AAS5020</t>
  </si>
  <si>
    <t>AAS5021</t>
  </si>
  <si>
    <t>AAS5022</t>
  </si>
  <si>
    <t>AAS5023</t>
  </si>
  <si>
    <t>AAS5024</t>
  </si>
  <si>
    <t>AAS5026</t>
  </si>
  <si>
    <t>AAS5027</t>
  </si>
  <si>
    <t>AAS5028</t>
  </si>
  <si>
    <t>AAS5029</t>
  </si>
  <si>
    <t>AAS5030</t>
  </si>
  <si>
    <t>AAV5004</t>
  </si>
  <si>
    <t>AAV5005</t>
  </si>
  <si>
    <t>AAV7111</t>
  </si>
  <si>
    <t>Caratula display serie equipos trifásicos (equipos desde 20kW)</t>
  </si>
  <si>
    <t xml:space="preserve">106105648      </t>
  </si>
  <si>
    <t>AQE0006IEB04 CARATULA INVERSOR ITALIANO (monof hasta 5kW)</t>
  </si>
  <si>
    <t xml:space="preserve">106105651      </t>
  </si>
  <si>
    <t>AAX7030</t>
  </si>
  <si>
    <t xml:space="preserve">KIT INSTALACION CONVERSOR RS485 A USB </t>
  </si>
  <si>
    <t>KIT INSTALACION TARJETA COMUNICACION ETHERNET LITE-SMART TL</t>
  </si>
  <si>
    <t>KIT INSTALACION TARJETA COMUNICACION ETHERNET TRIFASICO</t>
  </si>
  <si>
    <t>KIT INSTALACION TARJETA COMUNICACION INALAMBRICA LITE-SMART TL</t>
  </si>
  <si>
    <t>KIT INSTALACION TARJETA COMUNICACION INALAMBRICA TRIFASICO</t>
  </si>
  <si>
    <t>KIT INSTALACION TARJETA COMUNICACION RS485 TRIFASICO</t>
  </si>
  <si>
    <t>AAX7014</t>
  </si>
  <si>
    <t>AAX7001</t>
  </si>
  <si>
    <t>AAS0081</t>
  </si>
  <si>
    <t>REN 16A 12V 0NA 0NC 3CM PCB 400V CA</t>
  </si>
  <si>
    <t>Precio venta Energy 2012</t>
  </si>
  <si>
    <t>REN 16 24V 0NA 0NC 3CM PCB 400V CA</t>
  </si>
  <si>
    <t>AQL0013</t>
  </si>
  <si>
    <t>AQL0026</t>
  </si>
  <si>
    <t>MANGUERA 34 VIAS 2000mm I-I (cable display viejo-tarj.control equipos Power)</t>
  </si>
  <si>
    <t>Descripción I+D</t>
  </si>
  <si>
    <t>Nº CARACTERES CAST (&lt;=56)</t>
  </si>
  <si>
    <t>Nº CARACTERES INGLÉS (&lt;=56)</t>
  </si>
  <si>
    <t>Fusible 63A 1000VAC 22x58mm</t>
  </si>
  <si>
    <t>Fuse 63A 1000VAC 22x58mm</t>
  </si>
  <si>
    <t>Descargador sobretensiones 690VAC Iskra</t>
  </si>
  <si>
    <t>Surge arrestor 690VAC Iskra</t>
  </si>
  <si>
    <t>Fuse base 3P 22x58mm</t>
  </si>
  <si>
    <t>Fuente de alimentación externa 15VDC</t>
  </si>
  <si>
    <t>15VDC external power supply</t>
  </si>
  <si>
    <t>Filtro de armónicos 90uF 275VAC</t>
  </si>
  <si>
    <t>Fuse base 1P 10x38mm</t>
  </si>
  <si>
    <t>Seccionador 4 polos 400A 900VDC ABB</t>
  </si>
  <si>
    <t>Switch-breaker 4p 400A 900VDC ABB</t>
  </si>
  <si>
    <t>Kit de adaptador fusible ABB</t>
  </si>
  <si>
    <t>Fuse adaptor kit ABB</t>
  </si>
  <si>
    <t>Cubrebornes seccionador OESA ABB</t>
  </si>
  <si>
    <t>Prolongador 395mm para seccionador ABB</t>
  </si>
  <si>
    <t>Extension 395mm for switch-breaker ABB</t>
  </si>
  <si>
    <t>Maneta seccionador ABB</t>
  </si>
  <si>
    <t>Handle for switch-breaker ABB</t>
  </si>
  <si>
    <t>Descargador sobretensiones 1000VDC</t>
  </si>
  <si>
    <t>Surge arrestor 1000VDC</t>
  </si>
  <si>
    <t>Seta emergencia</t>
  </si>
  <si>
    <t>Ventilador axial 230VAC 115W</t>
  </si>
  <si>
    <t>Axial fan 230VAC 115W</t>
  </si>
  <si>
    <t>Condensador 4uF para ventilador axial</t>
  </si>
  <si>
    <t>Capacitor 4uF for axial fan</t>
  </si>
  <si>
    <t>CONJ CONTACTOR TELMQ LC1 F400 CBR</t>
  </si>
  <si>
    <t>CBR 1000V  3P</t>
  </si>
  <si>
    <t>Terminal shrouds 1000V 3P for contactor Telemecaniq 400A</t>
  </si>
  <si>
    <t>CONJUNTO Contactor 420A 690VAC GE</t>
  </si>
  <si>
    <t>SET contactor 420A 690VAC GE</t>
  </si>
  <si>
    <t>CONJUNTO CONTACTOR GE 400A</t>
  </si>
  <si>
    <t>K1, K1.A y K1.AUX</t>
  </si>
  <si>
    <t>CBC 690V 420A 220V CA 3P CFRC</t>
  </si>
  <si>
    <t>Contactor 420A 690VAC GE</t>
  </si>
  <si>
    <t>Cubrebornes 690V 3P para contactor GE 420A</t>
  </si>
  <si>
    <t>CBR 690V 3P CONTACTOR GE</t>
  </si>
  <si>
    <t>CAU Frontal 1NA 0NC 0CM</t>
  </si>
  <si>
    <t>En AAX0022 modem Lite</t>
  </si>
  <si>
    <t>CONJUNTO Disyuntor magnetotérmico 400A GE</t>
  </si>
  <si>
    <t>SET Thermal magnetic breaker 400A GE</t>
  </si>
  <si>
    <t>Disyuntor magnetotérmico 400A GE</t>
  </si>
  <si>
    <t>Thermal magnetic breaker 400A GE</t>
  </si>
  <si>
    <t>QAC.A</t>
  </si>
  <si>
    <t>Adaptador frontal magnetotérmico GE</t>
  </si>
  <si>
    <t>Front adapter for breaker GE</t>
  </si>
  <si>
    <t>QAC.R</t>
  </si>
  <si>
    <t>QAC.CC</t>
  </si>
  <si>
    <t>QAC.CL</t>
  </si>
  <si>
    <t>Contacto auxiliar para magnetotérmico cabecera GE</t>
  </si>
  <si>
    <t>Auxiliar contact for head breaker GE</t>
  </si>
  <si>
    <t>Relé 12VDC 16A</t>
  </si>
  <si>
    <t>Relay 12VDC 16A</t>
  </si>
  <si>
    <t>Varistor térmico 385V 3kA 20mm</t>
  </si>
  <si>
    <t>Varistor thermal 385V 3kA 20mm</t>
  </si>
  <si>
    <t>LISTADO DE REPUESTOS INGECON SUN POWER TL Versión _</t>
  </si>
  <si>
    <t>Qty /Inv</t>
  </si>
  <si>
    <t>Nota</t>
  </si>
  <si>
    <t>IT</t>
  </si>
  <si>
    <t>PF1</t>
  </si>
  <si>
    <t>F11, F12</t>
  </si>
  <si>
    <t>CONTACTOR</t>
  </si>
  <si>
    <t>MAGNETOTÉRMICO</t>
  </si>
  <si>
    <t>Texto explicativo</t>
  </si>
  <si>
    <t>CAU Lateral 0NA 0NC 2CM</t>
  </si>
  <si>
    <t>AAS0164</t>
  </si>
  <si>
    <t>KIT RES CALDEO 550W POWER Y POWER TL</t>
  </si>
  <si>
    <r>
      <t xml:space="preserve">Nota 1: Esta referencia es la correspondiente al conjunto completo / </t>
    </r>
    <r>
      <rPr>
        <i/>
        <sz val="8"/>
        <color indexed="8"/>
        <rFont val="Courier New"/>
        <family val="3"/>
      </rPr>
      <t>This reference is for the complete set</t>
    </r>
  </si>
  <si>
    <r>
      <t xml:space="preserve">Nota 2: Componentes duplicados en función del fabricante. Asegurarse si el repuesto necesario es del fabricante adecuado / </t>
    </r>
    <r>
      <rPr>
        <i/>
        <sz val="8"/>
        <color indexed="8"/>
        <rFont val="Courier New"/>
        <family val="3"/>
      </rPr>
      <t>Duplicate components depending on the manufacturer. Make sure the appropriate manufacturer</t>
    </r>
  </si>
  <si>
    <r>
      <t xml:space="preserve">Nota 3: En función del equipo que sea llevará un variador u otro y la salida de AC tendrá un valor distinto / </t>
    </r>
    <r>
      <rPr>
        <i/>
        <sz val="8"/>
        <color indexed="8"/>
        <rFont val="Courier New"/>
        <family val="3"/>
      </rPr>
      <t>Different power block depending on the inverter and the AC output will have a different value</t>
    </r>
  </si>
  <si>
    <r>
      <t xml:space="preserve">Nota FAN: El código puede incluir diferentes modelos de distintos fabricantes, siendo 100% compatibles entre sí / </t>
    </r>
    <r>
      <rPr>
        <i/>
        <sz val="8"/>
        <color indexed="8"/>
        <rFont val="Courier New"/>
        <family val="3"/>
      </rPr>
      <t>The code can include different models from different manufacturers, 100% compatible</t>
    </r>
  </si>
  <si>
    <t>KIT INSTALACION TARJETA COMUNICACION INALAMBRICA COMBOX</t>
  </si>
  <si>
    <t>AAX7013</t>
  </si>
  <si>
    <t>Coste 2012</t>
  </si>
  <si>
    <t>PRE M12x1.5 RAL-9005 NEGRO</t>
  </si>
  <si>
    <t>TUP M12x1,5 RAL-9005 NEGRO</t>
  </si>
  <si>
    <t>AAU7000</t>
  </si>
  <si>
    <t>UPS 3kVA IP20</t>
  </si>
  <si>
    <t>Menos de 20 inversores: 1 (optional)</t>
  </si>
  <si>
    <t>CONJUNTO Disyuntor magnetotérmico 0,1 a 0,16A</t>
  </si>
  <si>
    <t>SET Thermal magnetic breaker 0,1 to 0,16A</t>
  </si>
  <si>
    <t>CONJUNTO Disyuntor magnetotérmico 24 a 32A</t>
  </si>
  <si>
    <t>SET Thermal magnetic breaker 24 to 32A</t>
  </si>
  <si>
    <t>CONJUNTO Disyuntor magnetotérmico 6 a 10A</t>
  </si>
  <si>
    <t>SET Thermal magnetic breaker 6 to 10A</t>
  </si>
  <si>
    <t>FILTRO ARMON AQG0030 AAS0176</t>
  </si>
  <si>
    <t>BCT WEW-35/2 TS35</t>
  </si>
  <si>
    <t>ACP LAT IZQ PERFIL DIN BAÑERA UM108</t>
  </si>
  <si>
    <t>ACP LAT DER PERFIL DIN BAÑERA UM108</t>
  </si>
  <si>
    <t>ACP PERFIL DIN BAÑERA UM108x80</t>
  </si>
  <si>
    <t>FAN BFU 1000V 1P CILÍNDRICO 10X38 SI</t>
  </si>
  <si>
    <t>ANO NFE-25 511 M M4 ACERO Inox. A2-70</t>
  </si>
  <si>
    <t>ANO NFE-25 511 M M6 ACERO Inox. A2-70</t>
  </si>
  <si>
    <t>ANO NFE-25 511 M M8 ACERO Inox. A2-70</t>
  </si>
  <si>
    <t>ANO NFE-25 511 M M10 ACERO Inox. A2-70</t>
  </si>
  <si>
    <t>SSC BRIDA 1,2X3,6X142 NATURAL PA6.6</t>
  </si>
  <si>
    <t>CDI PERFORADO SIMETRICO 35x15</t>
  </si>
  <si>
    <t>TER 30mm FV Rojo. Meter cant en m.APA</t>
  </si>
  <si>
    <t>TMN DIN933 M4x10 ACERO Inox. A2-70</t>
  </si>
  <si>
    <t>TMN DIN933 M6x30 ACERO Inox. A2-70</t>
  </si>
  <si>
    <t>TMN DIN933 M8x20 ACERO Inox. A2-70</t>
  </si>
  <si>
    <t>TMN DIN933 M10x25 ACERO Inox. A2-70</t>
  </si>
  <si>
    <t>TEJ TUERCA ENJAULADA M8 HIMEL TNS 8</t>
  </si>
  <si>
    <t>TNO DIN934 M10 ACERO Inox. A2-70</t>
  </si>
  <si>
    <t>SOPORTE FILTRO MC</t>
  </si>
  <si>
    <t>IBC01 PARA AAV0035</t>
  </si>
  <si>
    <t>Material</t>
  </si>
  <si>
    <t>DESCRIPCIÓN</t>
  </si>
  <si>
    <t>PRECIO /ud.</t>
  </si>
  <si>
    <t>CANTIDAD POR KIT</t>
  </si>
  <si>
    <t>AAV0035 desglosado (en negrita la bañera para el filtro RC)</t>
  </si>
  <si>
    <t>Mano de obra (por cada kit)</t>
  </si>
  <si>
    <t>Precio Inter Company/ud.</t>
  </si>
  <si>
    <t>Cambiar de GSM a GPRS</t>
  </si>
  <si>
    <t>DISYUNTORES</t>
  </si>
  <si>
    <t>En kits sac PowerMax</t>
  </si>
  <si>
    <t>FAN RET 3A 230V 2NA 0NC 2 A 220-240V CA (Relé temporizado)</t>
  </si>
  <si>
    <t>REN 10A 250V 0NA 0NC 2CM EN 230V CA (Relé)</t>
  </si>
  <si>
    <t>BRE 2C 4mm2 Octal Carril (Base Relés)</t>
  </si>
  <si>
    <t>KIT CONEXIÓN TIERRA IS Nx125</t>
  </si>
  <si>
    <t>PF11, PF12</t>
  </si>
  <si>
    <t>AQG0030, AAS0160</t>
  </si>
  <si>
    <t>IT0118</t>
  </si>
  <si>
    <t>Tarifa+10%</t>
  </si>
  <si>
    <t>Nº Inv</t>
  </si>
  <si>
    <t>AQL0046</t>
  </si>
  <si>
    <t>MANGUERA 3HILO 0,34 870mm CJ.ENG-PUNTERA</t>
  </si>
  <si>
    <t>CABLE CAN 4 VÍAS 2000MM CONECTOR PCB (cable display nuevo-tarj.captaciones equipos Power)</t>
  </si>
  <si>
    <t>Fuse neutral bar</t>
  </si>
  <si>
    <t>Portafusibles 3 polos 22x58mm</t>
  </si>
  <si>
    <t>Bobina 220VAC para contactor Schneider 400A</t>
  </si>
  <si>
    <t>Coil 220VAC for contactor Schneider 400A</t>
  </si>
  <si>
    <t>Cubrebornes 1000V  3P para contactor Schneider 400A</t>
  </si>
  <si>
    <t>CONJUNTO Contactor 400A 1000VAC Schneider</t>
  </si>
  <si>
    <t>SET contactor 400A 1000VAC Schneider</t>
  </si>
  <si>
    <t>CONJUNTO Disyuntor magnetotérmico 400A Schneider</t>
  </si>
  <si>
    <t>SET Thermal magnetic breaker 400A Schneider</t>
  </si>
  <si>
    <t>Contacto auxiliar magnetotérmico cabecera Schneider</t>
  </si>
  <si>
    <t>Auxiliar contact for head breaker Schneider</t>
  </si>
  <si>
    <t>Contactor 400A 1000VAC Schneider</t>
  </si>
  <si>
    <t>Disyuntor magnetotérmico 400A Schneider</t>
  </si>
  <si>
    <t>Thermal magnetic breaker 400A Schneider</t>
  </si>
  <si>
    <t>Cubrebornes largo para magnetotérmico 400A Schneider</t>
  </si>
  <si>
    <t>Cubrebornes corto para magnetotérmico 400A Schneider</t>
  </si>
  <si>
    <t>Cubrebornes corto para magnetotérmico 400A GE</t>
  </si>
  <si>
    <t>Cubrebornes largo para magnetotérmico 400A GE</t>
  </si>
  <si>
    <t>Conjunto Magnetotérmico 400A</t>
  </si>
  <si>
    <t>- 5 uds. VARIADOR INGECON SUN 125 TL 220AC (AAV7101)</t>
  </si>
  <si>
    <t>- 2 uds. VARIADOR Ingecon Sun 15 (AAS7142)</t>
  </si>
  <si>
    <t>Propuesta de stock a Maiteder febrero-2012</t>
  </si>
  <si>
    <t>- 4 uds. VARIADOR INGECON SUN 100 (AAS7101)</t>
  </si>
  <si>
    <t>- 1 ud. VARIADOR INGECON SUN 60 (AAS7102)</t>
  </si>
  <si>
    <t>- 1 ud. VARIADOR INGECON SUN 80 (AAS7100)</t>
  </si>
  <si>
    <t xml:space="preserve">- 3 uds. VARIADOR Ingecon Sun 25 IP54 (AAS7146) </t>
  </si>
  <si>
    <t>- 1 ud. VARIADOR Ingecon Sun 25 IP20 (AAS7120)</t>
  </si>
  <si>
    <t>UPS</t>
  </si>
  <si>
    <t>Coste Energy</t>
  </si>
  <si>
    <t>AAV0069IDG01</t>
  </si>
  <si>
    <t>AAS7012IDG01</t>
  </si>
  <si>
    <t>AAU7004</t>
  </si>
  <si>
    <t>AAU7006</t>
  </si>
  <si>
    <t xml:space="preserve">Fuse 16A 500VDC 10x38mm </t>
  </si>
  <si>
    <t>AAV7003IDG01</t>
  </si>
  <si>
    <t>VARIADOR DIG INGCONSUN TRIF 156kW</t>
  </si>
  <si>
    <t>125TL v_A</t>
  </si>
  <si>
    <t>156TL v_</t>
  </si>
  <si>
    <t>LISTADO DE REPUESTOS INGECON SUN</t>
  </si>
  <si>
    <t>AAV7030IDG01</t>
  </si>
  <si>
    <t>1 (opcional)</t>
  </si>
  <si>
    <t>DESCRIPCIÓN ARTICULO</t>
  </si>
  <si>
    <t>VUESTRO CODIGO</t>
  </si>
  <si>
    <t>INGECON SUN 10</t>
  </si>
  <si>
    <t>AAS7044</t>
  </si>
  <si>
    <t>INGECON SUN 12.5</t>
  </si>
  <si>
    <t>AAS7045</t>
  </si>
  <si>
    <t>INGECON SUN  15</t>
  </si>
  <si>
    <t>AAS7042</t>
  </si>
  <si>
    <t>IS10-15 KIT FUENTE NOCTURNA</t>
  </si>
  <si>
    <t>IS10-15 KIT DESCARGADORES AC</t>
  </si>
  <si>
    <t>IS10-15 KIT DESCARGADORES DC</t>
  </si>
  <si>
    <t>IS10-15 KIT SECCIONADOR DC</t>
  </si>
  <si>
    <t>INGECON SUN SMART 20</t>
  </si>
  <si>
    <t>AAS7047</t>
  </si>
  <si>
    <t>INGECON SUN SMART 25</t>
  </si>
  <si>
    <t>AAS7046</t>
  </si>
  <si>
    <t>INGECON SUN SMART 30</t>
  </si>
  <si>
    <t>IS20-30 KIT FUENTE NOCTURNA</t>
  </si>
  <si>
    <t>IS20-30 KIT DESCARGADORES AC</t>
  </si>
  <si>
    <t>IS20-30 KIT DESCARGADORES DC</t>
  </si>
  <si>
    <t>IS20-30 KIT SECCIONADOR DC</t>
  </si>
  <si>
    <t>IS20-30 KIT SECCIONADOR AC</t>
  </si>
  <si>
    <t>No existe</t>
  </si>
  <si>
    <t>IS20-30 KIT CONECTORES RÁPIDOS MC-4</t>
  </si>
  <si>
    <t>Ahora el AAS0139 es MC4 y ya no hay que pedir el AAS0158</t>
  </si>
  <si>
    <r>
      <t xml:space="preserve">Entradas Rápidas tipo </t>
    </r>
    <r>
      <rPr>
        <b/>
        <sz val="11"/>
        <color rgb="FFFF0000"/>
        <rFont val="Calibri"/>
        <family val="2"/>
        <scheme val="minor"/>
      </rPr>
      <t>3</t>
    </r>
  </si>
  <si>
    <t>AQE0099IGB01</t>
  </si>
  <si>
    <t>PUERTA MOLDEADA SERIE LITE</t>
  </si>
  <si>
    <t>AQE0093IGB01</t>
  </si>
  <si>
    <t>Tarjeta Display Lite</t>
  </si>
  <si>
    <t>KIT PROT. AC 4P INV TRIF 20 A 30 IP54</t>
  </si>
  <si>
    <t>AAS0171</t>
  </si>
  <si>
    <t>AAV0044</t>
  </si>
  <si>
    <t>FAN CBC 690V  220V CA 3P</t>
  </si>
  <si>
    <t>Pertenece al FAN</t>
  </si>
  <si>
    <t>KIT ADAPTACION HUECOS SMART 10-15KW</t>
  </si>
  <si>
    <t>KIT ADAPT. HUECOS IS TRIF 10-30KW IPS20</t>
  </si>
  <si>
    <t>KIT COLOCACION SAC IS 50 A 100 kW</t>
  </si>
  <si>
    <t>KIT COLOCACION SAC IS 2x TL</t>
  </si>
  <si>
    <t>KIT COLOCACION SAC IS 3x TL</t>
  </si>
  <si>
    <t>KIT COLOCACION SAC IS 4x TL</t>
  </si>
  <si>
    <t>KIT COLOCACION SAC IS POWER TL</t>
  </si>
  <si>
    <t>KIT COLOCACION SAC IS 100 kW TL</t>
  </si>
  <si>
    <t>KIT INSTALACION FUENTE ALIMENT. NOCTURNA POWERMAX (1 por bloque)</t>
  </si>
  <si>
    <t>Filtro de armónicos equipos TL</t>
  </si>
  <si>
    <t>Harmonics filter TL inverters</t>
  </si>
  <si>
    <t>106203178,106114079</t>
  </si>
  <si>
    <t>AAS0133</t>
  </si>
  <si>
    <t>AAS0185</t>
  </si>
  <si>
    <t>AAS0100</t>
  </si>
  <si>
    <t xml:space="preserve">AAR CIERRE COMPLETO C/VARILLAJE Himel (POWER) - el antiguo de Himel  </t>
  </si>
  <si>
    <t>AAS7010</t>
  </si>
  <si>
    <t>HW DE ENTRADAS Y SALIDAS PARA 1 SEGUIDOR SOLAR INGECON SUN</t>
  </si>
  <si>
    <t>AAP0006</t>
  </si>
  <si>
    <t>Ventilador centrifugo 230V 50Hz 1060 m3/h 355W</t>
  </si>
  <si>
    <t>Telemecanique LC1F330 A</t>
  </si>
  <si>
    <t>Telemecanique GS1AH130</t>
  </si>
  <si>
    <t>Telemecanique GS1AE2 ( 400 longitud)</t>
  </si>
  <si>
    <t>Telemecanique GS1AF43</t>
  </si>
  <si>
    <t>Ventilador axial 230V 50Hz 1610m3/h 115W</t>
  </si>
  <si>
    <t>Protección magnetotérmica 10A 220V</t>
  </si>
  <si>
    <t>Merlin Gerin 24336</t>
  </si>
  <si>
    <t>INT.AUT.MAGNETOTERMICO BI C60 N 6 amperios</t>
  </si>
  <si>
    <t>Merlin Gerin 32693</t>
  </si>
  <si>
    <t>Filtro trifásico 520V/400A Salida pletina</t>
  </si>
  <si>
    <t>Fusible tamaño 2 400A gG con percutor</t>
  </si>
  <si>
    <t>Telemecanique DF4 - JN1401</t>
  </si>
  <si>
    <t>Dehn 901000</t>
  </si>
  <si>
    <t>Dehn 900680</t>
  </si>
  <si>
    <t>Telemecanique GS1QQ3</t>
  </si>
  <si>
    <t>HW DE DISPLAY ,TECLADO Y LEDS, PARA INGECON SUN.(AAP0055)</t>
  </si>
  <si>
    <t>Fuente de alimentación de 15Vdc externa (AAP0031)</t>
  </si>
  <si>
    <t>VARIADOR INGSUN TRIF CNXN RED 110KWTL LV (AAS7110)</t>
  </si>
  <si>
    <t>AQL0136</t>
  </si>
  <si>
    <t>AAR MANETA (2001-SU065 EMB.MAN.MCS/OLN Himel) - maneta de Himel</t>
  </si>
  <si>
    <t>SET Emergency stop button</t>
  </si>
  <si>
    <t>Emergency stop push-button Allen Bradley</t>
  </si>
  <si>
    <t>coste Paneles</t>
  </si>
  <si>
    <t>1, FAN</t>
  </si>
  <si>
    <t>Base ISPower calderería propia</t>
  </si>
  <si>
    <t>AQE0157IGB04 SUBCTO. LATERAL ZOCALO</t>
  </si>
  <si>
    <t>AQE0157IGD02 TAPA FRONTAL ZOCALO</t>
  </si>
  <si>
    <t xml:space="preserve">106.112.633      </t>
  </si>
  <si>
    <t>CONJUNTO Contactor 400A 220VAC</t>
  </si>
  <si>
    <t>SET contactor 400A 220VAC</t>
  </si>
  <si>
    <t>Conjunto Contactor trifásico 400A 220VAC</t>
  </si>
  <si>
    <t>Cjto. Contactor trifásico 400A 220VAC</t>
  </si>
  <si>
    <t>CBC 1000V 25A 230V CA 3P</t>
  </si>
  <si>
    <t>CBC 690V 25A 12V CC 3P</t>
  </si>
  <si>
    <t>CBC 690V 38A 230V CA 3P</t>
  </si>
  <si>
    <t>CBC 1000V 50A 230V CA 3P</t>
  </si>
  <si>
    <t>CBC 690V 38A 12V CC 3P</t>
  </si>
  <si>
    <t>CBC 690V 32A 230V CA 3P</t>
  </si>
  <si>
    <t>CSB 1000V 185A 3P</t>
  </si>
  <si>
    <t>Surge arrestor 1000VDC Dehn</t>
  </si>
  <si>
    <t>106105880,106114701</t>
  </si>
  <si>
    <t>106114701</t>
  </si>
  <si>
    <t>FAN EMC 530VCA 180A SN</t>
  </si>
  <si>
    <t>EMC 690VCA 180A SN</t>
  </si>
  <si>
    <t>EMC 520VCA 42A SN</t>
  </si>
  <si>
    <t>FAN EMC 520VCA 30A CN</t>
  </si>
  <si>
    <t>EMC 520VCA 42A CN</t>
  </si>
  <si>
    <t>EMC 690VCA 400A SN</t>
  </si>
  <si>
    <t>EMC 520VCA 55A CN</t>
  </si>
  <si>
    <t>AAY0014(AAP0019 con el cable plano más corto, AQL0095 por AQL0042)</t>
  </si>
  <si>
    <t>Fusible 4A 1000VDC 10x38mm</t>
  </si>
  <si>
    <t>Fuse 4A 1000VDC 10x38mm</t>
  </si>
  <si>
    <t>AAV7037</t>
  </si>
  <si>
    <t>UPS 50W 230VAC 1000VDC</t>
  </si>
  <si>
    <t xml:space="preserve">Portafusibles 1 polo 10X38 </t>
  </si>
  <si>
    <t>AQE0177IGB04 CONJUNTO CARATULA (metacrilato aislante de la carátula junto con la lámina anticondensación)</t>
  </si>
  <si>
    <t>FAN FUS 1250V 400A 100KA NH 2 aR</t>
  </si>
  <si>
    <t>Filtro RC para bobina contactor Schneider 400A</t>
  </si>
  <si>
    <t>RC coil filter for contactor Schneider 400A</t>
  </si>
  <si>
    <t>AAS0190</t>
  </si>
  <si>
    <t xml:space="preserve">Fuse 10A 1000VDC 10x38mm </t>
  </si>
  <si>
    <t xml:space="preserve">Fuse 15A 1000VDC 10x38mm </t>
  </si>
  <si>
    <t>Fusible 15A 1000VDC 10x38mm</t>
  </si>
  <si>
    <t xml:space="preserve">Fuse 8A 1000VDC 10x38mm </t>
  </si>
  <si>
    <t>Fast fuse 63A 690VAC 22x58mm</t>
  </si>
  <si>
    <t>Fast fuse 80A 690VAC 22x58mm</t>
  </si>
  <si>
    <t>FUS 1250V 550A 100kA NH 2 aR</t>
  </si>
  <si>
    <t>Fusible 550A 1250VDC para seccionador</t>
  </si>
  <si>
    <t>Fuse 550A 1250VDC for switch-breaker</t>
  </si>
  <si>
    <t>FAN FUS 1250V 550A 100kA NH 2 aR</t>
  </si>
  <si>
    <t>Fuse 4A 500VAC 10x38mm</t>
  </si>
  <si>
    <t xml:space="preserve">Fuse 440mA 1000VDC 10x38mm </t>
  </si>
  <si>
    <t>1, 2</t>
  </si>
  <si>
    <t>COA UC H 3 N/A 20A – Conector AC 3 polos aéreo Hembra(Wieland Electric RST20I3 96.031.4153.1)</t>
  </si>
  <si>
    <t>COA UC M 3 N/A 20A – Conector AC 3 polos base Macho (Wieland Electric RST20I3 96.032.5053.1)</t>
  </si>
  <si>
    <t>últimas versiones de azules, llevan conector AC Wieland distinto al de Lite</t>
  </si>
  <si>
    <t>Conectores AC monof.</t>
  </si>
  <si>
    <t>Display matricial para trifásicos</t>
  </si>
  <si>
    <t>Matrix display for three-phase inverters</t>
  </si>
  <si>
    <t>SEC en carga 1200Vdc 63A 4P</t>
  </si>
  <si>
    <t>CBR 1000V 1P</t>
  </si>
  <si>
    <t>CBR 690V 3P</t>
  </si>
  <si>
    <t>CBR 1000V 3P</t>
  </si>
  <si>
    <t>CBR 690V 2P</t>
  </si>
  <si>
    <t>CSB 1000V 400A 3P</t>
  </si>
  <si>
    <t>CBC 1000V 115A 230V CA 3P</t>
  </si>
  <si>
    <t>CHM 0NA 1NC 0CM</t>
  </si>
  <si>
    <t>CHM 0NA 2NC 0CM</t>
  </si>
  <si>
    <t>CAU Frontal 1NA 1NC 0CM</t>
  </si>
  <si>
    <t>CAU 0NA 1NC 0CM</t>
  </si>
  <si>
    <t>CAU Lateral 1NA 1NC 0CM</t>
  </si>
  <si>
    <t>CAU FRONTAL 1NA 1NC 0CM</t>
  </si>
  <si>
    <t>COP UC M M12 1 N/A 6mm2 30A</t>
  </si>
  <si>
    <t>COP UC H M12 1 N/A 6mm2 30A</t>
  </si>
  <si>
    <t>CEL 3x33,2uF K 800V BOR 142mm 55ºC</t>
  </si>
  <si>
    <t>CBO 220 CA</t>
  </si>
  <si>
    <t>CBO 220V CA</t>
  </si>
  <si>
    <t>BCA 1000V 185mm2 353A ES 2 N/A N F</t>
  </si>
  <si>
    <t>FAN BFU 750 VAC 50A(UL) 22*58 3P</t>
  </si>
  <si>
    <t>AMR Prolongador 395mm</t>
  </si>
  <si>
    <t>Pertenece al SET</t>
  </si>
  <si>
    <t>SET</t>
  </si>
  <si>
    <t>106202874, 106202876</t>
  </si>
  <si>
    <t>106202882, 106202880, 106202879</t>
  </si>
  <si>
    <t>AMR Prolongador 500mm</t>
  </si>
  <si>
    <t>Mando prolongado para magnetotérmico 400-630A Schneider</t>
  </si>
  <si>
    <t>Prolonged control for magnetic breaker 400-630A Schneider</t>
  </si>
  <si>
    <t>SEC en carga 900V 200A 4P</t>
  </si>
  <si>
    <t>Fuse base 1P 14x51mm</t>
  </si>
  <si>
    <t>REN 8A 12V 0NA 0NC 2CM PCB 250V CA</t>
  </si>
  <si>
    <t>Relé 12VDC 8A</t>
  </si>
  <si>
    <t>Relay 12VDC 8A</t>
  </si>
  <si>
    <t>Relé 24VDC 16A</t>
  </si>
  <si>
    <t>Relay 24VDC 16A</t>
  </si>
  <si>
    <t>K1.A, K1.C</t>
  </si>
  <si>
    <t>KB1X, K1.A</t>
  </si>
  <si>
    <t>K1, K1.A, K1.AUX</t>
  </si>
  <si>
    <t>K1.C, K1.AUX</t>
  </si>
  <si>
    <t>K1.C, K1.F</t>
  </si>
  <si>
    <t>106113638, 106113621</t>
  </si>
  <si>
    <t>Borna X9 entrada AC (IS100) BCA 1000V 70mm2 192A ES 2 NA N F</t>
  </si>
  <si>
    <t>CABLPLANO 34VIAS 120cm DISPL-TECL Y SEG (AQL0035)</t>
  </si>
  <si>
    <t>IT0279</t>
  </si>
  <si>
    <t>ELEM. MEC. APLICADOR IGBT </t>
  </si>
  <si>
    <t>AQL0112</t>
  </si>
  <si>
    <t>SINCRONISMO FIBRA OPTICA 80m</t>
  </si>
  <si>
    <t>SINCRONISMO FIBRA OPTICA 30m</t>
  </si>
  <si>
    <t>Contacto auxiliar para contactor Schneider 185-400A</t>
  </si>
  <si>
    <t>Auxiliar contact for contactor Schneider 185-400A</t>
  </si>
  <si>
    <t>Reference</t>
  </si>
  <si>
    <t>Cod SAP</t>
  </si>
  <si>
    <t>Superior</t>
  </si>
  <si>
    <t>Inferior</t>
  </si>
  <si>
    <t>F1,F2,F3,F4</t>
  </si>
  <si>
    <t>PF1,PF2,PF3,PF4</t>
  </si>
  <si>
    <t>Maneta extractora 2XL</t>
  </si>
  <si>
    <t>Handle extractor 2XL</t>
  </si>
  <si>
    <t>PF5,PF6,PF7</t>
  </si>
  <si>
    <t>+ 15 Vdc Supply</t>
  </si>
  <si>
    <t>AQE0273IGF09</t>
  </si>
  <si>
    <t>Pletina puente TELERGON S5</t>
  </si>
  <si>
    <t>Bridging bars TELERGON S5</t>
  </si>
  <si>
    <t>K1, IK1</t>
  </si>
  <si>
    <t>F6,F7</t>
  </si>
  <si>
    <t>Exterior</t>
  </si>
  <si>
    <t>LS</t>
  </si>
  <si>
    <t>Final de carrera</t>
  </si>
  <si>
    <t>Safety Limit Switch</t>
  </si>
  <si>
    <t>VENT1,VENT2</t>
  </si>
  <si>
    <t>Radial Fan 230VCA 170W 2510rpm</t>
  </si>
  <si>
    <t>AQL0147</t>
  </si>
  <si>
    <t>Cable CAN 4 VÍAS</t>
  </si>
  <si>
    <t>CAN Cable</t>
  </si>
  <si>
    <t>Variador</t>
  </si>
  <si>
    <r>
      <t xml:space="preserve">Nota 1: Esta referencia es la correspondiente al conjunto completo / </t>
    </r>
    <r>
      <rPr>
        <i/>
        <sz val="8"/>
        <color rgb="FF000000"/>
        <rFont val="Courier New"/>
        <family val="3"/>
      </rPr>
      <t>This reference is for the complete set</t>
    </r>
  </si>
  <si>
    <r>
      <t xml:space="preserve">Nota 2: Componentes duplicados en función del fabricante. Asegurarse si el repuesto necesario es del fabricante adecuado / </t>
    </r>
    <r>
      <rPr>
        <i/>
        <sz val="8"/>
        <color rgb="FF000000"/>
        <rFont val="Courier New"/>
        <family val="3"/>
      </rPr>
      <t>Duplicate components depending on the manufacturer. Make sure the appropriate manufacturer</t>
    </r>
  </si>
  <si>
    <r>
      <t xml:space="preserve">Nota 3: En función del equipo que sea llevará un variador u otro y la salida de AC tendrá un valor distinto / </t>
    </r>
    <r>
      <rPr>
        <i/>
        <sz val="8"/>
        <color rgb="FF000000"/>
        <rFont val="Courier New"/>
        <family val="3"/>
      </rPr>
      <t>Different power block depending on the inverter and the AC output will have a different value</t>
    </r>
  </si>
  <si>
    <r>
      <t xml:space="preserve">Nota FAN: El código puede incluir diferentes modelos de distintos fabricantes, siendo 100% compatibles entre sí / </t>
    </r>
    <r>
      <rPr>
        <i/>
        <sz val="8"/>
        <color rgb="FF000000"/>
        <rFont val="Courier New"/>
        <family val="3"/>
      </rPr>
      <t>The code can include different models from different manufacturers, 100% compatible</t>
    </r>
  </si>
  <si>
    <t>Qty/Inv</t>
  </si>
  <si>
    <t>Power UL</t>
  </si>
  <si>
    <t>Resistencia siliconada 0,1R 200W</t>
  </si>
  <si>
    <t>Siliconed resistance 0,1R 200W</t>
  </si>
  <si>
    <t>ABB7101</t>
  </si>
  <si>
    <t>ABB7102</t>
  </si>
  <si>
    <t>ABB7103</t>
  </si>
  <si>
    <t>ABB7104</t>
  </si>
  <si>
    <t>AQE0022IGD01 PUERTA HIMEL (EQUIPOS POWER)</t>
  </si>
  <si>
    <t>CONJUNTO Disyuntor magnetotérmico 40A ABB</t>
  </si>
  <si>
    <t>SET Thermal magnetic breaker 40A ABB</t>
  </si>
  <si>
    <t>Mando rotativo con prolongador para magnetotérmico GE</t>
  </si>
  <si>
    <t>Prolonged rotary switch for magnetic breaker GE</t>
  </si>
  <si>
    <t>Compra Energy 2012</t>
  </si>
  <si>
    <t>Cubrebornes corto 3P para magnetotérmico 400A GE</t>
  </si>
  <si>
    <t>Cubrebornes corto 3P para magnetotérmico 400A Schneider</t>
  </si>
  <si>
    <t>Cubrebornes largo 3P para magnetotérmico 400A GE</t>
  </si>
  <si>
    <t>Cubrebornes largo 3P para magnetotérmico 400A Schneider</t>
  </si>
  <si>
    <t>AAV7112     </t>
  </si>
  <si>
    <t xml:space="preserve">AAV7113     </t>
  </si>
  <si>
    <t xml:space="preserve">106205530   </t>
  </si>
  <si>
    <t>106205531   </t>
  </si>
  <si>
    <t>Variador 156kW China</t>
  </si>
  <si>
    <t>Variador 200kW China</t>
  </si>
  <si>
    <t>AAV5008</t>
  </si>
  <si>
    <t>KIT INST. F. ARMÓNICOS TRIFÁSICO AAV0092</t>
  </si>
  <si>
    <t>AAV0092</t>
  </si>
  <si>
    <t>FAC1x, FAC2x, FAC3x</t>
  </si>
  <si>
    <t>500VAc 400A Fuse</t>
  </si>
  <si>
    <t>105€/ud</t>
  </si>
  <si>
    <t>5,38€/ud</t>
  </si>
  <si>
    <t>Tarjeta Captaciones equipos 10 a 15kW</t>
  </si>
  <si>
    <t>Tarjeta Captaciones equipos 20 a 30kW</t>
  </si>
  <si>
    <t>Tarjeta Captaciones equipos 50 a 100kW</t>
  </si>
  <si>
    <t>Tarjeta Captaciones equipos mayores de 100 kW</t>
  </si>
  <si>
    <t>AAS0228</t>
  </si>
  <si>
    <t>AAS0229</t>
  </si>
  <si>
    <t>AAS0231</t>
  </si>
  <si>
    <t>AAS0232</t>
  </si>
  <si>
    <t xml:space="preserve">SPARE PARTS INGECON SUN  TL v_A DC </t>
  </si>
  <si>
    <t>Smart TL</t>
  </si>
  <si>
    <t>Harmonics filter</t>
  </si>
  <si>
    <t>1300 precio coste (DMS)</t>
  </si>
  <si>
    <t>Subtotal Intercompany</t>
  </si>
  <si>
    <t>AQN0110 CONJ.PUERTA MOD.DC HIMEL S/MANDO (módulo DC PowerMax Himel)</t>
  </si>
  <si>
    <t>protección de la captación (se quita en v_D)</t>
  </si>
  <si>
    <t>captaciones</t>
  </si>
  <si>
    <t>Captaciones</t>
  </si>
  <si>
    <t>4 pole switch-breaker 1000V 500A</t>
  </si>
  <si>
    <t>139€/ud (II)</t>
  </si>
  <si>
    <t>DC Contactor 360A</t>
  </si>
  <si>
    <t>470€/ud (II)</t>
  </si>
  <si>
    <t>145,75€ (BRS)</t>
  </si>
  <si>
    <t>PowerMaxter con 4 MPPT, 4 fusibles DC secc. y contactor DC por bloque, y 1 magneto AC cabecera por equipo. Mayor parte de elementos los de PowerMax v_D</t>
  </si>
  <si>
    <t>AAV71XX</t>
  </si>
  <si>
    <t>El de 210kW</t>
  </si>
  <si>
    <t>INVERTER MODULE</t>
  </si>
  <si>
    <t>POWER BLOCK</t>
  </si>
  <si>
    <t>Tarjeta Captaciones (antes de desglosar por potencias)</t>
  </si>
  <si>
    <t>AAS0043</t>
  </si>
  <si>
    <t>Tarjeta Captaciones antigua (de analógicos)</t>
  </si>
  <si>
    <t>Switch térmico TMT CA 1 X-85ºC TOR</t>
  </si>
  <si>
    <t>MANGUERA 2 HILOS 0,34 730mm NTC-PUNTERA</t>
  </si>
  <si>
    <t>AAS7130</t>
  </si>
  <si>
    <t>15 versHón_D</t>
  </si>
  <si>
    <t>30 versHón_B</t>
  </si>
  <si>
    <t>30 versHón_A</t>
  </si>
  <si>
    <t>Cajas de strings</t>
  </si>
  <si>
    <t>Kits</t>
  </si>
  <si>
    <t>PVP fabricante</t>
  </si>
  <si>
    <t>Precio compra Energy 2012</t>
  </si>
  <si>
    <t>Precio compra Energy 2010</t>
  </si>
  <si>
    <t>Incremento  2010 a 2012</t>
  </si>
  <si>
    <t>Contacto auxiliar para contactor Schneider</t>
  </si>
  <si>
    <t>Auxiliar contact for contactor Schneider</t>
  </si>
  <si>
    <t>Contactor 115A 230VAC Schneider</t>
  </si>
  <si>
    <t>FUS 690V 63A 80kA CILINDRICO 22X58 gG</t>
  </si>
  <si>
    <t>Fusible 63A 690VAC 22x58mm con percutor</t>
  </si>
  <si>
    <t>Fuse 63A 690VAC 22x58mm with striker</t>
  </si>
  <si>
    <t>Disyuntor magnetotérmico 160A Schneider</t>
  </si>
  <si>
    <t>Thermal magnetic breaker 160A Schneider</t>
  </si>
  <si>
    <t>IAU 25A 690V 3P 25kA MT 50kA NO</t>
  </si>
  <si>
    <t>Disyuntor magnetotérmico 20 a 25A Schneider</t>
  </si>
  <si>
    <t>Thermal magnetic breaker 20 to 25A Schneider</t>
  </si>
  <si>
    <t>PST 120/320V 3+0 Clase II 40kA SM</t>
  </si>
  <si>
    <t>Descargador sobretensiones 320VAC 3+0 Iskra</t>
  </si>
  <si>
    <t>Surge arrestor 320VAC 3+0 Iskra</t>
  </si>
  <si>
    <t>Bobina 220VAC para contactor Schneider 185A</t>
  </si>
  <si>
    <t>Coil 220VAC for contactor Schneider 185A</t>
  </si>
  <si>
    <t>FBN N Cilíndrico 14x51</t>
  </si>
  <si>
    <t>Fusible barra de neutro</t>
  </si>
  <si>
    <t>Contacto auxiliar para seta emergencia EAO</t>
  </si>
  <si>
    <t>Auxiliar contact for emergency stop button EAO</t>
  </si>
  <si>
    <t>IQ1, QACMX</t>
  </si>
  <si>
    <t>CAU Inserción 0NA 0NC 1CM</t>
  </si>
  <si>
    <t>IQ1, IQ2, IQ3, IQ4,IQ5</t>
  </si>
  <si>
    <t>Contacto auxiliar para magnetotérmico Schneider</t>
  </si>
  <si>
    <t>Auxiliar contact for breaker Schneider</t>
  </si>
  <si>
    <t>Contacto auxiliar para seccionador Socomec</t>
  </si>
  <si>
    <t>Auxiliar contact for wwitch-breaker Socomec</t>
  </si>
  <si>
    <t>Contacto auxiliar para magnetotérmico ABB</t>
  </si>
  <si>
    <t>Auxiliar contact for breaker ABB</t>
  </si>
  <si>
    <t>Contacto auxiliar para seta emergencia Allen Bradley</t>
  </si>
  <si>
    <t>Auxiliar contact for emergency stop button Allen Bradley</t>
  </si>
  <si>
    <t>Contacto auxiliar para magnetotérmico GE</t>
  </si>
  <si>
    <t>Auxiliar contact for breaker GE</t>
  </si>
  <si>
    <t>Contactor 185A 1000VAC Schneider</t>
  </si>
  <si>
    <t>Contactor 25A 230VAC Schneider</t>
  </si>
  <si>
    <t>Contactor 32A 230VAC Schneider</t>
  </si>
  <si>
    <t>ACC Filtro RC 240V</t>
  </si>
  <si>
    <t>ACC FILTRO RC 240V</t>
  </si>
  <si>
    <t>Filtro RC para bobina contactor Schneider 50-115A</t>
  </si>
  <si>
    <t>RC coil filter for contactor Schneider 50-115A</t>
  </si>
  <si>
    <t>ACC FILTRO RC</t>
  </si>
  <si>
    <t>Filtro RC para bobina contactor Schneider 185A</t>
  </si>
  <si>
    <t>RC coil filter for contactor Schneider 185A</t>
  </si>
  <si>
    <t>Filtro EMI AC 180A</t>
  </si>
  <si>
    <t xml:space="preserve">180A AC EMI filter </t>
  </si>
  <si>
    <t>K1.RC (AFI09038)</t>
  </si>
  <si>
    <t>Circuito RC 110V/240V para contactor LC1D25, LCD1D32, LC1D38</t>
  </si>
  <si>
    <t>Filtro RC 240V para bobina contactor Schneider 25 a 38A</t>
  </si>
  <si>
    <t>RC coil filter 240V for contactor Schneider 25 to 38A</t>
  </si>
  <si>
    <t>AIF Adaptador Fusibles DIN 110</t>
  </si>
  <si>
    <t>FUS 690V 63A 80kA Cilíndrico 22x58 aM</t>
  </si>
  <si>
    <t>BFU 690V 125A 3P CILINDRICO 22x58 CI</t>
  </si>
  <si>
    <t>Portafusibles 3 polos con indicador 22x58mm</t>
  </si>
  <si>
    <t>Fuse base 3P with indicator 22x58mm</t>
  </si>
  <si>
    <t>ISF 250A DIN43653 TN110 900V 4P</t>
  </si>
  <si>
    <t>Seccionador 4 polos 250A 900VDC con fusibles Socomec</t>
  </si>
  <si>
    <t>Switch-breaker 4p 250A 900VDC with fuses Socomec</t>
  </si>
  <si>
    <t>Seccionador 4 polos 200A 900VDC</t>
  </si>
  <si>
    <t>Switch-breaker 4p 200A 900VDC</t>
  </si>
  <si>
    <t>ISF 400A NA NA 1000V 4P</t>
  </si>
  <si>
    <t>IAM B 40A 600Vdc 4P 6kA</t>
  </si>
  <si>
    <t>Disyuntor magnetotérmico 40A 600VDC</t>
  </si>
  <si>
    <t>Thermal magnetic breaker 40A 600VDC</t>
  </si>
  <si>
    <t>IAM B 10A 880Vdc 4P 6kA</t>
  </si>
  <si>
    <t>Disyuntor magnetotérmico 10A GE</t>
  </si>
  <si>
    <t>Thermal magnetic breaker 10A GE</t>
  </si>
  <si>
    <t>AMR Maneta ext IP55 Negro</t>
  </si>
  <si>
    <t>Maneta con bloqueo por candados para seccionador Socomec</t>
  </si>
  <si>
    <t>Handle with padlock lock for switch-breaker Socomec</t>
  </si>
  <si>
    <t>AMR Maneta ext IP65 Negro</t>
  </si>
  <si>
    <t>Mando prolongado para seccionador Socomec</t>
  </si>
  <si>
    <t>Prolonged control for switch-breaker Socomec</t>
  </si>
  <si>
    <t>CMR 500mm CE IP55 Horizontal</t>
  </si>
  <si>
    <t>Mando prolongado para magnetotérmico 100-250A Schneider</t>
  </si>
  <si>
    <t>Prolonged control for magnetic breaker 100-250A Schneider</t>
  </si>
  <si>
    <t>AIA Limitador Sup 3P</t>
  </si>
  <si>
    <t>Limitador para disyuntor magnetotermico Schneider</t>
  </si>
  <si>
    <t>Limiter for thermal magnetic-breaker Schneider</t>
  </si>
  <si>
    <t>IAU 0,16A 690V 3P 100kA MT 100kA NO</t>
  </si>
  <si>
    <t>Disyuntor magnetotérmico 0,1 a 0,16A Schneider</t>
  </si>
  <si>
    <t>Thermal magnetic breaker 0,1 to 0,16A Schneider</t>
  </si>
  <si>
    <t>IAU 10A 690V 3P 100kA TM 100kA NO</t>
  </si>
  <si>
    <t>Disyuntor magnetotérmico 6 a 10A Schneider</t>
  </si>
  <si>
    <t>Thermal magnetic breaker 6 to 10A Schneider</t>
  </si>
  <si>
    <t>IAU 32A 690V 3P 17.5kA TM 35kA NO</t>
  </si>
  <si>
    <t>Disyuntor magnetotérmico 24 a 32A Schneider</t>
  </si>
  <si>
    <t>Thermal magnetic breaker 24 to 32A Schneider</t>
  </si>
  <si>
    <t>IAU 18A 690V 3P 25kA TM 50kA NO</t>
  </si>
  <si>
    <t>Disyuntor magnetotérmico 13 a 18A Schneider</t>
  </si>
  <si>
    <t>Thermal magnetic breaker 13 to 18A Schneider</t>
  </si>
  <si>
    <t>PST 1000V DC 2+1 Clase II 40kA CM</t>
  </si>
  <si>
    <t>Descargador sobretensiones 1000VDC Iskra</t>
  </si>
  <si>
    <t>Surge arrestor 1000VDC Iskra</t>
  </si>
  <si>
    <t>Descargador sobretensiones 1000VDC Dehn</t>
  </si>
  <si>
    <t>CAJA CONDS TRIFÁSICA 90uF 275 Vac</t>
  </si>
  <si>
    <t>PST 690V AC 3+0 Clase II 40kA CM</t>
  </si>
  <si>
    <t>Descargador sobretensiones 690VAC 3+0 Iskra</t>
  </si>
  <si>
    <t>Surge arrestor 690VAC 3+0 Iskra</t>
  </si>
  <si>
    <t>PCS 22mm GIRAR</t>
  </si>
  <si>
    <t>Pulsador para seta de emergencia Allen Bradley</t>
  </si>
  <si>
    <t>CFI 4uF J 250VCA PP RAD 32mm 85ºC 10000h</t>
  </si>
  <si>
    <t>Conector rápido MC4 hembra negativo</t>
  </si>
  <si>
    <t>MC4 female quick connector negative</t>
  </si>
  <si>
    <t>MC4 male quick connector possitive</t>
  </si>
  <si>
    <t>ACO TA MULTICONTACT  32.0716</t>
  </si>
  <si>
    <t>MC4 female quick connector cap</t>
  </si>
  <si>
    <t>ACO TA MULTICONTACT  32.0717</t>
  </si>
  <si>
    <t>MC4 male quick connector cap</t>
  </si>
  <si>
    <t xml:space="preserve">EFI00025            </t>
  </si>
  <si>
    <t xml:space="preserve">Filtro EMI AC 42A </t>
  </si>
  <si>
    <t xml:space="preserve">42A AC EMI filter </t>
  </si>
  <si>
    <t xml:space="preserve">Filtro EMI AC 400A </t>
  </si>
  <si>
    <t xml:space="preserve">400A AC EMI filter </t>
  </si>
  <si>
    <t>FUS 690V 40A 120kA Cilíndrico 14x51 gG</t>
  </si>
  <si>
    <t>Fusible 40A 690VAC 14x51mm con indicador</t>
  </si>
  <si>
    <t>Fuse 40A 690VAC 14x51mm with indicator</t>
  </si>
  <si>
    <t>FUS 500V 32A 120kA Cilíndrico 14x51 gG</t>
  </si>
  <si>
    <t>Fusible 32A 500VAC 14x51mm con indicador</t>
  </si>
  <si>
    <t>Fuse 32A 500VAC 14x51mm with indicator</t>
  </si>
  <si>
    <t>Fusible 63A 690VAC 22x58mm con indicador</t>
  </si>
  <si>
    <t>Fuse 63A 690VAC 22x58mm with indicator</t>
  </si>
  <si>
    <t>BFU 690V 32A 3P 10x38 CI</t>
  </si>
  <si>
    <t>Portafusibles 3 polos con indicador 10x38mm</t>
  </si>
  <si>
    <t>Fuse base 3P with indicator 10x38mm</t>
  </si>
  <si>
    <t>RSM 220R F 500V INS 2W 250ppm/K</t>
  </si>
  <si>
    <t>Resistencia para ventilador AC</t>
  </si>
  <si>
    <t>Resistance for AC fan</t>
  </si>
  <si>
    <t>FAN PST 1000V DC 2+1 Clase II 40kA CM</t>
  </si>
  <si>
    <t>FAN CFI 220nF K 630VDC PP RAD 27,5mm</t>
  </si>
  <si>
    <t>Condensador 220nF para ventilador axial</t>
  </si>
  <si>
    <t>Capacitor 220nF for axial fan</t>
  </si>
  <si>
    <t>FAN BFU 690V 50A 1P Cilíndrico 14x51 SI</t>
  </si>
  <si>
    <t>Portafusibles 1 polo 14x51mm</t>
  </si>
  <si>
    <t>FAN FUS 500V 0,5A Cilíndrico 10x38 gG</t>
  </si>
  <si>
    <t>FAN FUS 500V 16A Cilíndrico 10x38 gG</t>
  </si>
  <si>
    <t>Fusible 16A 500VAC 10x38mm con indicador</t>
  </si>
  <si>
    <t>Fuse 16A 500VAC 10x38mm with indicator</t>
  </si>
  <si>
    <t>Cubrebornes seccionador Socomec</t>
  </si>
  <si>
    <t>PCI 385V 682V 300J</t>
  </si>
  <si>
    <t>Cubrebornes largo para magnetotérmico 100-250A Schneider</t>
  </si>
  <si>
    <t>Contactor 38A 230VAC Schneider</t>
  </si>
  <si>
    <t>BFU 690V 125A 3P+N Cilíndrico 22x58 SI</t>
  </si>
  <si>
    <t>Portafusibles 4 polos 22x58mm</t>
  </si>
  <si>
    <t>Fuse base 4P with indicator 22x58mm</t>
  </si>
  <si>
    <t>FAN PST AC 3+1 Clase II 40kA CM</t>
  </si>
  <si>
    <t>PST 1000V DC 2+1 CLASE II 40kA CM</t>
  </si>
  <si>
    <t>Ventilador axial 119x119x38 230Vac.</t>
  </si>
  <si>
    <t>Ventilador axial 230VAC 17W</t>
  </si>
  <si>
    <t>Axial fan 230VAC 17W</t>
  </si>
  <si>
    <t>RDP Siliconada Tubular Bob. 0.1 90W</t>
  </si>
  <si>
    <t>Siliconed resistance 0,1R 90W</t>
  </si>
  <si>
    <t>FAN FUS 690V 63A Cilíndrico 22x58 aR</t>
  </si>
  <si>
    <t>Fusible rápido 63A 690VAC 22x58mm</t>
  </si>
  <si>
    <t>IAU 400A 380/415 V 3P 70kA E 70kA NO</t>
  </si>
  <si>
    <t>Sincronismo fibra óptica 1600mm</t>
  </si>
  <si>
    <t>Sincronismo fibra óptica 1900mm</t>
  </si>
  <si>
    <t>Sincronismo fibra óptica 2520mm</t>
  </si>
  <si>
    <t>Sincronismo fibra óptica 3160mm</t>
  </si>
  <si>
    <t xml:space="preserve">Filtro EMI AC 55A </t>
  </si>
  <si>
    <t xml:space="preserve">55A AC EMI filter </t>
  </si>
  <si>
    <t>FAN FUS 690V 80A Cilíndrico 22x58 aR</t>
  </si>
  <si>
    <t>Fusible rápido 80A 690VAC 22x58mm</t>
  </si>
  <si>
    <t>Bornero de carril 185mm2</t>
  </si>
  <si>
    <t>Rail terminal block 185mm2</t>
  </si>
  <si>
    <t>VARIADOR DIG INGECON SUN 125 MS</t>
  </si>
  <si>
    <t>PST 230V AC 3+1 Clase II 20kA CM</t>
  </si>
  <si>
    <t>FAN PST 230V AC 3+1 Clase II  CM</t>
  </si>
  <si>
    <t>IAU 250A 380/415V 3P 70kA E 70kA NO</t>
  </si>
  <si>
    <t>Disyuntor magnetotérmico 250A Schneider</t>
  </si>
  <si>
    <t>Thermal magnetic breaker 250A Schneider</t>
  </si>
  <si>
    <t>CMR 500mm CE IP56 Horizontal</t>
  </si>
  <si>
    <t>FAN BFU 690V 125A 3P Cilíndrico 22x58 SI</t>
  </si>
  <si>
    <t xml:space="preserve">Filtro EMI AC 30A </t>
  </si>
  <si>
    <t xml:space="preserve">30A AC EMI filter </t>
  </si>
  <si>
    <t>Seccionador 4 polos 63A 1200VDC ABB</t>
  </si>
  <si>
    <t>Switch-breaker 4p 63A 1200VDC ABB</t>
  </si>
  <si>
    <t>FAN FUS 1000V 440mA 10kA Cil 10,3x35</t>
  </si>
  <si>
    <t xml:space="preserve">Fusible 440mA 1000VDC 10x38mm </t>
  </si>
  <si>
    <t>IAU 32A 400V 3P 38kA TM 50kA NO</t>
  </si>
  <si>
    <t>Disyuntor magnetotérmico 24 a 32A GE</t>
  </si>
  <si>
    <t>Thermal magnetic breaker 24 to 32A GE</t>
  </si>
  <si>
    <t>IAU 0,16A 400V 3P 100kA TM 100kA NO</t>
  </si>
  <si>
    <t>Disyuntor magnetotérmico 0,1 a 0,16A GE</t>
  </si>
  <si>
    <t>Thermal magnetic breaker 0,1 to 0,16A GE</t>
  </si>
  <si>
    <t>IAU 10A 400V 3P 100kA TM 100kA NO</t>
  </si>
  <si>
    <t>Disyuntor magnetotérmico 6 a 10A GE</t>
  </si>
  <si>
    <t>Thermal magnetic breaker 6 to 10A GE</t>
  </si>
  <si>
    <t>IAU 400A 690V 3P 85kA E 85kA NO</t>
  </si>
  <si>
    <t>CONJ MAGNETOTERMICO 400A SCHNEIDER</t>
  </si>
  <si>
    <t>CONJ MAGNETOTERMICO 420A GE</t>
  </si>
  <si>
    <t>FAN CONJ MAGNETOTERMICO 400A</t>
  </si>
  <si>
    <t>CONJUNTO Disyuntor magnetotérmico 400A</t>
  </si>
  <si>
    <t>SET Thermal magnetic breaker 400A</t>
  </si>
  <si>
    <t>AIA Adaptador Frontal 3P</t>
  </si>
  <si>
    <t>CBR CORTOS 690V 3P MAGNETOTÉRMICO GE</t>
  </si>
  <si>
    <t>CAU Interior insercion 0NA 0NC 1CM</t>
  </si>
  <si>
    <t>CMR 390mm CE IP54 Horizontal</t>
  </si>
  <si>
    <t>Contactor 50A 230VAC Schneider</t>
  </si>
  <si>
    <t>CIRCUITO RC 110V/240V PARA CONTACTOR LC1D50</t>
  </si>
  <si>
    <t>Filtro RC 240V para bobina contactor Schneider 50A</t>
  </si>
  <si>
    <t>RC coil filter 240V for contactor Schneider 50A</t>
  </si>
  <si>
    <t>FAN HW FILTR ARMON CONM 90uF EQUIPOS TL</t>
  </si>
  <si>
    <t>Contactor 25A 12VDC Schneider</t>
  </si>
  <si>
    <t>Contactor 38A 12VDC Schneider</t>
  </si>
  <si>
    <t>FAN IAU 690V 3P MT 50kA NO</t>
  </si>
  <si>
    <t>CONJUNTO Disyuntor magnetotérmico 13 a 18A</t>
  </si>
  <si>
    <t>SET Thermal magnetic breaker 13 to 18A</t>
  </si>
  <si>
    <t>FAN CFI 4uF J 250VCA PP RAD 32mm 85ºC</t>
  </si>
  <si>
    <t>PST 1000V DC 2 CLASE II 40kA CM</t>
  </si>
  <si>
    <t>FAN PST 1000V DC CLASE II 40kA CM</t>
  </si>
  <si>
    <t>CBR LARGOS 690V 3P MAGNETOTÉRMICO GE</t>
  </si>
  <si>
    <t>FAN BFU 690V 125A 3P+N Cilínd 22x58 SI</t>
  </si>
  <si>
    <t>FAN FUS 690V 63A Cilíndr 22x58 aM</t>
  </si>
  <si>
    <t>FAN FUS 1000Vdc 4A 10kA Cilíndrico 10x38</t>
  </si>
  <si>
    <t>FAN FUS 500V 4A 120kA Cil. 10x38 gG SI</t>
  </si>
  <si>
    <t>Fusible 4A 500VAC 10x38mm</t>
  </si>
  <si>
    <t>FAN FUS 1000Vdc 8A 30kA Cilín 10x38 gPV</t>
  </si>
  <si>
    <t>Fusible 8A 1000VDC 10x38mm</t>
  </si>
  <si>
    <t>FAN FUS 1000Vdc 10A 30kA Cilín 10x38 gPV</t>
  </si>
  <si>
    <t>Fusible 10A 1000VDC 10x38mm</t>
  </si>
  <si>
    <t>Fusible 16A 500VDC 10x38mm</t>
  </si>
  <si>
    <t>Fusible 400A 1250VDC para seccionador</t>
  </si>
  <si>
    <t>Fuse 400A 1250VDC for switch-breaker</t>
  </si>
  <si>
    <t>FTE ALIM 15 VDC EXTERNA</t>
  </si>
  <si>
    <t>Display alfanumérico para trifásicos</t>
  </si>
  <si>
    <t>Alphanumeric display for three-phase inverters</t>
  </si>
  <si>
    <t>HW ENTR/SA 2 SEGDRES INGSUN CON FTE ALIM</t>
  </si>
  <si>
    <t>Tarjeta de seguimiento dos ejes</t>
  </si>
  <si>
    <t>Two-axis tracking board</t>
  </si>
  <si>
    <t>HW  FILTR  AMORT RED PARA EQ HASTA 25 KW</t>
  </si>
  <si>
    <t>Filtro de amortiguamiento de red para equipos hasta 25kW</t>
  </si>
  <si>
    <t>Damping filter network for inverters to 25kW</t>
  </si>
  <si>
    <t>Filtro de amortiguamiento de red para equipos desde 50kW</t>
  </si>
  <si>
    <t>Damping filter network for inverters from 50kW</t>
  </si>
  <si>
    <t xml:space="preserve">HW voltage detection 1000V DC </t>
  </si>
  <si>
    <t>DETECTOR DE FUSIBLE FUNDIDO PARA EQ TRIF</t>
  </si>
  <si>
    <t>Blown fuse detector for three-phase equipment</t>
  </si>
  <si>
    <t>TARJETA DE DESACOPLO DEL DISPLAY</t>
  </si>
  <si>
    <t>Tarjeta de desacoplo del display</t>
  </si>
  <si>
    <t>Display decoupling board</t>
  </si>
  <si>
    <t>HW FILTR ARM DE CONM EQUIPOS HASTA 15KW</t>
  </si>
  <si>
    <t>Filtro de armónicos para equipos de 10 a 15kW</t>
  </si>
  <si>
    <t>Harmonics filter for inverters 10 to 15kW</t>
  </si>
  <si>
    <t>HW FILTR ARM DE CONM EQUIP DE 20-25KW</t>
  </si>
  <si>
    <t>Filtro de armónicos para equipos de 20 a 30kW</t>
  </si>
  <si>
    <t>Harmonics filter for inverters 20 to 30kW</t>
  </si>
  <si>
    <t>VARIADOR INGECON SUN 80</t>
  </si>
  <si>
    <t>POWER BLOCK INGECON SUN 80</t>
  </si>
  <si>
    <t>POWER BLOCK INGECON SUN 100</t>
  </si>
  <si>
    <t>VARIADOR INGECON SUN 60</t>
  </si>
  <si>
    <t>POWER BLOCK INGECON SUN 60</t>
  </si>
  <si>
    <t>VARIADOR INGSUN TRIF CNXN RED 100 KW TL</t>
  </si>
  <si>
    <t xml:space="preserve">VARIADOR INGECON SUN 100 TL </t>
  </si>
  <si>
    <t xml:space="preserve">POWER BLOCK INGECON SUN 100 TL </t>
  </si>
  <si>
    <t>VARIADOR INGECON SUN 25 IP20</t>
  </si>
  <si>
    <t>POWER BLOCK INGECON SUN 25 IP20</t>
  </si>
  <si>
    <t>VARIADOR INGECON SUN 11</t>
  </si>
  <si>
    <t>POWER BLOCK INGECON SUN 11</t>
  </si>
  <si>
    <t>VARIADOR INGECON SUN 10</t>
  </si>
  <si>
    <t>POWER BLOCK INGECON SUN 10</t>
  </si>
  <si>
    <t>VARIADOR INGECON SUN 12,5</t>
  </si>
  <si>
    <t>POWER BLOCK INGECON SUN 12,5</t>
  </si>
  <si>
    <t>VARIADOR ANALÓG INGECON SUN 125</t>
  </si>
  <si>
    <t>POWER BLOCK INGECON SUN 125 TL ANALOGIC</t>
  </si>
  <si>
    <t>Kit de anclaje para inversores modulares</t>
  </si>
  <si>
    <t>Anchor Kit for modular inverters</t>
  </si>
  <si>
    <t>VARIADOR DIG INGECON SUN 125</t>
  </si>
  <si>
    <t>VARIADOR INGECON SUN 25</t>
  </si>
  <si>
    <t>POWER BLOCK INGECON SUN 25</t>
  </si>
  <si>
    <t>Tarjeta de diodos anti-inversión</t>
  </si>
  <si>
    <t>Reverse polarity protection diodes</t>
  </si>
  <si>
    <t>HW SEÑAL SINCRONISMO FIBRA</t>
  </si>
  <si>
    <t>HW señal de sincronismo fibra</t>
  </si>
  <si>
    <t>KIT SINC EQ. MODULARES 125 kW DIGITALES</t>
  </si>
  <si>
    <t>Cable de fibra para sincronización de equipos modulares</t>
  </si>
  <si>
    <t>Synchroniser fiber-optic cable for modular inverters</t>
  </si>
  <si>
    <t>VARIADOR INGECON SUN 15</t>
  </si>
  <si>
    <t>POWER BLOCK INGECON SUN 15</t>
  </si>
  <si>
    <t>VARIADOR DIG INGCON SUN 156 MS</t>
  </si>
  <si>
    <t>VARIADOR INGECON SUN 20</t>
  </si>
  <si>
    <t>POWER BLOCK INGECON SUN 20</t>
  </si>
  <si>
    <t>VARIADOR INGECON SUN 30</t>
  </si>
  <si>
    <t>POWER BLOCK INGECON SUN 30</t>
  </si>
  <si>
    <t>CONJ MAGNETOTERMICO 24..32 A GE</t>
  </si>
  <si>
    <t>CONJUNTO Disyuntor magnetotérmico 24 a 32A GE</t>
  </si>
  <si>
    <t>SET Thermal magnetic breaker 24 to 32A GE</t>
  </si>
  <si>
    <t>CONJ MAGNETOTERMICO 0,1..0,16A GE</t>
  </si>
  <si>
    <t>CONJUNTO Disyuntor magnetotérmico 0,1 a 0,16A GE</t>
  </si>
  <si>
    <t>SET Thermal magnetic breaker 0,1 to 0,16A GE</t>
  </si>
  <si>
    <t>CONJ MAGNETOTERMICO 6..10A GE</t>
  </si>
  <si>
    <t>CONJUNTO Disyuntor magnetotérmico 6 a 10A GE</t>
  </si>
  <si>
    <t>SET Thermal magnetic breaker 6 to 10A GE</t>
  </si>
  <si>
    <t>CONJ MAGNETOTERMICO 0,1..0,16A SCHNEIDER</t>
  </si>
  <si>
    <t>CONJUNTO Disyuntor magnetotérmico 0,1 a 0,16A Schneider</t>
  </si>
  <si>
    <t>SET Thermal magnetic breaker 0,1 to 0,16A Schneider</t>
  </si>
  <si>
    <t>CONJ MAGNETOTERMICO 6..10A SCHNEIDER</t>
  </si>
  <si>
    <t>CONJUNTO Disyuntor magnetotérmico 6 a 10A Schneider</t>
  </si>
  <si>
    <t>SET Thermal magnetic breaker 6 to 10A Schneider</t>
  </si>
  <si>
    <t>CONJ MAGNETOTERMICO 24..32 A SCHNEIDER</t>
  </si>
  <si>
    <t>CONJUNTO Disyuntor magnetotérmico 24 a 32A Schneider</t>
  </si>
  <si>
    <t>SET Thermal magnetic breaker 24 to 32A Schneider</t>
  </si>
  <si>
    <t>FAN CONJ MAGNETOTERMICO 0,1..0,16A</t>
  </si>
  <si>
    <t>FAN CONJ MAGNETOTERMICO 6..10A</t>
  </si>
  <si>
    <t>FAN CONJ MAGNETOTERMICO 24..32A</t>
  </si>
  <si>
    <t>FAN CONJ MAGNETOTERMICO 400A (EP)</t>
  </si>
  <si>
    <t>FAN CONJ SETA EMERGENCIA 125kW</t>
  </si>
  <si>
    <t>CONJUNTO seta emergencia</t>
  </si>
  <si>
    <t>FAN CONJ SETA EMERGENCIA NX</t>
  </si>
  <si>
    <t>FAN CONDENSADORES TRIFÁSICA 90uF ESTRE</t>
  </si>
  <si>
    <t>VARIADOR INGECON SUN 50</t>
  </si>
  <si>
    <t>POWER BLOCK INGECON SUN 50</t>
  </si>
  <si>
    <t>VARIADOR INGECON SUN 90</t>
  </si>
  <si>
    <t>POWER BLOCK INGECON SUN 90</t>
  </si>
  <si>
    <t>VARIADOR INGECON SUN 70</t>
  </si>
  <si>
    <t>POWER BLOCK INGECON SUN 70</t>
  </si>
  <si>
    <t>VARIADOR INGECON SUN 20 IP20</t>
  </si>
  <si>
    <t>POWER BLOCK INGECON SUN 20 IP20</t>
  </si>
  <si>
    <t>FAN RC POS Y NEG 3uF PARA FILTRO MC PARTE DC</t>
  </si>
  <si>
    <t>FAN RDP Siliconada Tubular Bob 0R1 200W</t>
  </si>
  <si>
    <t>Filtro MC AAS0196/7</t>
  </si>
  <si>
    <t>FAN RC POS Y NEG FILTRO MC 470nF</t>
  </si>
  <si>
    <t>VARIADOR DIG INGECON SUN 182,5</t>
  </si>
  <si>
    <t>VARIADOR DIG INGCON SUN 182,5 MS</t>
  </si>
  <si>
    <t>VARIADOR DIG INGECON SUN 200</t>
  </si>
  <si>
    <t>VARIADOR DIG INGCON SUN 200 MS</t>
  </si>
  <si>
    <t>VARIADOR DIG INGECON SUN 210</t>
  </si>
  <si>
    <t>VARIADOR DIG INGCON SUN 210 MS</t>
  </si>
  <si>
    <t>VARIADOR  DIG INGCONSUN TRIF 100KW TL</t>
  </si>
  <si>
    <t>ZMS CONNECTION WIRE 10xBAT RED</t>
  </si>
  <si>
    <t>Cable conexión UPS3kVA a baterías</t>
  </si>
  <si>
    <t>Connection wire UPS3kVA to batteries</t>
  </si>
  <si>
    <t>BOX 10xBAT PARA SAI 3KVA IP20</t>
  </si>
  <si>
    <t>Caja con 10 baterías para UPS3kVA IP20</t>
  </si>
  <si>
    <t>Box of 10 batteries for UPS3kVA IP20</t>
  </si>
  <si>
    <t>UPS 3KVA IP20 ELECTRONICS BOX</t>
  </si>
  <si>
    <t>Caja electrónica UPS3kVA IP20</t>
  </si>
  <si>
    <t>VARIADOR INGSUN TRHF CONXN RED 96KW LV</t>
  </si>
  <si>
    <t>VARIADOR INGECON SUN 96LV</t>
  </si>
  <si>
    <t>FILTRO CONDENSADORES TRIFASICOS 90uF 275</t>
  </si>
  <si>
    <t>Filtro de armónicos equipos PowerMax y PowerMaxter</t>
  </si>
  <si>
    <t>Harmonics filter PowerMax and PowerMaxter Inverters</t>
  </si>
  <si>
    <t xml:space="preserve">REPUESTOS INGECON SUN </t>
  </si>
  <si>
    <t>Ventilador119x119x38 230Vac.</t>
  </si>
  <si>
    <t>HW de display matricial, teclado y leds con CAN para ingecon sun</t>
  </si>
  <si>
    <t>Opciones</t>
  </si>
  <si>
    <t>RVDC (*): si el kit es versión anterior a la C, puede ser:</t>
  </si>
  <si>
    <t>ISKRA (SAP 106104232)</t>
  </si>
  <si>
    <t>Weidmuller (SAP 106110753)</t>
  </si>
  <si>
    <t>Elementos Singulares</t>
  </si>
  <si>
    <t>VARIADOR DE ELECTRÓNICA IS 10</t>
  </si>
  <si>
    <t>VARIADOR DE ELECTRÓNICA IS 11</t>
  </si>
  <si>
    <t>VARIADOR DE ELECTRÓNICA IS 12,5</t>
  </si>
  <si>
    <t>REPUESTOS INGECON SUN 10-11-12 v_F</t>
  </si>
  <si>
    <t>Circuito RC 110V/240V para contactor LC1D25</t>
  </si>
  <si>
    <t>Portafusible cilindrivo para fusible 14x51 Imax 50A  Vmax 690 V</t>
  </si>
  <si>
    <t>Variador para ingecon sun trifásico 11kW IP54</t>
  </si>
  <si>
    <t>Ref. Inversor</t>
  </si>
  <si>
    <t>Unidades Necesarias</t>
  </si>
  <si>
    <t>VARIADOR PARA INGECON SUN TRIFASICO CON CONEXIÓN A RED 15 KW</t>
  </si>
  <si>
    <t>DETECTOR DE FUSIBLE FUNDIDO PARA EQUIPO TRIFÁSICO</t>
  </si>
  <si>
    <t>FUSIBLE gG  32 AMPERIOS 690 V CON INDICADOR 14X51</t>
  </si>
  <si>
    <t>PORTAFUSIBLE CILÍNDRICO PARA FUSIBLE 14X51 IMAX 50A  VMAX 690 V</t>
  </si>
  <si>
    <t>PORTAFUSIBLE MSC10 , PARA FUSIBLES 10X38 IMAX 32 AMP VMAX 690 VOLTIOS CON INDICADOR</t>
  </si>
  <si>
    <t>FUSIBLE GL-GG  0,5 AMPERIOS 500 V CON INDICADOR 10X38</t>
  </si>
  <si>
    <t>FUSIBLE GL-GG  16 AMPERIOS 500 V CON INDICADOR 10X38</t>
  </si>
  <si>
    <t>CONTACTOR 25 AMPERIOS AC3 , 40 AMP AC1 , 50 HZ 1NA/1NC</t>
  </si>
  <si>
    <t>CIRCUITO RC 110V/240V PARA CONTACTOR LC1D25</t>
  </si>
  <si>
    <t>VENTILADOR 220 VOLTIOS.</t>
  </si>
  <si>
    <t xml:space="preserve">CONDENSADOR DE POLIPROPILENO DE 300VAC 220NF                     </t>
  </si>
  <si>
    <t>BORNERO  EQUIPOS TRIFÁSICOS HASTA 15KW IP54</t>
  </si>
  <si>
    <t>BORNERO CABLEADO TRAFO – BOBINA EQUIPOS IP54 HASTA 15KW</t>
  </si>
  <si>
    <t>RESISTENCIAS 220H-2W 5% RC VENTILADORES AC</t>
  </si>
  <si>
    <t>HW  FILTRO  AMORTIGUAMIENTO DE RED PARA EQUIPOS HASTA 25 KW</t>
  </si>
  <si>
    <t>HW FILTRADO ARMÓNICOS CONMUTACIÓN PARA EQUIPOS HASTA 15 KW</t>
  </si>
  <si>
    <t>HW DE DISPLAY , TECLADO Y LEDS ,PARA INGECON SUN AISLADO</t>
  </si>
  <si>
    <t>FILTRO EMI TRES FASES Y NEUTRO</t>
  </si>
  <si>
    <t>10 versión_G</t>
  </si>
  <si>
    <t>11 versión_G</t>
  </si>
  <si>
    <t>12,5 versión_G</t>
  </si>
  <si>
    <t>Variador para ingecon sun trifásico 15kW IP54</t>
  </si>
  <si>
    <t xml:space="preserve">REPUESTOS INGECON SUN 15 v_C </t>
  </si>
  <si>
    <t>REPUESTOS INGECON SUN 15 v_B</t>
  </si>
  <si>
    <t xml:space="preserve">Cantidad </t>
  </si>
  <si>
    <t>Detector de fusible fundido para equipo trifásico</t>
  </si>
  <si>
    <t>Fusible gG  40 amperios 690 V con indicador 14x51</t>
  </si>
  <si>
    <t>Portafusible MSC10 , para fusibles 10x38 Imax 32 Amp Vmax 690 Voltios con indicador</t>
  </si>
  <si>
    <t>Ventilador 220 voltios.</t>
  </si>
  <si>
    <t>MANGUERA 34 1000MM IZDA. IZDA.</t>
  </si>
  <si>
    <t>Filtro EMI tres fases y neutro</t>
  </si>
  <si>
    <t>KIT DE PROTECCIÓN DE SOBRETENSIÓN DC</t>
  </si>
  <si>
    <t>DESCARGADOR DE CONTINUA</t>
  </si>
  <si>
    <t>CONTACTO AUXILIAR</t>
  </si>
  <si>
    <t xml:space="preserve">AIA50420            </t>
  </si>
  <si>
    <t>SECCIONADOR MAGNETOTERMICO DC HASTA 1200VDC</t>
  </si>
  <si>
    <t>PROTECCIONES</t>
  </si>
  <si>
    <t>PROTECCIONES  CAPTACIONES AC (IAU 0,16A 690V 3P 100kA MT 100kA NO)</t>
  </si>
  <si>
    <t>Disyuntor Magnetotérmico (IAU 10A 690V 3P 100kA TM 100kA NO)</t>
  </si>
  <si>
    <t>FUSIBLE 63 AMPERIOS CON PERCUTOR</t>
  </si>
  <si>
    <t>BASE FUSIBLE 3F CON MICROSWICH E INDICADOR</t>
  </si>
  <si>
    <t xml:space="preserve">AFI09038            </t>
  </si>
  <si>
    <t>CIRCUITO RC 110V/240V PARA CONTACTOR LC1D32</t>
  </si>
  <si>
    <t>FILTRO EMI</t>
  </si>
  <si>
    <t>FILTRO DE AMORTIGUAMIENTO (sandwich cond + resist)</t>
  </si>
  <si>
    <t>FILTRO DE CONMUTACIÓN (resist)</t>
  </si>
  <si>
    <t xml:space="preserve">FAN VEN axial 230VCA 19W 94CFM IP20                </t>
  </si>
  <si>
    <t>Elementos singulares</t>
  </si>
  <si>
    <t>VARIADOR Ingecon Sun 20</t>
  </si>
  <si>
    <t>VARIADOR Ingecon Sun 25</t>
  </si>
  <si>
    <t>Es el mismo variador</t>
  </si>
  <si>
    <t>Global Electrik</t>
  </si>
  <si>
    <t>IS20 IP20 (v_D, variador v_B) Valdepeñas</t>
  </si>
  <si>
    <t>DESCRIPCION</t>
  </si>
  <si>
    <t>CANTIDAD</t>
  </si>
  <si>
    <t>AIA50420</t>
  </si>
  <si>
    <t>SECCIONADOR MAGNETOTERMICO DC HASTA 1200Vdc</t>
  </si>
  <si>
    <t>PROTECCIONES CAPTACIONES AC</t>
  </si>
  <si>
    <t>DISYUNTOR MAGNETOTERMICO</t>
  </si>
  <si>
    <t>FUSIBLE 63A CON PERCUTOR</t>
  </si>
  <si>
    <t>BASE FUSIBLE 3F CON MICROSWITCH E INDICADOR</t>
  </si>
  <si>
    <t>106104395 de Dehn y 106101723 de Iskra</t>
  </si>
  <si>
    <t>AFI09038</t>
  </si>
  <si>
    <t>EFI00025</t>
  </si>
  <si>
    <t xml:space="preserve">FILTRO EMI 42A </t>
  </si>
  <si>
    <t>FILTRO DE AMORTIGUAMIENTO</t>
  </si>
  <si>
    <t>TARJETA DE CONTROL INGECON SUN 20</t>
  </si>
  <si>
    <t>TARJETA DE SEGUIDOR DOBLE (Código 106.200.626)</t>
  </si>
  <si>
    <t>SOFTWARE DE ENRUTAMIENTO PUERTOS SERIE A INTERNET</t>
  </si>
  <si>
    <t>20 IP20 v_F</t>
  </si>
  <si>
    <t>25 IP20 v_F</t>
  </si>
  <si>
    <t>REPUESTOS INGECON SUN 20 versión_ A</t>
  </si>
  <si>
    <t>DESCRIPCION ARTICULO</t>
  </si>
  <si>
    <t>IQ1, IQ2</t>
  </si>
  <si>
    <t>siempre en todas versiones</t>
  </si>
  <si>
    <t>REPUESTOS INGECON SUN 20 version_</t>
  </si>
  <si>
    <t>CIRCUITO RC 110V/240V PARA CONTACTOR LC1D38</t>
  </si>
  <si>
    <t>BFU 690V 125A 3P+N Cilíndrico 22x58 S</t>
  </si>
  <si>
    <t>REPUESTOS INGECON SUN 25 versión_ B</t>
  </si>
  <si>
    <t>Igual version_A que version_</t>
  </si>
  <si>
    <t>REPUESTOS INGECON SUN 25 versión_ y versión_A</t>
  </si>
  <si>
    <t>Versión</t>
  </si>
  <si>
    <t>VARIADOR Ingecon Sun 30</t>
  </si>
  <si>
    <t>REPUESTOS INGECON SUN 30 v_</t>
  </si>
  <si>
    <t xml:space="preserve"> BFU 690V 125A 3P+N Cilíndrico 22x58 S</t>
  </si>
  <si>
    <t>VARIADOR 30KW IP54</t>
  </si>
  <si>
    <t>Código</t>
  </si>
  <si>
    <t>Mando prolongador para seccionador  longitud 500 mm</t>
  </si>
  <si>
    <t>Interruptor automatico Compact NSX250H TM200D 380/415 70KA</t>
  </si>
  <si>
    <t>DISPLAY MATRICIAL, TECLADO Y LEDS CON CAN PARA INGECON SUN</t>
  </si>
  <si>
    <t>REPUESTOS INGECON SUN 50-60 v_F y E</t>
  </si>
  <si>
    <t>HW FILTRO DE ARMONICOS DE CONMUTACIÓN PARA EQUIPOS DE 60 A 100 Kw</t>
  </si>
  <si>
    <t>DE CAPTACION DE TENSION DC 1000V.</t>
  </si>
  <si>
    <t>Proteccion magnetotermica, NS250H TM200D 3P 70KA</t>
  </si>
  <si>
    <t>HW DE DISPLAY, TECLADO Y LEDS, PARA INGECON SUN. AISLADO</t>
  </si>
  <si>
    <t>VARIADOR PARA INGECON SUN TRIFASICO CON CONEXIÓN A RED 60 KW</t>
  </si>
  <si>
    <t>REPUESTOS INGECON SUN 50-60 v_D</t>
  </si>
  <si>
    <t>VARIADOR PARA INGECON SUN TRIFASICO CON CONEXIÓN A RED 100 KW</t>
  </si>
  <si>
    <t>RV CAPTACIÓN</t>
  </si>
  <si>
    <t>IQ2,IQ3,IQ4,IQ5</t>
  </si>
  <si>
    <t>Fusibles 440mA, 1000V</t>
  </si>
  <si>
    <t>HW FILTRO AMORTIGUAMIENTO DE RED PARA EQUIPOS DE 60 A 100 KW</t>
  </si>
  <si>
    <t>HW FILTRO DE ARMONICOS DE CONMUTACION PARA EQUIPOS DE 60 A 100 KW</t>
  </si>
  <si>
    <t>Base de fusibles 3F</t>
  </si>
  <si>
    <t>VENTI1,VENTI2,VENTI3</t>
  </si>
  <si>
    <t>EMBELLECEDOR DE PLASTICO DISPLAY</t>
  </si>
  <si>
    <t>Etiqueta parada de emergencia</t>
  </si>
  <si>
    <t>Contacto auxiliar para Seta de emergencia</t>
  </si>
  <si>
    <t>REPUESTOS INGECON SUN 50-60 v_C</t>
  </si>
  <si>
    <t>Variador  de electrónica</t>
  </si>
  <si>
    <t>FUSIBLE DC 400A 1000 VDC</t>
  </si>
  <si>
    <t xml:space="preserve">AIA04250            </t>
  </si>
  <si>
    <t>INTERRUPTOR SECCIONADOR CON FUSIBLE DE 4X250A</t>
  </si>
  <si>
    <t>EJE PROLONGADOR DE 500mm, ACCIONAMIENTO EXTERIOR</t>
  </si>
  <si>
    <t>COBREBORNES IP2 DE PROTECCION DE 2 POLOS</t>
  </si>
  <si>
    <t>CONTACTO AUXILIAR DE PRECORTE Y SEÑALIZACION DE LA POSICION</t>
  </si>
  <si>
    <t xml:space="preserve">CONTACTOR  TRIFASICO 185A                                       </t>
  </si>
  <si>
    <t xml:space="preserve">BOBINA DE CIERRE                                  </t>
  </si>
  <si>
    <t xml:space="preserve">CONTACTO AUXILIAR                                 </t>
  </si>
  <si>
    <t xml:space="preserve">AFI00079            </t>
  </si>
  <si>
    <t xml:space="preserve">FILTRO RC                                         </t>
  </si>
  <si>
    <t>PROTECCIONES FILTROS, CAPTACIONES...</t>
  </si>
  <si>
    <t xml:space="preserve">DISYUNTOR MAGNETOTERMICO 13 .. 18 AMPERIOS </t>
  </si>
  <si>
    <t>LIMITADOR PARA DISYUNTOR MAGNETOTERMICO</t>
  </si>
  <si>
    <t>DISYUNTOR MAGNET. 20...25</t>
  </si>
  <si>
    <t xml:space="preserve">AIA50406            </t>
  </si>
  <si>
    <t>FILTRO CONMUTACIÓN</t>
  </si>
  <si>
    <t xml:space="preserve">AFI00850            </t>
  </si>
  <si>
    <t>FILTRO EMI 180 AMPERIOS</t>
  </si>
  <si>
    <t xml:space="preserve">FUSIBLE 63A  AM + PERCUTOR      </t>
  </si>
  <si>
    <t xml:space="preserve">AIA31671            </t>
  </si>
  <si>
    <t>PROTECCION MAGNETOTERMICA, NS250H TM200D 3P 70KA</t>
  </si>
  <si>
    <t>NS100/250 MANDO ROTATIVO PROL. EMP. NEGRA</t>
  </si>
  <si>
    <t xml:space="preserve">VENTILADOR W2E250-CE65-01                         </t>
  </si>
  <si>
    <t>TARJETA DE DISPLAY</t>
  </si>
  <si>
    <t>50 version_</t>
  </si>
  <si>
    <t>60 version_H-_I</t>
  </si>
  <si>
    <t>60 version_G</t>
  </si>
  <si>
    <t>REPUESTOS INGECON SUN 80 v_J</t>
  </si>
  <si>
    <t>Fusibles 1000V 440mA 10kA Cilíndrico 10.3x35mm</t>
  </si>
  <si>
    <t>Descargador continua PST 1000 VDC Clase II 40kA CM</t>
  </si>
  <si>
    <t xml:space="preserve">Descargador alterna PST 230 VAC Clase II 40kA CM </t>
  </si>
  <si>
    <t>VARIADOR PARA INGECON SUN TRIFASICO CON CONEXIÓN A RED 80 KW</t>
  </si>
  <si>
    <t>Mando rotativo prolongado  interruptor automatico NSX100-250</t>
  </si>
  <si>
    <t>VARIADOR PARA INGECON SUN TRIFASICO CON CONEXIÓN A RED 70 KW</t>
  </si>
  <si>
    <t>REPUESTOS INGECON SUN 70-80 v_G</t>
  </si>
  <si>
    <t>DISPLAY MATRICIAL, TECLADO Y LEDS CON CAN PARA INGECON</t>
  </si>
  <si>
    <t>VARIADOR INGECON SUN TRIFASICO CON CONEXIÓN A RED 80 KW</t>
  </si>
  <si>
    <t>REPUESTOS INGECON SUN 70-80 v_F y E</t>
  </si>
  <si>
    <t>REPUESTOS INGECON SUN 70-80 v_D</t>
  </si>
  <si>
    <t>REPUESTOS INGECON SUN 70-80 v_C</t>
  </si>
  <si>
    <t>70 version_</t>
  </si>
  <si>
    <t>80 version_H-_I</t>
  </si>
  <si>
    <t>90 version_</t>
  </si>
  <si>
    <t>AQN0110 (puerta módulo DC Himel)</t>
  </si>
  <si>
    <t>Indicador Postventa (%)</t>
  </si>
  <si>
    <t>Tasa Incidencias Anual estimado ECS</t>
  </si>
  <si>
    <t>coste medio de reparación variador</t>
  </si>
  <si>
    <t xml:space="preserve">PEGATINA NO ABRIR                                                  </t>
  </si>
  <si>
    <t>PEG PRECINTO PORTAFUSIBLES VARIADORES       </t>
  </si>
  <si>
    <t>AAS7001IDG01</t>
  </si>
  <si>
    <t>AAS7000IDG01</t>
  </si>
  <si>
    <t>AAS7002IDG01</t>
  </si>
  <si>
    <t>AAS7048IDG01</t>
  </si>
  <si>
    <t>AAS7046IDG01</t>
  </si>
  <si>
    <t>AAS7042IDG01</t>
  </si>
  <si>
    <t>AAS7040IDG01</t>
  </si>
  <si>
    <t>AAX7035</t>
  </si>
  <si>
    <t>KIT INSTALACION BLUETOOTH + RS485 PARA COMBOX</t>
  </si>
  <si>
    <t>AAX7033</t>
  </si>
  <si>
    <t>KIT INSTALACION REPETIDOR BLUETOOTH</t>
  </si>
  <si>
    <t>AAX7032</t>
  </si>
  <si>
    <t>KIT INSTALACION TARJETA BLUETOOTH + RS485</t>
  </si>
  <si>
    <t>AAX7031</t>
  </si>
  <si>
    <t>KIT INSTALACION TARJETA BLUETOOTH</t>
  </si>
  <si>
    <t>AAX0033</t>
  </si>
  <si>
    <t>AAX0032</t>
  </si>
  <si>
    <t>AAX0031</t>
  </si>
  <si>
    <t>WEATHERBOX</t>
  </si>
  <si>
    <t>AAX7038</t>
  </si>
  <si>
    <t>AAX7039</t>
  </si>
  <si>
    <t>WEATHERBOX CON BLUETOOTH</t>
  </si>
  <si>
    <t>Fuse 250A 1000VDC 2XL gPV</t>
  </si>
  <si>
    <t>Portafusibles 1 polo 2XL</t>
  </si>
  <si>
    <t>Fuse base 1P 2XL</t>
  </si>
  <si>
    <t>Portafusibles  1 polo 10X38</t>
  </si>
  <si>
    <t>Fuse base 1P 10X38</t>
  </si>
  <si>
    <t>Fusible 15A 1000VDC 10x38</t>
  </si>
  <si>
    <t>Fuse 15A 1000VDC 10x38</t>
  </si>
  <si>
    <t>Fuente de alimentación externa 230VAC-12VDC</t>
  </si>
  <si>
    <t>230VAC-12VDC External power supply</t>
  </si>
  <si>
    <t>Mando a puerta S2 SOCOMEC</t>
  </si>
  <si>
    <t>External handle  S2 SOCOMEC</t>
  </si>
  <si>
    <t>Extension serie V for switch-breaker SOCOMEC</t>
  </si>
  <si>
    <t>Seccionador 4 polos 400A 1000VDC UL SOCOMEC</t>
  </si>
  <si>
    <t>Switch-breaker 4P 400A 1000VDC UL SOCOMEC</t>
  </si>
  <si>
    <t>CONJUNTO seccionador 4 polos 400A 1000VDC UL SOCOMEC</t>
  </si>
  <si>
    <t>SET switch-breaker 4P 400A 1000VDC UL SOCOMEC</t>
  </si>
  <si>
    <t>Seccionador 4 polos 630A 1000VDC UL TELERGON</t>
  </si>
  <si>
    <t>Switch-breaker 4P 630A 1000VDC UL TELERGON</t>
  </si>
  <si>
    <t>CONJUNTO seccionador 4 polos 630A 1000VDC UL TELERGON</t>
  </si>
  <si>
    <t>SET switch-breaker 4P 630A 1000VDC UL TELERGON</t>
  </si>
  <si>
    <t>Mando a puerta DS-SA21 TELERGON</t>
  </si>
  <si>
    <t>External handle  DS-SA21 TELERGON</t>
  </si>
  <si>
    <r>
      <t xml:space="preserve">LISTADO DE REPUESTOS INGEREV / </t>
    </r>
    <r>
      <rPr>
        <b/>
        <i/>
        <sz val="12"/>
        <rFont val="Calibri"/>
        <family val="2"/>
        <scheme val="minor"/>
      </rPr>
      <t>INGEREV SPARE PARTS</t>
    </r>
  </si>
  <si>
    <t>ABA0000IDG01</t>
  </si>
  <si>
    <r>
      <t xml:space="preserve">Nota / </t>
    </r>
    <r>
      <rPr>
        <i/>
        <sz val="9"/>
        <color theme="1"/>
        <rFont val="Calibri"/>
        <family val="2"/>
        <scheme val="minor"/>
      </rPr>
      <t>Note</t>
    </r>
  </si>
  <si>
    <r>
      <t xml:space="preserve">COMUNES / </t>
    </r>
    <r>
      <rPr>
        <i/>
        <sz val="9"/>
        <color theme="1"/>
        <rFont val="Calibri"/>
        <family val="2"/>
        <scheme val="minor"/>
      </rPr>
      <t>COMMON PARTS</t>
    </r>
  </si>
  <si>
    <t>ABA0001</t>
  </si>
  <si>
    <t>HW de control estación de recarga</t>
  </si>
  <si>
    <t>Charging Station Control Board</t>
  </si>
  <si>
    <t>ABA0007</t>
  </si>
  <si>
    <t>HW Lector RFID + Antena</t>
  </si>
  <si>
    <t>RFID Reader + Antenna</t>
  </si>
  <si>
    <t>Display Matricial para estaciones de recarga</t>
  </si>
  <si>
    <t>Display for charging stations</t>
  </si>
  <si>
    <t>Cable de display</t>
  </si>
  <si>
    <t>Display cable</t>
  </si>
  <si>
    <t>P1</t>
  </si>
  <si>
    <t>Contador MID</t>
  </si>
  <si>
    <t>MID Meter</t>
  </si>
  <si>
    <t>G1</t>
  </si>
  <si>
    <t>Fuente Alimentación +15Vdc</t>
  </si>
  <si>
    <t>Power Supply +15Vdc</t>
  </si>
  <si>
    <t>ABA0004</t>
  </si>
  <si>
    <t>HW conexión lector de tarjetas</t>
  </si>
  <si>
    <t>RFID Reader connection HW</t>
  </si>
  <si>
    <t>Magnetotérmico 10A</t>
  </si>
  <si>
    <t>10A Circuit breaker</t>
  </si>
  <si>
    <t>microswitch</t>
  </si>
  <si>
    <t xml:space="preserve"> CITY</t>
  </si>
  <si>
    <t>G2</t>
  </si>
  <si>
    <t>ABA0002</t>
  </si>
  <si>
    <t>HW Iluminación IngeRev City</t>
  </si>
  <si>
    <t>IngeRev City Illumination HW</t>
  </si>
  <si>
    <t>L1</t>
  </si>
  <si>
    <t>Solenoide Bloqueo Puerta</t>
  </si>
  <si>
    <t>Door Locking Switch</t>
  </si>
  <si>
    <t>Transil Bidireccional</t>
  </si>
  <si>
    <t>Bidirectional Transil</t>
  </si>
  <si>
    <t>1P 16A</t>
  </si>
  <si>
    <t>K1,K2</t>
  </si>
  <si>
    <t>RCD 2P 30mA Type A</t>
  </si>
  <si>
    <t>Contactor 20A 2P</t>
  </si>
  <si>
    <t>2P 20A Contactor</t>
  </si>
  <si>
    <t>3P+N 16A</t>
  </si>
  <si>
    <t>K2</t>
  </si>
  <si>
    <t>3P+N 32A</t>
  </si>
  <si>
    <t>RCD  30mA 40A 400V 4P Type A</t>
  </si>
  <si>
    <r>
      <t xml:space="preserve">Texto explicativo / </t>
    </r>
    <r>
      <rPr>
        <i/>
        <sz val="11"/>
        <color theme="1"/>
        <rFont val="Calibri"/>
        <family val="2"/>
        <scheme val="minor"/>
      </rPr>
      <t xml:space="preserve">Claryfying text </t>
    </r>
  </si>
  <si>
    <r>
      <t xml:space="preserve">Nota/Note ABA0007: En alguna referencia del modelo "Garage" se utiliza la referencia ABA0007 106205125 en lugar de la ABA0001 / </t>
    </r>
    <r>
      <rPr>
        <i/>
        <sz val="8"/>
        <color indexed="8"/>
        <rFont val="Courier New"/>
        <family val="3"/>
      </rPr>
      <t>In some of the "Garage" references, ABA0007 is used instead of ABA0001.</t>
    </r>
  </si>
  <si>
    <r>
      <t>Nota/</t>
    </r>
    <r>
      <rPr>
        <i/>
        <sz val="8"/>
        <color indexed="8"/>
        <rFont val="Courier New"/>
        <family val="3"/>
      </rPr>
      <t>Note</t>
    </r>
    <r>
      <rPr>
        <sz val="8"/>
        <color indexed="8"/>
        <rFont val="Courier New"/>
        <family val="3"/>
      </rPr>
      <t xml:space="preserve"> 1:  Las referencias 106115900 y 106105328 deberán ser montadas entre sí como se indica en las instrucciones de montaje de las estaciones de recarga que lo incorporan / </t>
    </r>
    <r>
      <rPr>
        <i/>
        <sz val="8"/>
        <color indexed="8"/>
        <rFont val="Courier New"/>
        <family val="3"/>
      </rPr>
      <t>106115900 &amp; 106105328 refs to be mounted together as indicated on documentation.</t>
    </r>
  </si>
  <si>
    <r>
      <t>Nota/</t>
    </r>
    <r>
      <rPr>
        <i/>
        <sz val="8"/>
        <color indexed="8"/>
        <rFont val="Courier New"/>
        <family val="3"/>
      </rPr>
      <t>Note</t>
    </r>
    <r>
      <rPr>
        <sz val="8"/>
        <color indexed="8"/>
        <rFont val="Courier New"/>
        <family val="3"/>
      </rPr>
      <t xml:space="preserve"> 2: Referencias de protecciones no rearmables / </t>
    </r>
    <r>
      <rPr>
        <i/>
        <sz val="8"/>
        <color indexed="8"/>
        <rFont val="Courier New"/>
        <family val="3"/>
      </rPr>
      <t>Non Automatic Protection References</t>
    </r>
  </si>
  <si>
    <r>
      <t>Nota/</t>
    </r>
    <r>
      <rPr>
        <i/>
        <sz val="8"/>
        <color indexed="8"/>
        <rFont val="Courier New"/>
        <family val="3"/>
      </rPr>
      <t>Note</t>
    </r>
    <r>
      <rPr>
        <sz val="8"/>
        <color indexed="8"/>
        <rFont val="Courier New"/>
        <family val="3"/>
      </rPr>
      <t xml:space="preserve"> 3: Referencias de protecciones rearmables / </t>
    </r>
    <r>
      <rPr>
        <i/>
        <sz val="8"/>
        <color indexed="8"/>
        <rFont val="Courier New"/>
        <family val="3"/>
      </rPr>
      <t>Automatic Protection Referenes</t>
    </r>
  </si>
  <si>
    <r>
      <t>Nota/</t>
    </r>
    <r>
      <rPr>
        <i/>
        <sz val="8"/>
        <color indexed="8"/>
        <rFont val="Courier New"/>
        <family val="3"/>
      </rPr>
      <t>Note</t>
    </r>
    <r>
      <rPr>
        <sz val="8"/>
        <color indexed="8"/>
        <rFont val="Courier New"/>
        <family val="3"/>
      </rPr>
      <t xml:space="preserve"> 4: Sólo válida para referencias Modo 1: ABA7001 y ABA7002 / </t>
    </r>
    <r>
      <rPr>
        <i/>
        <sz val="8"/>
        <color indexed="8"/>
        <rFont val="Courier New"/>
        <family val="3"/>
      </rPr>
      <t>Only valid for ABA7001 and ABA7002 Mode 1 references.</t>
    </r>
  </si>
  <si>
    <r>
      <t>Nota/</t>
    </r>
    <r>
      <rPr>
        <i/>
        <sz val="8"/>
        <color indexed="8"/>
        <rFont val="Courier New"/>
        <family val="3"/>
      </rPr>
      <t>Note</t>
    </r>
    <r>
      <rPr>
        <sz val="8"/>
        <color indexed="8"/>
        <rFont val="Courier New"/>
        <family val="3"/>
      </rPr>
      <t xml:space="preserve"> FAN: El código puede incluir diferentes modelos de distintos fabricantes, siendo 100% compatibles entre sí / </t>
    </r>
    <r>
      <rPr>
        <i/>
        <sz val="8"/>
        <color indexed="8"/>
        <rFont val="Courier New"/>
        <family val="3"/>
      </rPr>
      <t>The code can include different models from different manufacturers, 100% compatible</t>
    </r>
  </si>
  <si>
    <t>Relé potencia 25A</t>
  </si>
  <si>
    <t>25A Power relay</t>
  </si>
  <si>
    <t>Diferencial 2P 30mA Tipo A</t>
  </si>
  <si>
    <t>Magnetotérmico 20A curva D</t>
  </si>
  <si>
    <t xml:space="preserve">20A  curve D Circuit Breaker </t>
  </si>
  <si>
    <t>Magnetotérmico 40A, Curva D, 4P</t>
  </si>
  <si>
    <t>40A, Curve D, 4P Circuit Breaker</t>
  </si>
  <si>
    <t>RCD 30Ma Type A + 16A Curve C Circuit Breaker 2P</t>
  </si>
  <si>
    <t>Diferencial 30mA + Magnetotérmico 16A Curva C Rearmable 2P</t>
  </si>
  <si>
    <t>Diferencial 30mA + Magnetotérmico 16A Curva C Rearmable 4P</t>
  </si>
  <si>
    <t>RCD 30Ma Type A + 16A Curve C Circuit Breaker4P</t>
  </si>
  <si>
    <t>Diferencial 30mA 40A 400V 4P Tipo A</t>
  </si>
  <si>
    <t>Batería 12V</t>
  </si>
  <si>
    <t>Battery 12V</t>
  </si>
  <si>
    <t>Contactor 32A 1000VAC 4P</t>
  </si>
  <si>
    <t>JMG</t>
  </si>
  <si>
    <t>x</t>
  </si>
  <si>
    <t>CONJ MAGNETOTERMICO 40 A SCHNEIDER </t>
  </si>
  <si>
    <t>Precio Compra Energy</t>
  </si>
  <si>
    <t>2, FAN</t>
  </si>
  <si>
    <t>Contactor  305A 1000VAC ABB</t>
  </si>
  <si>
    <t>Contactor 305A 1000VAC ABB</t>
  </si>
  <si>
    <t>Descargador sobretensiones 705VAC 3+0 Iskra</t>
  </si>
  <si>
    <t>Surge arrestor 705VAC 3+0 Iskra</t>
  </si>
  <si>
    <t>Disyuntor magnetotérmico 600A ABB</t>
  </si>
  <si>
    <t>Thermal magnetic breaker 600A ABB</t>
  </si>
  <si>
    <t>CONJUNTO disyuntor magnetotermico 600A ABB</t>
  </si>
  <si>
    <t>SET Thermal magnetic breaker 600A ABB</t>
  </si>
  <si>
    <t>CONJUNTO disyuntor magnetotermico 10A ABB</t>
  </si>
  <si>
    <t>SET Thermal magnetic breaker 10A ABB</t>
  </si>
  <si>
    <t>CONJUNTO magnetotermico 0.5A ABB</t>
  </si>
  <si>
    <t>SET Thermal magnetic breaker 0.5A ABB</t>
  </si>
  <si>
    <t>Auxiliar contact  for breaker ABB</t>
  </si>
  <si>
    <t>Mando prolongado para magnetotermico ABB</t>
  </si>
  <si>
    <t>Prolonged control for breaker ABB</t>
  </si>
  <si>
    <t>Terminal shrouds for breaker ABB</t>
  </si>
  <si>
    <t>Ventilador Radial 230VAC 170W</t>
  </si>
  <si>
    <t>Radial Fan 230VAC 170W</t>
  </si>
  <si>
    <t>VARIADOR INGECON SUN 125 TL U 208Vac</t>
  </si>
  <si>
    <t>POWER BLOCK INGECON SUN 125 TL U 208Vac</t>
  </si>
  <si>
    <t>VARIADOR INGECON SUN 165 TL U 275Vac</t>
  </si>
  <si>
    <t>POWER BLOCK INGECON SUN 165 TL U 275Vac</t>
  </si>
  <si>
    <t>VARIADOR INGECON SUN 200 TL U 330Vac</t>
  </si>
  <si>
    <t>POWER BLOCK INGECON SUN 200 TL U 330Vac</t>
  </si>
  <si>
    <t>VARIADOR INGECON SUN 220 TL U 360Vac</t>
  </si>
  <si>
    <t>POWER BLOCK INGECON SUN 220 TL U 360Vac</t>
  </si>
  <si>
    <t>SAT</t>
  </si>
  <si>
    <t>Tasa Incidencias Anual estimado ECS Revisado</t>
  </si>
  <si>
    <t>REPUESTOS NGECON SUN 10-11-12 v_E</t>
  </si>
  <si>
    <t>Luis Selva</t>
  </si>
  <si>
    <t>Tasa alta en los 1º años y luego baja</t>
  </si>
  <si>
    <t>Contacto auxiliar para contactor 20A</t>
  </si>
  <si>
    <t>Auxiliary contact for 20A contactor</t>
  </si>
  <si>
    <t>ABA0001 SISTEMA CONTROL ESTACIÓN RECARGA</t>
  </si>
  <si>
    <t>FAN LTG M A B ISO SI</t>
  </si>
  <si>
    <t>FAN DLP MATRICIAL MONOCR FSTN BOARD</t>
  </si>
  <si>
    <t>CABLE DISPLAY 20 VIAS 400mm PARA ABA</t>
  </si>
  <si>
    <t>AEC IN:208V 65A AUX:230V CA cl 1 DIN</t>
  </si>
  <si>
    <t>FAN FAL 230V CA Monofásica  15V</t>
  </si>
  <si>
    <t>ABA0004 HW LECTOR RFID CARGADOR VE</t>
  </si>
  <si>
    <t>IAM C 10A 400V 2P 6kA</t>
  </si>
  <si>
    <t>FAN FCR 250V CA/CC 1NA 1NC 0CM</t>
  </si>
  <si>
    <t>FAN BRC Bloque 12V 7.xAh VRLA 6.3mm</t>
  </si>
  <si>
    <t>ABA0002 HW ILUMINACIÓN FRONTALCARGADORVE</t>
  </si>
  <si>
    <t>SLN DC 15V BI 12W</t>
  </si>
  <si>
    <t>TRA BIDIR. 600W 15.3V DO-15</t>
  </si>
  <si>
    <t>REN 25A 230V 2NA 0NC 0CM TOR 240V CA</t>
  </si>
  <si>
    <t>IDF 25A 230V 30mA A-SI 2P</t>
  </si>
  <si>
    <t>IAM D 20A 230V 2P 10kA</t>
  </si>
  <si>
    <t>IDF 16A 230V 30mA 2P</t>
  </si>
  <si>
    <t>CBC  230V 24A  230V CA 2P</t>
  </si>
  <si>
    <t>CAU Lateral 2NA 0NC 0CM</t>
  </si>
  <si>
    <t>CBC 1000V 32A 230V CA 4P</t>
  </si>
  <si>
    <t>IDF 16A 230V 30mA 4P</t>
  </si>
  <si>
    <t>IDF 40A 400V 30mA A 4P</t>
  </si>
  <si>
    <t>FAN IAM D 40A 400V 4P</t>
  </si>
  <si>
    <t>Fusible 4A 1000VDC 10X38</t>
  </si>
  <si>
    <t>Fuse 4A 1000VDC 10X38</t>
  </si>
  <si>
    <t>Prolongador serie V para seccionador SOCOMEC</t>
  </si>
  <si>
    <t>AQE0273IGF08</t>
  </si>
  <si>
    <t>Pletina puente SOCOMEC SIRCO</t>
  </si>
  <si>
    <t>Bridging bars  SOCOMEC SIRCO</t>
  </si>
  <si>
    <t>LISTADO DE REPUESTOS INGECON SUN 125 U 480 Outdoor Version_</t>
  </si>
  <si>
    <t>LISTADO DE REPUESTOS INGECON SUN POWER TL U Outdoor Version_</t>
  </si>
  <si>
    <t>Filtro EMI 690VAC 180A</t>
  </si>
  <si>
    <t>EMI filter 690VAC 180A</t>
  </si>
  <si>
    <t>Filtro EMI 480VAC 180A CN</t>
  </si>
  <si>
    <t>EMC Filter 690VAC 180A CN</t>
  </si>
  <si>
    <t>Fusible 250A 1000VDC 2XL gPV</t>
  </si>
  <si>
    <t>CONJUNTO disyuntor magnetotermico 225A ABB</t>
  </si>
  <si>
    <t>SET Thermal magnetic breaker 225A ABB</t>
  </si>
  <si>
    <t>Disyuntor magnetotermico 225A ABB</t>
  </si>
  <si>
    <t>Thermal magnetic breaker 225A ABB</t>
  </si>
  <si>
    <t>Cubrebornes para magnetotermico ABB</t>
  </si>
  <si>
    <t>+15 Vdc Supply</t>
  </si>
  <si>
    <t>LISTADO DE REPUESTOS INGECON SUN 125 U 208 Outdoor Version_</t>
  </si>
  <si>
    <t>VARIADOR INGECON SUN 125 U 480Vac</t>
  </si>
  <si>
    <t>POWER BLOCK INGECON SUN 125 U 480Vac</t>
  </si>
  <si>
    <t>VARIADOR INGECON SUN 125 U 208Vac</t>
  </si>
  <si>
    <t>POWER BLOCK INGECON SUN 125 U 208Vac</t>
  </si>
  <si>
    <t>Descargador sobretensiones 277VAC 4+0 Iskra</t>
  </si>
  <si>
    <t>Surge arrestor  277VAC 4+0 Iskra</t>
  </si>
  <si>
    <t>Descargador sobretensiones 120VAC 4+0 Iskra</t>
  </si>
  <si>
    <t>Surge arrestor  120VAC 4+0 Iskra</t>
  </si>
  <si>
    <t>Contactor  145A 1000VAC ABB</t>
  </si>
  <si>
    <t>Contactor 145A 1000VAC ABB</t>
  </si>
  <si>
    <t>F6, F7</t>
  </si>
  <si>
    <t>AAS0196</t>
  </si>
  <si>
    <t>ABB7100</t>
  </si>
  <si>
    <t>ABB7105</t>
  </si>
  <si>
    <t>ABB0005IDG01</t>
  </si>
  <si>
    <t>ABB0003IDG01</t>
  </si>
  <si>
    <t>ABB0004IDG01</t>
  </si>
  <si>
    <t>FCR 600V CA/CC 1NA 1NC 0CM</t>
  </si>
  <si>
    <t>CMR 500mm  CE IP2X Horizontal</t>
  </si>
  <si>
    <t>FAL 230Vac-12Vdc 48W</t>
  </si>
  <si>
    <t>CBR 600V 3P</t>
  </si>
  <si>
    <t>CMR Xmm CE IP55 Horizontal</t>
  </si>
  <si>
    <t>CMR Eje prolong SECC. serie V  Socomec</t>
  </si>
  <si>
    <t>CMR Mando a puerta S2 socomec</t>
  </si>
  <si>
    <t>CBC 1000V 305A 100-250V CA/CC 3P</t>
  </si>
  <si>
    <t>IAU 600A 600V 3P 65kA E</t>
  </si>
  <si>
    <t>CAU 230V  INSERCIÓN 0NA 0NC 1CM</t>
  </si>
  <si>
    <t>SEC en carga 1000V 630A 4P</t>
  </si>
  <si>
    <t>IAU 225A 600V 3P 25kA E 175A</t>
  </si>
  <si>
    <t>CBC 1000V 145A 100-250V CA/CC 3P</t>
  </si>
  <si>
    <t>FAN BFU 1000V 1P CILÍNDRICO 10X38 SI UL</t>
  </si>
  <si>
    <t>FAN FUS 1000V 4 A 33 kA CILINDRICO 10X38</t>
  </si>
  <si>
    <t>AMR Maneta ext TELERGON</t>
  </si>
  <si>
    <t>APF MANETA EXTRACTORA 2XL</t>
  </si>
  <si>
    <t>VEN RA (Radial) 230VCA 170W 2510rpm CFM</t>
  </si>
  <si>
    <t>EMC 480Vac 180A CN</t>
  </si>
  <si>
    <t>PST 277V AC 4+0 ClaseII 150kA Safetec</t>
  </si>
  <si>
    <t>AQE0273IGF08 PLETINA PUENTE SOCOMEC SIRC</t>
  </si>
  <si>
    <t>AQE0273IGF09 PLETINA PUENTE TELERGON S5</t>
  </si>
  <si>
    <t>FAN FUS 1000V 250A 50kA 2XL gPV</t>
  </si>
  <si>
    <t>FAN BFU 1200V 400A 2XL 1P</t>
  </si>
  <si>
    <t>CABLE CAN 4 VÍAS 2110 MM</t>
  </si>
  <si>
    <t>PST 750V 3+0 Clase II 20kA Safetec</t>
  </si>
  <si>
    <t>PST 120V AC 4+0 ClaseII 40kA Safetec CR</t>
  </si>
  <si>
    <t>SEC EN CARGA DC 1000V 400A 4P UL</t>
  </si>
  <si>
    <t>FAN FUS 1000Vdc 15A 33kA Cilíndrico 10x3</t>
  </si>
  <si>
    <t>VARIADOR DIG INGECON SUN TRIF 480 V</t>
  </si>
  <si>
    <t>VARIADOR DIG INGECON SUN TRIF 208 V TL</t>
  </si>
  <si>
    <t>VARIADOR DIG INGECON SUN TRIF 275 V TL</t>
  </si>
  <si>
    <t>VARIADOR DIG INGECON SUN TRIF 330 V TL</t>
  </si>
  <si>
    <t>VARIADOR DIG INGECON SUN TRIF 360 V TL</t>
  </si>
  <si>
    <t>VARIADOR DIG INGECON SUN TRIF 208 V</t>
  </si>
  <si>
    <t>CONJ SECCIONADOR TELERGON S5  1000V 630A</t>
  </si>
  <si>
    <t>CONJ MAGNETOTERMICO ABB S202 C10</t>
  </si>
  <si>
    <t>CONJ MAGNETOTERMICO ABB S204 C0.5</t>
  </si>
  <si>
    <t>CONJ MAGNETOTERMICO ABB TMAX T3S</t>
  </si>
  <si>
    <t>CONJ MAGNETOTERMICO ABB TMAX T5N</t>
  </si>
  <si>
    <t>CONJ SECCIONADOR SOCOMEC Sirco UL PV 400</t>
  </si>
  <si>
    <t>CONJ MAGNETOTERMICO ABB S803U-K40</t>
  </si>
  <si>
    <t>FAN CON 500Vac 60Hz MON/TRI kVAr</t>
  </si>
  <si>
    <t>Minimo</t>
  </si>
  <si>
    <t>% Anual</t>
  </si>
  <si>
    <t>t&lt;5 dias</t>
  </si>
  <si>
    <t>Va a desaparecer</t>
  </si>
  <si>
    <t>Va a desaparecer. Meter la equivalente</t>
  </si>
  <si>
    <t>Ligado a condiciones atmosféricas de la planta</t>
  </si>
  <si>
    <t>años</t>
  </si>
  <si>
    <t>Nºincidencias previstas</t>
  </si>
  <si>
    <t>POWER BLOCK INGECON SUN 250 TL 400Vac</t>
  </si>
  <si>
    <t>DC MODULE</t>
  </si>
  <si>
    <t>REPUESTOS INGECON SUN  POWER MAX 1000M400 Indoor</t>
  </si>
  <si>
    <t>RVE PLASTICO 105x105 IP54 RAL7032 (marco plástico con filtro para monofásicos)</t>
  </si>
  <si>
    <t>min</t>
  </si>
  <si>
    <t>5 años</t>
  </si>
  <si>
    <t>20 años</t>
  </si>
  <si>
    <t>1 año</t>
  </si>
  <si>
    <t>Subtotal PVP 20 years</t>
  </si>
  <si>
    <t>Subtotal PVP 5 years</t>
  </si>
  <si>
    <t>Subtotal PVP 1 year</t>
  </si>
  <si>
    <t>Subtotal PVP mínimo</t>
  </si>
  <si>
    <t>x250kW</t>
  </si>
  <si>
    <t>Tasa anual 0-5 años</t>
  </si>
  <si>
    <t>¿bobinas?</t>
  </si>
  <si>
    <t>¿cables?</t>
  </si>
  <si>
    <t>Tapón conector rápido MC4 hembra</t>
  </si>
  <si>
    <t>Tapón conector rápido MC4 macho</t>
  </si>
  <si>
    <t>Subtotal InterCompany</t>
  </si>
  <si>
    <t>CARATULA DISPLAY TECLADO SERIE LITE</t>
  </si>
  <si>
    <t>Criterio Nov-2012 (JCJ): comercial (conectores, tornillos, aparamenta) 0,95 / 0,8; semi I+D (bobinas, cables, trafos, calderería, embalaje, manuales) 0,8 / 0,6; I+D (0,6/0,4)</t>
  </si>
  <si>
    <t>Descargador sobretensiones 320VAC 3+1</t>
  </si>
  <si>
    <t>Surge arrestor 320VAC 3+1</t>
  </si>
  <si>
    <t>AAV0055IDG01</t>
  </si>
  <si>
    <t>Qty /Power Block**</t>
  </si>
  <si>
    <t>Qty /Inv***</t>
  </si>
  <si>
    <t>ELEMENTOS ARMARIO AC DC AGRUPADO</t>
  </si>
  <si>
    <t>ELEMENTOS PLACA DE MONTAJE MODULO DE POTENCIA</t>
  </si>
  <si>
    <t>VENTI1-VENTI4, VENTIB1,VENTIB2</t>
  </si>
  <si>
    <t>KDC</t>
  </si>
  <si>
    <t>F11,F12</t>
  </si>
  <si>
    <t>PF11,PF12</t>
  </si>
  <si>
    <t>FAC</t>
  </si>
  <si>
    <t>PFAC</t>
  </si>
  <si>
    <t>FA+15</t>
  </si>
  <si>
    <r>
      <t>VARIADORES (U</t>
    </r>
    <r>
      <rPr>
        <vertAlign val="subscript"/>
        <sz val="9"/>
        <color theme="1"/>
        <rFont val="Calibri"/>
        <family val="2"/>
        <scheme val="minor"/>
      </rPr>
      <t>N</t>
    </r>
    <r>
      <rPr>
        <sz val="9"/>
        <color theme="1"/>
        <rFont val="Calibri"/>
        <family val="2"/>
        <scheme val="minor"/>
      </rPr>
      <t>)</t>
    </r>
  </si>
  <si>
    <t>AAV7120</t>
  </si>
  <si>
    <t>AAV7122</t>
  </si>
  <si>
    <t>AAV7124</t>
  </si>
  <si>
    <t>AAV7126</t>
  </si>
  <si>
    <t>AAV7128</t>
  </si>
  <si>
    <t>AAV7130</t>
  </si>
  <si>
    <t>VARIADOR  DIG INGECON SUN TRIF 400V</t>
  </si>
  <si>
    <t>Nota FAN: El código puede incluir diferentes modelos de distintos fabricantes, siendo 100% compatibles entre sí / The code can include different models from different manufacturers, 100% compatible</t>
  </si>
  <si>
    <r>
      <t xml:space="preserve">** Qty /Power Block indica la cantidad de unidades de un componente por cada bloque de potencia que tenga el equipo / </t>
    </r>
    <r>
      <rPr>
        <i/>
        <sz val="8"/>
        <color indexed="8"/>
        <rFont val="Courier New"/>
        <family val="3"/>
      </rPr>
      <t>Qty /Power Block shows the quantity of a component for each power block</t>
    </r>
  </si>
  <si>
    <r>
      <t xml:space="preserve">*** Qty /Inv indica la cantidad de unidades de un componente en el equipo cuando no depende del número de bloques de potencia que este tenga /  </t>
    </r>
    <r>
      <rPr>
        <i/>
        <sz val="8"/>
        <color indexed="8"/>
        <rFont val="Courier New"/>
        <family val="3"/>
      </rPr>
      <t>Qty /Inv shows the quantity of a component that doesn't depend on the number of power blocks of the inverter</t>
    </r>
  </si>
  <si>
    <r>
      <t xml:space="preserve">Nota 4: En el equipo va siempre un ventilador por cada bloque de potencia, además llevará uno más adicional si el equipo es de 2 bloques y dos más adicionales si el equipo es de 3 o 4 bloques / </t>
    </r>
    <r>
      <rPr>
        <i/>
        <sz val="8"/>
        <color indexed="8"/>
        <rFont val="Courier New"/>
        <family val="3"/>
      </rPr>
      <t>There is one fan for each power block, there is another addtional fan in case of 2  power blocks inverters and two  additional fans in case of 3  and 4 power blocks inverters</t>
    </r>
  </si>
  <si>
    <t>Disyuntor magnetotérmico 1600A Schneider</t>
  </si>
  <si>
    <t>Thermal magnetic breaker 1600A Schneider</t>
  </si>
  <si>
    <t>Disyuntor magnetotérmico 1600A ABB</t>
  </si>
  <si>
    <t>Thermal magnetic breaker 1600A ABB</t>
  </si>
  <si>
    <t>CONJUNTO Disyuntor magnetotérmico 1600A Schneider</t>
  </si>
  <si>
    <t>SET Thermal magnetic breaker 1600A Schneider</t>
  </si>
  <si>
    <t>CONJUNTO Disyuntor magnetotérmico 1600A ABB</t>
  </si>
  <si>
    <t>SET Thermal magnetic breaker 1600A ABB</t>
  </si>
  <si>
    <t>CONJUNTO Disyuntor magnetotérmico 1600A</t>
  </si>
  <si>
    <t>SET Thermal magnetic breaker 1600A</t>
  </si>
  <si>
    <t>Contacto auxiliar magnetotérmico cabecera ABB</t>
  </si>
  <si>
    <t>CONJUNTO Seccionador 4 polos 630A 1000VDC Telergon</t>
  </si>
  <si>
    <t>SET Switch-breaker 4P 630A 1000VDC Telergon</t>
  </si>
  <si>
    <t>External handle  DS-SA21 Telergon</t>
  </si>
  <si>
    <t>Extension 345mm for switch-breaker Telergon</t>
  </si>
  <si>
    <t>Input terminal shrouds 4 poles for switch-breaker Telergon</t>
  </si>
  <si>
    <t>Output terminal shrouds 4 poles for switch-breaker Telergon</t>
  </si>
  <si>
    <t>Bridging bars  switch-breaker Telergon</t>
  </si>
  <si>
    <t>Pletinas puente seccionador Telergon</t>
  </si>
  <si>
    <t>Cubrebornes salida 4 polos seccionador Telergon</t>
  </si>
  <si>
    <t>Cubrebornes entrada 4 polos seccionador Telergon</t>
  </si>
  <si>
    <t>Prolongador 345mm para seccionador Telergon</t>
  </si>
  <si>
    <t>Mando a puerta DS-SA21 Telergon</t>
  </si>
  <si>
    <t>Seccionador 4 polos 630A 1000VDC UL Telergon</t>
  </si>
  <si>
    <t>Switch-breaker 4P 630A 1000VDC UL Telergon</t>
  </si>
  <si>
    <t>Pletina puente Telergon S5</t>
  </si>
  <si>
    <t>Bridging bars Telergon S5</t>
  </si>
  <si>
    <t>CONJUNTO seccionador 4 polos 630A 1000VDC UL Telergon</t>
  </si>
  <si>
    <t>SET switch-breaker 4P 630A 1000VDC UL Telergon</t>
  </si>
  <si>
    <t>Seccionador 4 polos 400A 1000VDC UL Socomec</t>
  </si>
  <si>
    <t>Switch-breaker 4P 400A 1000VDC UL Socomec</t>
  </si>
  <si>
    <t>Pletina puente Socomec Sirco</t>
  </si>
  <si>
    <t>Bridging bars  Socomec Sirco</t>
  </si>
  <si>
    <t>CONJUNTO seccionador 4 polos 400A 1000VDC UL Socomec</t>
  </si>
  <si>
    <t>SET switch-breaker 4P 400A 1000VDC UL Socomec</t>
  </si>
  <si>
    <t>Auxiliar contact for head breaker ABB</t>
  </si>
  <si>
    <t>Mando a puerta para magnetotérmico ABB</t>
  </si>
  <si>
    <t>External handle for magnetic breaker Abb</t>
  </si>
  <si>
    <t>Mando a puerta para magnetotérmico Schneider</t>
  </si>
  <si>
    <t>External handle for magnetic breaker Schneider</t>
  </si>
  <si>
    <r>
      <t xml:space="preserve">Nota 5: El equipo tiene tantos finales de carrera como armarios (de 1 ó 2 módulos), de esta manera un equipo de 2 variadores tiene 2 finales de carrera y los de 3 y 4 variadores tienen 3 finales de carrera. / </t>
    </r>
    <r>
      <rPr>
        <i/>
        <sz val="8"/>
        <color indexed="8"/>
        <rFont val="Courier New"/>
        <family val="3"/>
      </rPr>
      <t>The number of limit switches depend on the number of cabinets (with one or two modules) so 2 power block inverters have 2 limit switches and 3 and 4 power block inverters have 3 limit switches</t>
    </r>
  </si>
  <si>
    <t>CONJUNTO Disyuntor magnetotérmico 20A</t>
  </si>
  <si>
    <t>SET Thermal magnetic breaker 20A</t>
  </si>
  <si>
    <t>CONJUNTO Disyuntor magnetotérmico 40A</t>
  </si>
  <si>
    <t>SET Thermal magnetic breaker 40A</t>
  </si>
  <si>
    <t>Condensador 33,2uF de filtro de armónicos</t>
  </si>
  <si>
    <t>Harmonics filter TL inverters 33,2uF capacitor</t>
  </si>
  <si>
    <t>Condensador 100uF de filtro de armónicos</t>
  </si>
  <si>
    <t>Harmonics filter TL inverters 100uF capacitor</t>
  </si>
  <si>
    <t>FILTRO ARMÓNICOS</t>
  </si>
  <si>
    <t>Bobina disparo remoto 250VAC para magnetotérmico Schneider 1600A</t>
  </si>
  <si>
    <t>Remote trip coil 250VAC for breaker Schneider 1600A</t>
  </si>
  <si>
    <t>Bobina disparo remoto 250VAC para magnetotérmico ABB 1600A</t>
  </si>
  <si>
    <t>Remote trip coil 250VAC for breaker ABB 1600A</t>
  </si>
  <si>
    <t>Precio Intercompany</t>
  </si>
  <si>
    <t>DESCRIPTION</t>
  </si>
  <si>
    <t>indice PVP</t>
  </si>
  <si>
    <t>indice InterCompany</t>
  </si>
  <si>
    <t>VARIADOR DIG INGCONSUN TRIF 220V</t>
  </si>
  <si>
    <t>VARIADOR DIG INGCONSUN TRIF 220V MS</t>
  </si>
  <si>
    <t>VARIADOR  DIG INGCONSUN TRIF 275V</t>
  </si>
  <si>
    <t>VARIADOR DIG INGCONSUN TRIF 275V MS</t>
  </si>
  <si>
    <t>VARIADOR  DIG INGCONSUN TRIF 320V</t>
  </si>
  <si>
    <t>VARIADOR  DIG INGCONSUN TRIF 320V MS</t>
  </si>
  <si>
    <t>VARIADOR  DIG INGCONSUN TRIF 345V</t>
  </si>
  <si>
    <t>VARIADOR  DIG INGCONSUN TRIF 345V MS</t>
  </si>
  <si>
    <t>VARIADOR  DIG INGCONSUN TRIF 360V</t>
  </si>
  <si>
    <t>VARIADOR  DIG INGCONSUN TRIF 360V MS</t>
  </si>
  <si>
    <t>Terminal shields for breaker ABB</t>
  </si>
  <si>
    <t>Terminal shields for switch-breaker ABB</t>
  </si>
  <si>
    <t>Terminal shields for switch-breaker Socomec</t>
  </si>
  <si>
    <t>Long terminal shields for thermal magnetic 100-250A Schneider</t>
  </si>
  <si>
    <t>Short terminal shields for thermal magnetic 400A Schneider</t>
  </si>
  <si>
    <t>Long terminal shields for thermal magnetic 400A Schneider</t>
  </si>
  <si>
    <t>Short terminal shields for thermal magnetic 400A GE</t>
  </si>
  <si>
    <t>Terminal shields 1000V 3P for contactor Telemecaniq 400A</t>
  </si>
  <si>
    <t>Long terminal shields for thermal magnetic 400A GE</t>
  </si>
  <si>
    <t>Terminal shields 690V 3P for contactor GE 420A</t>
  </si>
  <si>
    <t>Short terminal shields 3P for thermal magnetic 400A GE</t>
  </si>
  <si>
    <t>Long terminal shields 3P for thermal magnetic 400A GE</t>
  </si>
  <si>
    <t>Short terminal shields 3P for thermal magnetic 400A Schneider</t>
  </si>
  <si>
    <t>Long terminal shields 3P for thermal magnetic 400A Schneider</t>
  </si>
  <si>
    <t>LISTADO DE REPUESTOS INGECON SUN POWER MAX ACOMETIDA AGRUPADA</t>
  </si>
  <si>
    <t>Contactor 500A 2000VDC</t>
  </si>
  <si>
    <t>Fuente de alimentación externa 400VDC 50VA</t>
  </si>
  <si>
    <t>400VDC 50VA External power supply</t>
  </si>
  <si>
    <t>Fuente de alimentación externa 12VDC 48W</t>
  </si>
  <si>
    <t>12VDC 48W External power supply</t>
  </si>
  <si>
    <t>Fusible 400A 500VAC NH2</t>
  </si>
  <si>
    <t>Fuse 400A 500VAC NH2</t>
  </si>
  <si>
    <t>Portafusibles 1 polo NH2</t>
  </si>
  <si>
    <t>Fuse base 1P NH2</t>
  </si>
  <si>
    <t>POWER BLOCK  DIG INGECON SUN TRIF 400V</t>
  </si>
  <si>
    <t>AAV5013</t>
  </si>
  <si>
    <t>AAV5015</t>
  </si>
  <si>
    <t>KIT ASSEMBLY SNUBBER FAN POWER MAX/TER</t>
  </si>
  <si>
    <t>AAV5014</t>
  </si>
  <si>
    <t>KIT ASSEMBLY VOLTAGE SUPERVISOR FAN</t>
  </si>
  <si>
    <t>INSTALLATION OF AIR CORE INDUCTOR IN MS</t>
  </si>
  <si>
    <t>Precio compra Energy 2013</t>
  </si>
  <si>
    <t>no tengo</t>
  </si>
  <si>
    <t>Incremento  2012 a 2013</t>
  </si>
  <si>
    <t>Precio referencia 2013</t>
  </si>
  <si>
    <t>AAX0036</t>
  </si>
  <si>
    <t>Advanced Ethernet Board</t>
  </si>
  <si>
    <t>Módulos</t>
  </si>
  <si>
    <t>Equipos</t>
  </si>
  <si>
    <t>Units / Recommended</t>
  </si>
  <si>
    <t>AQL0022</t>
  </si>
  <si>
    <t>CABLE PLANO 34 VIAS 900mm D-D (Cable display)</t>
  </si>
  <si>
    <r>
      <t xml:space="preserve">AQE0098IGD02 SOPORTE EQUIPO PARED (chapa para colgar los Lite)  </t>
    </r>
    <r>
      <rPr>
        <sz val="11"/>
        <color rgb="FFFF0000"/>
        <rFont val="Calibri"/>
        <family val="2"/>
        <scheme val="minor"/>
      </rPr>
      <t>¿106.104.708 SUJECIÓN PARED MONOFÁSICO 5kW AQE0005IGD06 SUJ. PARED INVERSOR 5 kW (11.79€)?</t>
    </r>
  </si>
  <si>
    <t>Z1</t>
  </si>
  <si>
    <t>Toma M3 Mennekes</t>
  </si>
  <si>
    <t>M3 Mennekes Connector</t>
  </si>
  <si>
    <t>CREMALLERA para Puerta</t>
  </si>
  <si>
    <t>Door Zip</t>
  </si>
  <si>
    <t>TRASERA Metálica</t>
  </si>
  <si>
    <t>Metalic back enclosure</t>
  </si>
  <si>
    <t>ABA0010 Kit reparación Frontal Ingeteam</t>
  </si>
  <si>
    <t>Frontal part reparing Kit</t>
  </si>
  <si>
    <t>Kit repuesto TRAMPILLA</t>
  </si>
  <si>
    <t>DOOR Replacement kit</t>
  </si>
  <si>
    <t>CONJ TOMA M3 CAR-FXSL32-1000 + TORNI</t>
  </si>
  <si>
    <t>AQE0155IGD09 CREMALLERA</t>
  </si>
  <si>
    <t>AQE0196IGB02 CTO. TAPA POSTERIOR</t>
  </si>
  <si>
    <t>KIT REPARACION FRONTAL SUELO INGETEAM</t>
  </si>
  <si>
    <t>KIT PUERTA CITY REPUESTO</t>
  </si>
  <si>
    <r>
      <t xml:space="preserve">COMUNES
</t>
    </r>
    <r>
      <rPr>
        <i/>
        <sz val="9"/>
        <color theme="1"/>
        <rFont val="Calibri"/>
        <family val="2"/>
        <scheme val="minor"/>
      </rPr>
      <t>COMMON PARTS</t>
    </r>
  </si>
  <si>
    <t>AAS0257</t>
  </si>
  <si>
    <t>Polarity test Hardware</t>
  </si>
  <si>
    <t>AAS0249</t>
  </si>
  <si>
    <t>CAJA
160A</t>
  </si>
  <si>
    <t>CAJA
320A</t>
  </si>
  <si>
    <t>F1+/F16+,F1-/F16-</t>
  </si>
  <si>
    <t>Fusible 30A 1000VDC 10x38mm</t>
  </si>
  <si>
    <t xml:space="preserve">Fuse 30A 1000VDC 10x38mm </t>
  </si>
  <si>
    <t>Seccionador 4 polos 400A 1000VDC</t>
  </si>
  <si>
    <t>Switch-breaker 4p 400A 1000VDC</t>
  </si>
  <si>
    <t>Seccionador 4 polos 250A 1000VDC</t>
  </si>
  <si>
    <t>Switch-breaker 4p 250A 1000VDC</t>
  </si>
  <si>
    <t>HW detector polaridad de string</t>
  </si>
  <si>
    <t>AAS0250IDG01</t>
  </si>
  <si>
    <r>
      <t xml:space="preserve">Nota 2: Componentes duplicados. Asegurarse de cuál es el repuesto necesario / </t>
    </r>
    <r>
      <rPr>
        <i/>
        <sz val="8"/>
        <color indexed="8"/>
        <rFont val="Courier New"/>
        <family val="3"/>
      </rPr>
      <t>Duplicate components. Make sure the appropriate component</t>
    </r>
  </si>
  <si>
    <t>HW de medida de corriente de 16 strings 10A sin fusibles</t>
  </si>
  <si>
    <t>HW Measurement current 16 strings 10A without fuses</t>
  </si>
  <si>
    <t>HW de medida de corriente de 16 strings 20A sin fusibles</t>
  </si>
  <si>
    <t>HW Measurement current 16 strings 20A without fuses</t>
  </si>
  <si>
    <r>
      <t xml:space="preserve">LISTADO DE REPUESTOS CAJAS DE STRINGS / </t>
    </r>
    <r>
      <rPr>
        <b/>
        <i/>
        <sz val="12"/>
        <rFont val="Calibri"/>
        <family val="2"/>
        <scheme val="minor"/>
      </rPr>
      <t>STRING CONTROL SPARE PARTS</t>
    </r>
  </si>
  <si>
    <r>
      <t xml:space="preserve">REP. MECÁNICOS/ </t>
    </r>
    <r>
      <rPr>
        <i/>
        <sz val="9"/>
        <color theme="1"/>
        <rFont val="Calibri"/>
        <family val="2"/>
        <scheme val="minor"/>
      </rPr>
      <t>MEC. PARTS</t>
    </r>
  </si>
  <si>
    <t>Precio venta Energy 2013</t>
  </si>
  <si>
    <t>Kit en el que se basa</t>
  </si>
  <si>
    <t>no creada lista energy</t>
  </si>
  <si>
    <t>AAX7041</t>
  </si>
  <si>
    <t>KIT ASSEMBLY SNUBBER FAN POWER MAX/TER (AAV5013)</t>
  </si>
  <si>
    <t>KIT ASSEMBLY VOLTAGE SUPERVISOR FAN (AAV5014)</t>
  </si>
  <si>
    <t>INSTALLATION OF AIR CORE INDUCTOR IN MS (AAV5015)</t>
  </si>
  <si>
    <t>AAS0133 (AAV0009+5xAQL0083)</t>
  </si>
  <si>
    <t xml:space="preserve">Kit instalacion conversor rs485 a usb </t>
  </si>
  <si>
    <t>Kit instalacion descargador y seccionador dc is 10-15kw</t>
  </si>
  <si>
    <t>Kit instalacion descargador y seccionador dc is 20-30kw</t>
  </si>
  <si>
    <t>Kit instalacion descargadores ac is 10-15kw</t>
  </si>
  <si>
    <t>Kit instalacion descargadores ac is 20-30kw</t>
  </si>
  <si>
    <t>Kit instalacion descargadores dc is 10-15kw</t>
  </si>
  <si>
    <t>Kit instalacion descargadores dc is 20-30kw</t>
  </si>
  <si>
    <t>Kit instalacion disparo remoto power</t>
  </si>
  <si>
    <t>Kit instalacion disparo remoto power tl</t>
  </si>
  <si>
    <t>Kit instalacion fuente aliment. Nocturna is 100tl</t>
  </si>
  <si>
    <t>Kit instalacion fuente aliment. Nocturna is 10-15kw</t>
  </si>
  <si>
    <t>Kit instalacion fuente aliment. Nocturna is 20-30kw</t>
  </si>
  <si>
    <t>Kit instalacion fuente aliment. Nocturna power</t>
  </si>
  <si>
    <t>Kit instalacion fuente aliment. Nocturna power tl</t>
  </si>
  <si>
    <t>Kit instalacion fuente aliment. Nocturna powermax</t>
  </si>
  <si>
    <t>Kit instalacion puesta tierra campo fv is 100tl</t>
  </si>
  <si>
    <t>Kit instalacion puesta tierra campo fv is 10-15kw</t>
  </si>
  <si>
    <t>Kit instalacion puesta tierra campo fv is 20-30kw</t>
  </si>
  <si>
    <t>Kit instalacion puesta tierra campo fv power</t>
  </si>
  <si>
    <t>Kit instalacion puesta tierra campo fv power tl</t>
  </si>
  <si>
    <t>Kit instalacion puesta tierra campo fv powermax</t>
  </si>
  <si>
    <t>Kit instalacion resistencia caldeo power</t>
  </si>
  <si>
    <t>Kit instalacion sac huecos tension is 100tl</t>
  </si>
  <si>
    <t>Kit instalacion sac huecos tension power</t>
  </si>
  <si>
    <t>Kit instalacion sac huecos tension power max 2 bloques</t>
  </si>
  <si>
    <t>Kit instalacion sac huecos tension power max 3 bloques</t>
  </si>
  <si>
    <t>Kit instalacion sac huecos tension power max 4 bloques</t>
  </si>
  <si>
    <t>Kit instalacion sac huecos tension power tl desde 125kw</t>
  </si>
  <si>
    <t>Kit instalacion huecos tension smart 10-15kw ip54</t>
  </si>
  <si>
    <t>Kit instalacion huecos tension smart 10-30kw ip20</t>
  </si>
  <si>
    <t>Kit instalacion huecos tension smart 20-30kw ip54</t>
  </si>
  <si>
    <t>Kit instalacion seccionador dc is 10-15kw</t>
  </si>
  <si>
    <t>Kit instalacion seccionador dc is 20-30kw</t>
  </si>
  <si>
    <t>Kit instalacion sincronismo power tl</t>
  </si>
  <si>
    <t>Kit instalacion spi is 20-30kw</t>
  </si>
  <si>
    <t>Kit instalacion spi power</t>
  </si>
  <si>
    <t>Kit instalacion tarj comunicacion ethernet lite-smart tl</t>
  </si>
  <si>
    <t>Kit instalacion tarjeta comunicacion ethernet trifasico</t>
  </si>
  <si>
    <t>Kit instalacion tarjeta comunicacion inalambrica combox</t>
  </si>
  <si>
    <t>Kit instalacion tarj comun inalambrica lite-smart tl</t>
  </si>
  <si>
    <t>Kit instalacion tarj comunicacion inalambrica trifasico</t>
  </si>
  <si>
    <t>Kit instalacion tarjeta comunicacion rs485 trifasico</t>
  </si>
  <si>
    <t>Kit instalacion tarjeta modem gsm/gprs combox</t>
  </si>
  <si>
    <t>Kit instalacion tarjeta modem gsm/gprs lite-smart tl</t>
  </si>
  <si>
    <t>Kit instalacion tarjeta modem gsm/gprs trifasico</t>
  </si>
  <si>
    <t>Kit instalacion filtro de armonicos powermax y powermaxter</t>
  </si>
  <si>
    <t>Kit instalacion bluetooth + rs485 para combox</t>
  </si>
  <si>
    <t>Kit instalacion repetidor bluetooth</t>
  </si>
  <si>
    <t>Kit instalacion tarjeta bluetooth + rs485</t>
  </si>
  <si>
    <t>Kit instalacion tarjeta bluetooth</t>
  </si>
  <si>
    <t>Weatherbox</t>
  </si>
  <si>
    <t>Weatherbox con bluetooth</t>
  </si>
  <si>
    <t>Rs485 to usb converter installation kit</t>
  </si>
  <si>
    <t>Dc surge arrester &amp; breaker installation kit is 10-15kw</t>
  </si>
  <si>
    <t>Dc surge arrester &amp; breaker installation kit is 20-30kw</t>
  </si>
  <si>
    <t>Ac arrester installation kit is 10-15kw</t>
  </si>
  <si>
    <t>Ac arrester installation kit is 20-30kw</t>
  </si>
  <si>
    <t>Dc arrester installation kit is 10-15kw</t>
  </si>
  <si>
    <t>Dc arrester installation kit is 20-30kw</t>
  </si>
  <si>
    <t>Remote release installation kit power</t>
  </si>
  <si>
    <t>Remote release installation kit power tl</t>
  </si>
  <si>
    <t>Nighttime power supply installation kit is 100tl</t>
  </si>
  <si>
    <t>Nighttime power supply installation kit is 10-15kw</t>
  </si>
  <si>
    <t>Nighttime power supply installation kit is 20-30kw</t>
  </si>
  <si>
    <t>Nighttime power supply installation kit power</t>
  </si>
  <si>
    <t>Nighttime power supply installation kit power tl</t>
  </si>
  <si>
    <t>Nighttime power supply installation kit powermax</t>
  </si>
  <si>
    <t>Pv array grounding installation kit is 100tl</t>
  </si>
  <si>
    <t>Pv array grounding installation kit is 10-15kw</t>
  </si>
  <si>
    <t>Pv array grounding installation kit is 20-30kw</t>
  </si>
  <si>
    <t>Pv array grounding installation kit power</t>
  </si>
  <si>
    <t>Pv array grounding installation kit power tl</t>
  </si>
  <si>
    <t>Pv array grounding installation kit powermax</t>
  </si>
  <si>
    <t>Heating resistor installation kit power</t>
  </si>
  <si>
    <t>Sac frt installation kit is 100tl</t>
  </si>
  <si>
    <t>Sac frt installation kit power</t>
  </si>
  <si>
    <t>Sac frt installation kit power max 2 blocks</t>
  </si>
  <si>
    <t>Sac frt installation kit power max 3 blocks</t>
  </si>
  <si>
    <t>Sac frt installation kit power max 4 blocks</t>
  </si>
  <si>
    <t>Sac frt installation kit for power tl from 125 kw</t>
  </si>
  <si>
    <t>Frt installation kit smart 10-15kw ip54</t>
  </si>
  <si>
    <t>Frt installation kit smart 10-30kw ip20</t>
  </si>
  <si>
    <t>Frt installation kit smart 20-30kw ip54</t>
  </si>
  <si>
    <t>Dc circuit breaker installation kit is 10-15kw</t>
  </si>
  <si>
    <t>Dc circuit breaker installation kit is 20-30kw</t>
  </si>
  <si>
    <t>Synchroniser installation kit power tl</t>
  </si>
  <si>
    <t>Installation kit spi is 20-30kw</t>
  </si>
  <si>
    <t>Installation kit spi power</t>
  </si>
  <si>
    <t>Installation kit ethernet card lite-smart tl</t>
  </si>
  <si>
    <t>Installation kit ethernet card 3-phase</t>
  </si>
  <si>
    <t>Installation kit wireless comms card combox</t>
  </si>
  <si>
    <t>Installation kit wireless comms card lite-smart tl</t>
  </si>
  <si>
    <t>Installation kit wireless comms card 3-phase</t>
  </si>
  <si>
    <t>Installation kit rs485 communication card 3-phase</t>
  </si>
  <si>
    <t>Installation kit for gsm/gprs modem card combox</t>
  </si>
  <si>
    <t>Installation kit for gsm/gprs modem card lite-smart tl</t>
  </si>
  <si>
    <t>Installation kit for gsm/gprs modem card 3-phase</t>
  </si>
  <si>
    <t>Installation kit harmonics filter powermax and powermaxter</t>
  </si>
  <si>
    <t>Installation kit bluetooth + rs485 for combox</t>
  </si>
  <si>
    <t>Installation kit bluetooth repeater</t>
  </si>
  <si>
    <t>Weatherbox with bluetooth</t>
  </si>
  <si>
    <t>No llevan los antiguos</t>
  </si>
  <si>
    <t>EMC Filter 480VAC 180A CN</t>
  </si>
  <si>
    <t>EMC 480Vac 400A CN</t>
  </si>
  <si>
    <t>Filtro EMI 480VAC 400A CN</t>
  </si>
  <si>
    <t>EMC Filter 480VAC 400A CN</t>
  </si>
  <si>
    <t>VARIADOR INGECON SUN 125 TL ANALOGICO</t>
  </si>
  <si>
    <t>AAV5007</t>
  </si>
  <si>
    <t>INST MOTORIZED DC BREAKER 4X TL MPPT KIT</t>
  </si>
  <si>
    <t>AAS0008IBC01_A  (Cable plano 34 vías 3 conectores) Conecta display, tarj de seguimiento y de control de IS hasta 25kW</t>
  </si>
  <si>
    <t>AAV0206</t>
  </si>
  <si>
    <t>AAV0133</t>
  </si>
  <si>
    <t>Relé 15VDC 10A</t>
  </si>
  <si>
    <t>Relay 15VDC 10A</t>
  </si>
  <si>
    <t>VARIADOR INGECON SUN TL 220Vac</t>
  </si>
  <si>
    <t>VARIADOR INGECON SUN TL 275Vac</t>
  </si>
  <si>
    <t>POWER BLOCK INGECON SUN TL 275Vac</t>
  </si>
  <si>
    <t>VARIADOR INGECON SUN TL 320Vac</t>
  </si>
  <si>
    <t>VARIADOR INGECON SUN TL 345Vac</t>
  </si>
  <si>
    <t>VARIADOR INGECON SUN TL 360Vac</t>
  </si>
  <si>
    <t>VARIADOR INGECON SUN TL 400Vac</t>
  </si>
  <si>
    <t>POWER BLOCK INGECON SUN TL 345Vac</t>
  </si>
  <si>
    <t>POWER BLOCK INGECON SUN TL 360Vac</t>
  </si>
  <si>
    <t>POWER BLOCK INGECON SUN TL 400Vac</t>
  </si>
  <si>
    <t>POWER BLOCK INGECON SUN TL 220Vac</t>
  </si>
  <si>
    <t>POWER BLOCK INGECON SUN TL 320Vac</t>
  </si>
  <si>
    <t>PVP/ud.</t>
  </si>
  <si>
    <t>PVP Total</t>
  </si>
  <si>
    <t>Qty / Inv</t>
  </si>
  <si>
    <t>Qty / Power Block</t>
  </si>
  <si>
    <r>
      <t>POWER BLOCKS (U</t>
    </r>
    <r>
      <rPr>
        <vertAlign val="subscript"/>
        <sz val="9"/>
        <color theme="1"/>
        <rFont val="Calibri"/>
        <family val="2"/>
        <scheme val="minor"/>
      </rPr>
      <t>N</t>
    </r>
    <r>
      <rPr>
        <sz val="9"/>
        <color theme="1"/>
        <rFont val="Calibri"/>
        <family val="2"/>
        <scheme val="minor"/>
      </rPr>
      <t>)</t>
    </r>
  </si>
  <si>
    <t>AAV5016</t>
  </si>
  <si>
    <t>AAV5017</t>
  </si>
  <si>
    <t>KIT RELE ACT VENT Y CONT PARA IS P MAX</t>
  </si>
  <si>
    <t>KIT THERMAL SWITCH IGBTS AND CAPACITOR P</t>
  </si>
  <si>
    <t>CAB 1100VCA  95mm2 SIL CU</t>
  </si>
  <si>
    <t>CABLE OMERIN 95</t>
  </si>
  <si>
    <t>kit parte trasera a partir de v_D inc.</t>
  </si>
  <si>
    <t>AAX0022</t>
  </si>
  <si>
    <t xml:space="preserve">LISTADO DE REPUESTOS INGECON SUN POWER MAX MAESTRO ESCLAVO ACOMETIDA AC-DC AGRUPADA </t>
  </si>
  <si>
    <t>AAV0086</t>
  </si>
  <si>
    <t>PFN,PF11,PF12</t>
  </si>
  <si>
    <t>RTM</t>
  </si>
  <si>
    <t>C1x</t>
  </si>
  <si>
    <t>DFV</t>
  </si>
  <si>
    <t>AAV0073IDG01</t>
  </si>
  <si>
    <t>Contacto auxiliar seccionador Telergon</t>
  </si>
  <si>
    <t>Auxiliary contact for switch-breaker Telergon</t>
  </si>
  <si>
    <t>Cubrebornes 4 polos seccionador Telergon</t>
  </si>
  <si>
    <t>Terminal shrouds 4 poles for switch-breaker Telergon</t>
  </si>
  <si>
    <t>CONJUNTO Disyuntor magnetotérmico 20A Schneider</t>
  </si>
  <si>
    <t>SET Thermal magnetic breaker 20A Schneider</t>
  </si>
  <si>
    <t>Time relay 3A 230VAC</t>
  </si>
  <si>
    <t>Relé temporizado 3A 230VAC</t>
  </si>
  <si>
    <t>FILTRO ARMÓNICOS AAV0092</t>
  </si>
  <si>
    <t>Relé 230VAC 6A</t>
  </si>
  <si>
    <t>Relay 230VAC 6A</t>
  </si>
  <si>
    <t>AQL0055</t>
  </si>
  <si>
    <t>CABLE COMUNICACIONES 485 AAY0000 (conector base)</t>
  </si>
  <si>
    <t>Fuente de alimentación externa 350VDC 200W</t>
  </si>
  <si>
    <t>350VDC 200W External power supply</t>
  </si>
  <si>
    <t>Compra Energy 2013</t>
  </si>
  <si>
    <t>K2-K4</t>
  </si>
  <si>
    <t>AAV7115</t>
  </si>
  <si>
    <t>VARIADOR INGECON SUN TL 300Vac</t>
  </si>
  <si>
    <t>POWER BLOCK INGECON SUN TL 300Vac</t>
  </si>
  <si>
    <t>AAV7114</t>
  </si>
  <si>
    <t>SEC en carga 1200Vdc 125A 4P</t>
  </si>
  <si>
    <t>Seccionador 4 polos 125A 1200VDC ABB</t>
  </si>
  <si>
    <t>Switch-breaker 4p 125A 1200VDC ABB</t>
  </si>
  <si>
    <t>CONJ SEC TELERGON S5-08004PC0 1000V 500A</t>
  </si>
  <si>
    <t>SEC en carga DC 1000V 500A 4P</t>
  </si>
  <si>
    <t>AMR Prolongador Telergon 345mm</t>
  </si>
  <si>
    <t>CBR ENTRADA 1000V 4P</t>
  </si>
  <si>
    <t>CBR SALIDA 1000V 4P</t>
  </si>
  <si>
    <t>PDC 500A TELERGON</t>
  </si>
  <si>
    <t>CONJ. MAG. 1600A NS1600 SCHNEIDER</t>
  </si>
  <si>
    <t>IAU 1600A 690V 3P 50kA MT 50kA NO</t>
  </si>
  <si>
    <t>MRD CE IP40 Horizontal</t>
  </si>
  <si>
    <t>BIA Apertura 200/250V CA</t>
  </si>
  <si>
    <t>FAN CONJ MAGNETOTERMICO 40A</t>
  </si>
  <si>
    <t>CFI 100uF K 750V DC 550V AC PP TOR</t>
  </si>
  <si>
    <t>FAN FUS 500V 400A NH 2 gG</t>
  </si>
  <si>
    <t>FAN BFU 690V 400A NH 2-PP SI</t>
  </si>
  <si>
    <t>FAN CONJ MAGNETOTÉRMICO 20 A</t>
  </si>
  <si>
    <t>CONJ MAGNETOTÉRMICO 20 A SCHNEIDER</t>
  </si>
  <si>
    <t>Qty / Power block **</t>
  </si>
  <si>
    <t>Qty / inverter ***</t>
  </si>
  <si>
    <t>Note</t>
  </si>
  <si>
    <t>1,2,FAN</t>
  </si>
  <si>
    <t>K1X</t>
  </si>
  <si>
    <t>CMCX</t>
  </si>
  <si>
    <t>6,FAN</t>
  </si>
  <si>
    <t>PFX</t>
  </si>
  <si>
    <t>Short terminal shrouds for thermal magnetic 400A Schneider</t>
  </si>
  <si>
    <t>Long terminal shrouds for thermal magnetic 400A Schneider</t>
  </si>
  <si>
    <t>Mando rotativo con prolongador GE</t>
  </si>
  <si>
    <t>Prolonged rotary switch GE</t>
  </si>
  <si>
    <t>Short terminal shrouds for thermal magnetic 400A GE</t>
  </si>
  <si>
    <t>Long terminal shrouds for thermal magnetic 400A GE</t>
  </si>
  <si>
    <t>2,FAN</t>
  </si>
  <si>
    <r>
      <t xml:space="preserve">Nota 1: Esta referencia es la correspondiente al conjunto completo / </t>
    </r>
    <r>
      <rPr>
        <i/>
        <sz val="9"/>
        <color theme="1"/>
        <rFont val="Calibri"/>
        <family val="2"/>
        <scheme val="minor"/>
      </rPr>
      <t>This reference is for the complete set</t>
    </r>
  </si>
  <si>
    <r>
      <t xml:space="preserve">Nota 2: Componentes duplicados en función del fabricante. Asegurarse si el repuesto necesario es del fabricante adecuado / </t>
    </r>
    <r>
      <rPr>
        <i/>
        <sz val="9"/>
        <color indexed="8"/>
        <rFont val="Calibri"/>
        <family val="2"/>
        <scheme val="minor"/>
      </rPr>
      <t>Duplicate components depending on the manufacturer. Make sure the appropriate manufacturer</t>
    </r>
  </si>
  <si>
    <r>
      <t xml:space="preserve">Nota 3: En función del equipo que sea llevará un variador u otro y la salida de AC tendrá un valor distinto / </t>
    </r>
    <r>
      <rPr>
        <i/>
        <sz val="9"/>
        <color indexed="8"/>
        <rFont val="Calibri"/>
        <family val="2"/>
        <scheme val="minor"/>
      </rPr>
      <t>Different power block depending on the inverter and the AC output will have a different value</t>
    </r>
  </si>
  <si>
    <r>
      <t xml:space="preserve">Nota 4: En el equipo va siempre un ventilador por cada bloque de potencia, además llevará uno más adicional si el equipo es de 2 bloques y dos más adicionales si el equipo es de 3 o 4 bloques / </t>
    </r>
    <r>
      <rPr>
        <i/>
        <sz val="9"/>
        <color indexed="8"/>
        <rFont val="Calibri"/>
        <family val="2"/>
        <scheme val="minor"/>
      </rPr>
      <t>There is one fan for each power block, there is another fan aditional in case  2  power block inverter and two fans aditional in case 3  and 4 power block inverter</t>
    </r>
  </si>
  <si>
    <r>
      <t xml:space="preserve">Nota 5: El equipo lleva un condensador por cada ventilador / </t>
    </r>
    <r>
      <rPr>
        <i/>
        <sz val="9"/>
        <color indexed="8"/>
        <rFont val="Calibri"/>
        <family val="2"/>
        <scheme val="minor"/>
      </rPr>
      <t>There is one capacitor for esch fan</t>
    </r>
  </si>
  <si>
    <r>
      <t xml:space="preserve">** Qty /Power Block indica la cantidad de unidades de un componente por cada bloque de potencia que tenga el equipo / </t>
    </r>
    <r>
      <rPr>
        <i/>
        <sz val="9"/>
        <color indexed="8"/>
        <rFont val="Calibri"/>
        <family val="2"/>
        <scheme val="minor"/>
      </rPr>
      <t>Qty /Power Block shows the quantity of a component for each power block</t>
    </r>
  </si>
  <si>
    <r>
      <t xml:space="preserve">*** Qty /Inv indica la cantidad de unidades de un componente en el equipo cuando no depende del número de bloques de potencia que este tenga /  </t>
    </r>
    <r>
      <rPr>
        <i/>
        <sz val="9"/>
        <color indexed="8"/>
        <rFont val="Calibri"/>
        <family val="2"/>
        <scheme val="minor"/>
      </rPr>
      <t>Qty /Inv shows the quantity of a component that doesn't depend on the number of power blocks of the inverter</t>
    </r>
  </si>
  <si>
    <r>
      <t xml:space="preserve">Nota 8: Opcional / </t>
    </r>
    <r>
      <rPr>
        <i/>
        <sz val="9"/>
        <color indexed="8"/>
        <rFont val="Calibri"/>
        <family val="2"/>
        <scheme val="minor"/>
      </rPr>
      <t>Optional</t>
    </r>
  </si>
  <si>
    <r>
      <t>Nota 6: Para equipos Maestro Esclavo /</t>
    </r>
    <r>
      <rPr>
        <i/>
        <sz val="9"/>
        <color indexed="8"/>
        <rFont val="Calibri"/>
        <family val="2"/>
        <scheme val="minor"/>
      </rPr>
      <t xml:space="preserve"> For Master Slave inverters</t>
    </r>
  </si>
  <si>
    <r>
      <t xml:space="preserve">Nota 7: Para equipos No Maestro Esclavo / </t>
    </r>
    <r>
      <rPr>
        <i/>
        <sz val="9"/>
        <color indexed="8"/>
        <rFont val="Calibri"/>
        <family val="2"/>
        <scheme val="minor"/>
      </rPr>
      <t>For Not Master Slave inverters</t>
    </r>
  </si>
  <si>
    <r>
      <t xml:space="preserve">Nota FAN: El código puede incluir diferentes modelos de distintos fabricantes, siendo 100% compatibles entre sí / </t>
    </r>
    <r>
      <rPr>
        <i/>
        <sz val="9"/>
        <color indexed="8"/>
        <rFont val="Calibri"/>
        <family val="2"/>
        <scheme val="minor"/>
      </rPr>
      <t>The code can include different models from different manufacturers, 100% compatible</t>
    </r>
  </si>
  <si>
    <t>1,8,FAN</t>
  </si>
  <si>
    <t>SUSTITUIR</t>
  </si>
  <si>
    <t>Inductancia 250uH</t>
  </si>
  <si>
    <t>Inductancia 60uH</t>
  </si>
  <si>
    <t>Cable Omerin 70mm2</t>
  </si>
  <si>
    <t>Inductancia mc 1,6mH</t>
  </si>
  <si>
    <t>CM Inductance 1,6mH</t>
  </si>
  <si>
    <t>Terminal M12 plano</t>
  </si>
  <si>
    <t>Terminal M12 acodado</t>
  </si>
  <si>
    <t>Angled terminal M12</t>
  </si>
  <si>
    <t>Spade terminal M12</t>
  </si>
  <si>
    <t>Omerin 70mm2 cable</t>
  </si>
  <si>
    <t>Inductance 250uH</t>
  </si>
  <si>
    <t>Inductance 60uH</t>
  </si>
  <si>
    <t>ACDC MODULES</t>
  </si>
  <si>
    <t>POWER MODULES</t>
  </si>
  <si>
    <t>BACK SIDE</t>
  </si>
  <si>
    <t>Coste Energy estimado</t>
  </si>
  <si>
    <t>RFCR</t>
  </si>
  <si>
    <t>QM</t>
  </si>
  <si>
    <t>PF17,PF34,PF35</t>
  </si>
  <si>
    <t>F34,F35</t>
  </si>
  <si>
    <t>K5,K6,K7,K8</t>
  </si>
  <si>
    <t>Q2n</t>
  </si>
  <si>
    <t>K1n, IK1n</t>
  </si>
  <si>
    <t>VENT</t>
  </si>
  <si>
    <t>Resistencia siliconada 0R5 450W</t>
  </si>
  <si>
    <t>Siliconed resistance 0R5 450W</t>
  </si>
  <si>
    <t>T1</t>
  </si>
  <si>
    <t>Rterm</t>
  </si>
  <si>
    <r>
      <t xml:space="preserve">Nota 5: El equipo tiene tantos finales de carrera como armarios (de 1 ó 2 módulos), de esta manera un equipo de 2 variadores tiene 3 finales de carrera y los de 3 y 4 variadores tienen 4 finales de carrera. / </t>
    </r>
    <r>
      <rPr>
        <i/>
        <sz val="8"/>
        <color indexed="8"/>
        <rFont val="Courier New"/>
        <family val="3"/>
      </rPr>
      <t>The number of limit switches depend on the number of cabinets (with one or two modules) so 2 power block inverters have 2 limit switches and 3 and 4 power block inverters have 3 limit switches</t>
    </r>
  </si>
  <si>
    <t>CONJUNTO Disyuntor magnetotérmico 20A ABB</t>
  </si>
  <si>
    <t>SET Thermal magnetic breaker 20A ABB</t>
  </si>
  <si>
    <t>HW monitorización funcionamiento ventiladores</t>
  </si>
  <si>
    <t>CONJUNTO Disyuntor magnetotérmico 1800A Telergon</t>
  </si>
  <si>
    <t>SET Thermal magnetic breaker 1800A Telergon</t>
  </si>
  <si>
    <t>AQE0115IGH01 FONDO CAJA STRINGS (caja mecanizada)</t>
  </si>
  <si>
    <t>AQO0009IGS01 CAJA POSTE PIE SIRVE</t>
  </si>
  <si>
    <t>SUPLEMENTO EMBALAJE MARITIMO 20 UD LITE</t>
  </si>
  <si>
    <t>CAB 1100VCA  95mm2 SIL CU</t>
  </si>
  <si>
    <t>TCB RE simple desnudo 95mm2 M12 ACOD</t>
  </si>
  <si>
    <t>TCB RE M12 simple desnudo 95mm2</t>
  </si>
  <si>
    <t>FAN INT BOBINA MC 1.6mH 450A DIF 8A MC</t>
  </si>
  <si>
    <t>FAN INT 250uH 50Hz TRI 320A</t>
  </si>
  <si>
    <t>FAN INT 60uH 50Hz TRI 320A</t>
  </si>
  <si>
    <t>Parte trasera PowerMax v_D y posteriores</t>
  </si>
  <si>
    <t>EMBALAJE MADERA INGEREV ROAD</t>
  </si>
  <si>
    <t>EMBALAJE MARITIMO POSTE SUELO CITY</t>
  </si>
  <si>
    <t>EMBALAJE MARÍTIMO POSTE PARED SERIE CITY</t>
  </si>
  <si>
    <t>CONJUNTO disyuntor magnetotermico 800A ABB</t>
  </si>
  <si>
    <t>SET Thermal magnetic breaker 800A ABB</t>
  </si>
  <si>
    <t>Contactor  580A 1000VAC ABB</t>
  </si>
  <si>
    <t>Contactor 580A 1000VAC ABB</t>
  </si>
  <si>
    <t>Contactor  50A 1000VAC ABB</t>
  </si>
  <si>
    <t>Contactor 50A 1000VAC ABB</t>
  </si>
  <si>
    <r>
      <t>Nota 7: En los equipos con trafo esta aparamenta no se implementa /</t>
    </r>
    <r>
      <rPr>
        <i/>
        <sz val="8"/>
        <color rgb="FF000000"/>
        <rFont val="Courier New"/>
        <family val="3"/>
      </rPr>
      <t xml:space="preserve"> On inverters with transformer, this item is not implemented</t>
    </r>
  </si>
  <si>
    <r>
      <t>Nota 8: Opcional /</t>
    </r>
    <r>
      <rPr>
        <i/>
        <sz val="8"/>
        <color rgb="FF000000"/>
        <rFont val="Courier New"/>
        <family val="3"/>
      </rPr>
      <t>Optional</t>
    </r>
  </si>
  <si>
    <t>K2n,K3n,K4n</t>
  </si>
  <si>
    <t>ABB0053</t>
  </si>
  <si>
    <t>Mando directo Telergon</t>
  </si>
  <si>
    <t>Direct handle Telergon</t>
  </si>
  <si>
    <t>Fusible 450A 500VAC aR</t>
  </si>
  <si>
    <t>Fusible 450V 500VAC aR</t>
  </si>
  <si>
    <t>Termostato 10-60ºC</t>
  </si>
  <si>
    <t xml:space="preserve">Thermostat 1 0-60ºC </t>
  </si>
  <si>
    <t>CONJUNTO Seccionador motorizado 4 polos 1800A 1000VDC Telergon</t>
  </si>
  <si>
    <t>SET Motorized switch-breaker 4P  1800A 1000VDC Telergon</t>
  </si>
  <si>
    <t>Vac</t>
  </si>
  <si>
    <t>No MS</t>
  </si>
  <si>
    <t>220Vac</t>
  </si>
  <si>
    <t>275Vac</t>
  </si>
  <si>
    <t>320Vac</t>
  </si>
  <si>
    <t>345Vac</t>
  </si>
  <si>
    <t>360Vac</t>
  </si>
  <si>
    <t>Yes</t>
  </si>
  <si>
    <t>No</t>
  </si>
  <si>
    <t>SAC</t>
  </si>
  <si>
    <t>Ventilador Centrífugo 230VAC 490W 50-60Hz</t>
  </si>
  <si>
    <t>Centrifugal Fan 230VAC 490W 50-60Hz</t>
  </si>
  <si>
    <t>Condensador 8uF para ventilador centrífugo</t>
  </si>
  <si>
    <t>Capacitor 8uF for centrifugal fan</t>
  </si>
  <si>
    <t>Ventilador centrífugo 230VAC 170W con control de velocidad</t>
  </si>
  <si>
    <t>Centrifugal fan 230VAC 170W speed controlled</t>
  </si>
  <si>
    <t>HW monitoring operation fans</t>
  </si>
  <si>
    <t>Filtro RC Modo Común 3uF</t>
  </si>
  <si>
    <t>Common Mode RC filter 3uF</t>
  </si>
  <si>
    <t>Filtro RC Modo Común 470nF</t>
  </si>
  <si>
    <t>Common Mode RC filter 470nF</t>
  </si>
  <si>
    <r>
      <t>Nota 9: En los equipos TL esta aparamenta no se implementa /</t>
    </r>
    <r>
      <rPr>
        <i/>
        <sz val="8"/>
        <color rgb="FF000000"/>
        <rFont val="Courier New"/>
        <family val="3"/>
      </rPr>
      <t xml:space="preserve"> On inverters TL this item is not implemented</t>
    </r>
  </si>
  <si>
    <t>106.113.959 </t>
  </si>
  <si>
    <t>106.113.961 </t>
  </si>
  <si>
    <t>AQE0185IGD31 CHIMENEA VARIADOR</t>
  </si>
  <si>
    <t>AQE0185IGD33 TAPA CHIMENEA VARIADOR</t>
  </si>
  <si>
    <t>AQE0185IGB03 CTO. TECHO</t>
  </si>
  <si>
    <t>Calderería PowerMax</t>
  </si>
  <si>
    <t>SINCRONISMO FIBRA OPTICA 150m</t>
  </si>
  <si>
    <t>AQL0163</t>
  </si>
  <si>
    <t>SINCRONISMO FIBRA OPTICA 200m</t>
  </si>
  <si>
    <t>Relé 230VAC 10A</t>
  </si>
  <si>
    <t>Relay 230VAC 10A</t>
  </si>
  <si>
    <t>HW Filtro de armónicos 150uF</t>
  </si>
  <si>
    <t>HW Harmonics filter 150uF</t>
  </si>
  <si>
    <t>Seccionador motorizado 4 polos 1800A 1000VDC Telergon</t>
  </si>
  <si>
    <t>Motorized switch-breaker 4P  1800A 1000VDC Telergon</t>
  </si>
  <si>
    <t>Motor para seccionador 1800A Telergon</t>
  </si>
  <si>
    <t>Engine for 1800A switch-breaker Telergon</t>
  </si>
  <si>
    <t>AQL0170</t>
  </si>
  <si>
    <t>Precio / Price Total</t>
  </si>
  <si>
    <t>Units Recommended</t>
  </si>
  <si>
    <t>CONJUNTO Seccionador 4 polos 400A 900VDC ABB</t>
  </si>
  <si>
    <t>SET Switch-breaker 4p 400A 900VDC ABB</t>
  </si>
  <si>
    <t>Listado de Repuestos / Spare Parts list INGECON SUN POWER MAX v_B y C</t>
  </si>
  <si>
    <r>
      <t xml:space="preserve">MODULO INVERSOR / </t>
    </r>
    <r>
      <rPr>
        <i/>
        <sz val="9"/>
        <color theme="1"/>
        <rFont val="Calibri"/>
        <family val="2"/>
        <scheme val="minor"/>
      </rPr>
      <t>MODULE INVERTER</t>
    </r>
  </si>
  <si>
    <r>
      <t xml:space="preserve">PLACA DC / </t>
    </r>
    <r>
      <rPr>
        <i/>
        <sz val="9"/>
        <color theme="1"/>
        <rFont val="Calibri"/>
        <family val="2"/>
        <scheme val="minor"/>
      </rPr>
      <t>DC PLATE</t>
    </r>
  </si>
  <si>
    <r>
      <t xml:space="preserve">PLACA AC / </t>
    </r>
    <r>
      <rPr>
        <i/>
        <sz val="9"/>
        <color theme="1"/>
        <rFont val="Calibri"/>
        <family val="2"/>
        <scheme val="minor"/>
      </rPr>
      <t>AC PLATE</t>
    </r>
  </si>
  <si>
    <r>
      <t xml:space="preserve">EXTERIOR / </t>
    </r>
    <r>
      <rPr>
        <i/>
        <sz val="9"/>
        <color theme="1"/>
        <rFont val="Calibri"/>
        <family val="2"/>
        <scheme val="minor"/>
      </rPr>
      <t>OUTSIDE</t>
    </r>
  </si>
  <si>
    <r>
      <t xml:space="preserve">VARIADOR / </t>
    </r>
    <r>
      <rPr>
        <i/>
        <sz val="9"/>
        <color theme="1"/>
        <rFont val="Calibri"/>
        <family val="2"/>
        <scheme val="minor"/>
      </rPr>
      <t>POWER BLOCK</t>
    </r>
  </si>
  <si>
    <r>
      <t xml:space="preserve">VARIADORES / </t>
    </r>
    <r>
      <rPr>
        <i/>
        <sz val="9"/>
        <color theme="1"/>
        <rFont val="Calibri"/>
        <family val="2"/>
        <scheme val="minor"/>
      </rPr>
      <t>POWER BLOCKS</t>
    </r>
  </si>
  <si>
    <r>
      <t xml:space="preserve">Texto explicativo / </t>
    </r>
    <r>
      <rPr>
        <i/>
        <sz val="9"/>
        <color theme="1"/>
        <rFont val="Calibri"/>
        <family val="2"/>
        <scheme val="minor"/>
      </rPr>
      <t>Explanatory text</t>
    </r>
  </si>
  <si>
    <t>AC</t>
  </si>
  <si>
    <t>Nº Equipos / Inverters</t>
  </si>
  <si>
    <t>Módulos / Modules</t>
  </si>
  <si>
    <t>AAV5018</t>
  </si>
  <si>
    <t>KIT FAN COOLING FOR BUS CAPACITOR</t>
  </si>
  <si>
    <t>Índice IC</t>
  </si>
  <si>
    <t>Índice PVP</t>
  </si>
  <si>
    <t>CONJ. SECCIONADOR DC 1800A TELERGÓN</t>
  </si>
  <si>
    <t>CBR 1000 V 4P</t>
  </si>
  <si>
    <t>FAN RET 3A 230V 2NA 0NC 2 A 220-240V CA</t>
  </si>
  <si>
    <t>AAV86HWCONVERSIONAC-DC350VDC200W PARAF.A</t>
  </si>
  <si>
    <t>CONJ SECCIONADOR TELERGON S5 1000V 1800A</t>
  </si>
  <si>
    <t>CAU Lateral 0NA 0NC 1CM</t>
  </si>
  <si>
    <t>AMR MANDO DIRECTO TELERGON S51800</t>
  </si>
  <si>
    <t>REN 10A 250V 2NA 15VDC</t>
  </si>
  <si>
    <t>TMT RE 1 0-60ºC DIN</t>
  </si>
  <si>
    <t>Power Max UL</t>
  </si>
  <si>
    <t>AAS7020IBC04_A(Cable 34 vías 2 conectores, 900mm)</t>
  </si>
  <si>
    <t>FAN CONJ. MAGNETOTERMICO 1600A</t>
  </si>
  <si>
    <t>CONJ. MAGNETOTERMICO 1600A TMAX T7 ABB</t>
  </si>
  <si>
    <t>IAU 1600A 380/415 V 3P 50kA MT 50kA NO</t>
  </si>
  <si>
    <t>BIA EMISION 220-240V CA/CC</t>
  </si>
  <si>
    <t>VARIADOR  DIG INGECON SUN TRIF 220V</t>
  </si>
  <si>
    <t>VARIADOR  DIG INGECON SUN TRIF 275V</t>
  </si>
  <si>
    <t>VARIADOR  DIG INGCONSUN TRIF 172kW</t>
  </si>
  <si>
    <t>VARIADOR  DIG INGECON SUN TRIF 320V</t>
  </si>
  <si>
    <t>VARIADOR  DIG INGECON SUN TRIF 345V</t>
  </si>
  <si>
    <t>VARIADOR  DIG INGECON SUN TRIF 360V</t>
  </si>
  <si>
    <t>KIT INSTALACION MODBUS-TCP PROTOCOL CONVERTER</t>
  </si>
  <si>
    <t>Kit instalacion Modbus-tcp protocol converter</t>
  </si>
  <si>
    <t>Installation kit Modbus-tcp protocol converter</t>
  </si>
  <si>
    <t>AQE0157IGB13 CONJUNTO PUERTA DIGITAL</t>
  </si>
  <si>
    <t>AQE0157IGB12 SUBCTO.SOLD. PUERTA DIGITAL</t>
  </si>
  <si>
    <t>Puerta Power</t>
  </si>
  <si>
    <t>PVP 2013</t>
  </si>
  <si>
    <t>300Vac</t>
  </si>
  <si>
    <t>400Vac</t>
  </si>
  <si>
    <t>FILTRO ARMÓNICOS ABB0013</t>
  </si>
  <si>
    <t>FILTRO ARMÓNICOS AAV0214</t>
  </si>
  <si>
    <t>HW Filtro de armónicos 100uF</t>
  </si>
  <si>
    <t>HW Harmonics filter 100uF</t>
  </si>
  <si>
    <t>HW Filtro de armónicos 90uF</t>
  </si>
  <si>
    <t>HW Harmonics filter 90uF</t>
  </si>
  <si>
    <t xml:space="preserve">Electronics box UPS 3KVA IP20 </t>
  </si>
  <si>
    <t>VEN RA 230V CA 50/60HZ 490W 742 CFM IP20</t>
  </si>
  <si>
    <t>CEL 8uF J 475VCA BOR 40mm 85ºC 10000h</t>
  </si>
  <si>
    <t>VENTI</t>
  </si>
  <si>
    <t>Mínimo</t>
  </si>
  <si>
    <t>LISTADO DE REPUESTOS INGECON SUN POWER MAX UL (T-TL) Outdoor</t>
  </si>
  <si>
    <t>kW pico</t>
  </si>
  <si>
    <t>€/kwpico</t>
  </si>
  <si>
    <t>F17</t>
  </si>
  <si>
    <t xml:space="preserve">Fusible 5A 1000VDC 10x38 </t>
  </si>
  <si>
    <t>Fuse 5A 1000VDC 10x38</t>
  </si>
  <si>
    <t>F5</t>
  </si>
  <si>
    <t>Descargador sobretensiones 230VAC 3+0 Weidmuller</t>
  </si>
  <si>
    <t>Surge arrestor 230VAC 3+0 Weidmuller</t>
  </si>
  <si>
    <t>Descargador sobretensiones 230VAC 3+0</t>
  </si>
  <si>
    <t>Surge arrestor 230VAC 3+0</t>
  </si>
  <si>
    <r>
      <t xml:space="preserve">Nota 6: Opcional / </t>
    </r>
    <r>
      <rPr>
        <i/>
        <sz val="8"/>
        <color indexed="8"/>
        <rFont val="Courier New"/>
        <family val="3"/>
      </rPr>
      <t>Optional</t>
    </r>
  </si>
  <si>
    <t>VARIADOR  DIG INGCONSUN TRIF 172kW MS</t>
  </si>
  <si>
    <t>VARIADOR INGECON SUN 172 TL 300Vac</t>
  </si>
  <si>
    <t>POWER BLOCK INGECON SUN 172 TL 300Vac</t>
  </si>
  <si>
    <t>PS</t>
  </si>
  <si>
    <t>FACn1,FACn2,FACn3</t>
  </si>
  <si>
    <t>CONJUNTO magnetotermico 2A ABB</t>
  </si>
  <si>
    <t>SET Thermal magnetic breaker 2A ABB</t>
  </si>
  <si>
    <t xml:space="preserve">Fusible 4A 1000VDC 10x38 </t>
  </si>
  <si>
    <t>Fuse 4A 1000VDC 10x38</t>
  </si>
  <si>
    <t>F5, F6, F7</t>
  </si>
  <si>
    <t>F5, F6,F7</t>
  </si>
  <si>
    <t>ABB7107</t>
  </si>
  <si>
    <t>ABB7108</t>
  </si>
  <si>
    <t>ABB7109</t>
  </si>
  <si>
    <t>ABB7110</t>
  </si>
  <si>
    <t>ABB7106</t>
  </si>
  <si>
    <r>
      <t xml:space="preserve">CASETA TRAFO / </t>
    </r>
    <r>
      <rPr>
        <b/>
        <i/>
        <sz val="9"/>
        <color rgb="FF000000"/>
        <rFont val="Calibri"/>
        <family val="2"/>
      </rPr>
      <t>TRANSFORMER ENCLOSURE</t>
    </r>
  </si>
  <si>
    <r>
      <t xml:space="preserve">VARIADOR / </t>
    </r>
    <r>
      <rPr>
        <b/>
        <i/>
        <sz val="9"/>
        <color rgb="FF000000"/>
        <rFont val="Calibri"/>
        <family val="2"/>
      </rPr>
      <t>POWER BLOCK</t>
    </r>
    <r>
      <rPr>
        <b/>
        <sz val="9"/>
        <color rgb="FF000000"/>
        <rFont val="Calibri"/>
        <family val="2"/>
      </rPr>
      <t xml:space="preserve"> </t>
    </r>
  </si>
  <si>
    <r>
      <t xml:space="preserve">ELEMENTOS MODULOS DE POTENCIA / </t>
    </r>
    <r>
      <rPr>
        <b/>
        <i/>
        <sz val="9"/>
        <color rgb="FF000000"/>
        <rFont val="Calibri"/>
        <family val="2"/>
      </rPr>
      <t>POWERMODULES</t>
    </r>
  </si>
  <si>
    <r>
      <t xml:space="preserve">ELEMENTOS ARMARIO AC / </t>
    </r>
    <r>
      <rPr>
        <b/>
        <i/>
        <sz val="9"/>
        <color rgb="FF000000"/>
        <rFont val="Calibri"/>
        <family val="2"/>
      </rPr>
      <t>AC CABINET</t>
    </r>
  </si>
  <si>
    <r>
      <t xml:space="preserve">ELEMENTOS ARMARIO DC / </t>
    </r>
    <r>
      <rPr>
        <b/>
        <i/>
        <sz val="9"/>
        <color rgb="FF000000"/>
        <rFont val="Calibri"/>
        <family val="2"/>
      </rPr>
      <t>DC CABINET</t>
    </r>
    <r>
      <rPr>
        <b/>
        <sz val="9"/>
        <color rgb="FF000000"/>
        <rFont val="Calibri"/>
        <family val="2"/>
      </rPr>
      <t xml:space="preserve"> </t>
    </r>
  </si>
  <si>
    <t>VARIADOR INGECON SUN TL U 208Vac MS</t>
  </si>
  <si>
    <t>VARIADOR INGECON SUN TL U 275Vac MS</t>
  </si>
  <si>
    <t>VARIADOR INGECON SUN TL U 330Vac MS</t>
  </si>
  <si>
    <t>VARIADOR INGECON SUN TL U 360Vac MS</t>
  </si>
  <si>
    <t>VARIADOR INGECON SUN TL U 480Vac MS</t>
  </si>
  <si>
    <t>POWER BLOCK INGECON SUN TL U 208Vac MS</t>
  </si>
  <si>
    <t>POWER BLOCK INGECON SUN TL U 275Vac MS</t>
  </si>
  <si>
    <t>POWER BLOCK INGECON SUN TL U 330Vac MS</t>
  </si>
  <si>
    <t>POWER BLOCK INGECON SUN TL U 360Vac MS</t>
  </si>
  <si>
    <t>POWER BLOCK INGECON SUN TL U 480Vac MS</t>
  </si>
  <si>
    <t>AAS0245</t>
  </si>
  <si>
    <t>Tarjeta drivers 1000Vdc</t>
  </si>
  <si>
    <t>AQE0185IGJ01 FILTRO REJILLA PUERTA (PowerMax) - calderería propia</t>
  </si>
  <si>
    <t>AQE0048IGJ02_A Filtro rejill puerta (PowerMax) - calderería Himel</t>
  </si>
  <si>
    <t>Anterior caja AAS7043</t>
  </si>
  <si>
    <t>pvp/ud</t>
  </si>
  <si>
    <t>v_D</t>
  </si>
  <si>
    <t>FAN INT 60uH 50Hz TRI 330A</t>
  </si>
  <si>
    <t>AQG0033</t>
  </si>
  <si>
    <t>A19-M10 (recto)</t>
  </si>
  <si>
    <t>13166 (45º)</t>
  </si>
  <si>
    <t>AAV6009</t>
  </si>
  <si>
    <t>cantidades por bloque</t>
  </si>
  <si>
    <t xml:space="preserve"> CA95S-2M12 (recto 2 agujeros)</t>
  </si>
  <si>
    <t>14337-M12 (acodado)</t>
  </si>
  <si>
    <t>AAV7101 a AAV7115</t>
  </si>
  <si>
    <t>AAV7120 a AAV7131</t>
  </si>
  <si>
    <t>mismo HW</t>
  </si>
  <si>
    <t>AQE0185IGD27 SOPORTE FILTRO PUERTA</t>
  </si>
  <si>
    <t>AQP0119IGJ01 PROTECTOR EXT.CARÁTULA LITE</t>
  </si>
  <si>
    <t>Inter-company</t>
  </si>
  <si>
    <t>interCompany/ud</t>
  </si>
  <si>
    <t>AAY0155 FILTRO ARMONICOS ISL</t>
  </si>
  <si>
    <t>Listado de Repuestos / Spare Parts list INGECON SUN POWER MAX v_D y E</t>
  </si>
  <si>
    <t>Modular mecánica nueva (armario ACDC agrupado)</t>
  </si>
  <si>
    <t>Calderería antigua (los de Juantxo)</t>
  </si>
  <si>
    <t>KDCX</t>
  </si>
  <si>
    <t>Contactor 360A 750VDC</t>
  </si>
  <si>
    <t>1,FAN</t>
  </si>
  <si>
    <t>SSC BRIDA 1X2.5X101 NATURAL PA6.6 (brida pequeña)</t>
  </si>
  <si>
    <t>SSC BRIDA 1,2X3,6X279 NATURAL PA6.6 (brida grande)</t>
  </si>
  <si>
    <t>SSC BRIDA 1,2X3,6X142 NATURAL PA6.6 (brida mediana)</t>
  </si>
  <si>
    <t>¿3 ó 2?</t>
  </si>
  <si>
    <t>CONJUNTO Seccionador 4 polos 500A 1000VDC</t>
  </si>
  <si>
    <t>SET Switch-breaker 4P 500A 1000VDC</t>
  </si>
  <si>
    <t>CBC 2000V 500A 230V CA 1P 2NA 2NC TOR</t>
  </si>
  <si>
    <t>AAV0214</t>
  </si>
  <si>
    <t>HW FILTRO ARM CONM EQUIPOS POWER MAX</t>
  </si>
  <si>
    <t>AAV0206_HW DE CONVERSION AC-DC400VDC50VA</t>
  </si>
  <si>
    <t>AAV0133_HW GENERADORSINCRONISMO 6SAL1ENT</t>
  </si>
  <si>
    <t>HW MONITORIZACIÓN FUNCIONAMIENTO VENTS</t>
  </si>
  <si>
    <t>AAV7035</t>
  </si>
  <si>
    <t>KIT 1000 VDC 1 MW</t>
  </si>
  <si>
    <t>ABB0062</t>
  </si>
  <si>
    <t>26 x INGECON SUN 630 M360 NAC</t>
  </si>
  <si>
    <t>15xAAV7019v_ (tienen en stock)</t>
  </si>
  <si>
    <t>11xv_D</t>
  </si>
  <si>
    <t>Coste Energy 2013</t>
  </si>
  <si>
    <t>Repuestos comunes</t>
  </si>
  <si>
    <t>Repuestos en v_</t>
  </si>
  <si>
    <t>Repuestos en v_E</t>
  </si>
  <si>
    <t>Seccionador 4 polos 500A 1000VDC</t>
  </si>
  <si>
    <t>AAV7121</t>
  </si>
  <si>
    <t>VARIADOR INGECON SUN TL 220Vac MS</t>
  </si>
  <si>
    <t>POWER BLOCK INGECON SUN TL 220Vac MS</t>
  </si>
  <si>
    <t>AAV7123</t>
  </si>
  <si>
    <t>VARIADOR INGECON SUN TL 275Vac MS</t>
  </si>
  <si>
    <t>POWER BLOCK INGECON SUN TL 275Vac MS</t>
  </si>
  <si>
    <t>AAV7132</t>
  </si>
  <si>
    <t>VARIADOR INGECON SUN TL 300Vac MS</t>
  </si>
  <si>
    <t>POWER BLOCK INGECON SUN TL 300Vac MS</t>
  </si>
  <si>
    <t>AAV7125</t>
  </si>
  <si>
    <t>VARIADOR INGECON SUN TL 320Vac MS</t>
  </si>
  <si>
    <t>POWER BLOCK INGECON SUN TL 320Vac MS</t>
  </si>
  <si>
    <t>AAV7127</t>
  </si>
  <si>
    <t>VARIADOR INGECON SUN TL 345Vac MS</t>
  </si>
  <si>
    <t>POWER BLOCK INGECON SUN TL 345Vac MS</t>
  </si>
  <si>
    <t>AAV7129</t>
  </si>
  <si>
    <t>VARIADOR INGECON SUN TL 360Vac MS</t>
  </si>
  <si>
    <t>POWER BLOCK INGECON SUN TL 360Vac MS</t>
  </si>
  <si>
    <r>
      <t>Nota 7: Para equipos Maestro Esclavo /</t>
    </r>
    <r>
      <rPr>
        <i/>
        <sz val="9"/>
        <color indexed="8"/>
        <rFont val="Calibri"/>
        <family val="2"/>
        <scheme val="minor"/>
      </rPr>
      <t xml:space="preserve"> For Master Slave inverters</t>
    </r>
  </si>
  <si>
    <r>
      <t xml:space="preserve">Nota 8: Para equipos No Maestro Esclavo / </t>
    </r>
    <r>
      <rPr>
        <i/>
        <sz val="9"/>
        <color indexed="8"/>
        <rFont val="Calibri"/>
        <family val="2"/>
        <scheme val="minor"/>
      </rPr>
      <t>For Not Master Slave inverters</t>
    </r>
  </si>
  <si>
    <t>3, 7</t>
  </si>
  <si>
    <t>3, 8</t>
  </si>
  <si>
    <t>1, 8</t>
  </si>
  <si>
    <r>
      <t>Nota 9: Para equipos de 2 bloques /</t>
    </r>
    <r>
      <rPr>
        <i/>
        <sz val="9"/>
        <color indexed="8"/>
        <rFont val="Calibri"/>
        <family val="2"/>
        <scheme val="minor"/>
      </rPr>
      <t xml:space="preserve"> For 2 modules inverters</t>
    </r>
  </si>
  <si>
    <r>
      <t xml:space="preserve">Nota 10: Para equipos de 3 y 4 bloques / </t>
    </r>
    <r>
      <rPr>
        <i/>
        <sz val="9"/>
        <color indexed="8"/>
        <rFont val="Calibri"/>
        <family val="2"/>
        <scheme val="minor"/>
      </rPr>
      <t>For 3 and 4 modules inverters</t>
    </r>
  </si>
  <si>
    <t>1, 7, 9</t>
  </si>
  <si>
    <t>1, 7, 10</t>
  </si>
  <si>
    <t>QAUX, QM</t>
  </si>
  <si>
    <t>1, 11</t>
  </si>
  <si>
    <t>KM</t>
  </si>
  <si>
    <t>7, FAN</t>
  </si>
  <si>
    <r>
      <t xml:space="preserve">Nota 12: En equipos MS hay 1 por inversor / </t>
    </r>
    <r>
      <rPr>
        <i/>
        <sz val="9"/>
        <color indexed="8"/>
        <rFont val="Calibri"/>
        <family val="2"/>
        <scheme val="minor"/>
      </rPr>
      <t>Only  1 unit in MS inverters</t>
    </r>
  </si>
  <si>
    <r>
      <t xml:space="preserve">Nota 11: En equipos MS hay 2 por inversor / </t>
    </r>
    <r>
      <rPr>
        <i/>
        <sz val="9"/>
        <color indexed="8"/>
        <rFont val="Calibri"/>
        <family val="2"/>
        <scheme val="minor"/>
      </rPr>
      <t>2 units in MS inverters</t>
    </r>
  </si>
  <si>
    <t>AAS0071</t>
  </si>
  <si>
    <t>AAS0053</t>
  </si>
  <si>
    <t>HW PARA MEDIDA DE CORRIENTE DE 16 SERIES</t>
  </si>
  <si>
    <t>HW PARA MEDIDA CORRIENTE 4 SERIES</t>
  </si>
  <si>
    <t>AAV0212</t>
  </si>
  <si>
    <t>KIT MEDIDA CORRIENTES DE ENTRADA EQUIPOS POWER MAX MODULARES</t>
  </si>
  <si>
    <t>FAL 220V CA/CC Monofásica 120W 24V</t>
  </si>
  <si>
    <t>InterCompany Total</t>
  </si>
  <si>
    <t>MODEM GSM EXTERNO</t>
  </si>
  <si>
    <t>VARIADOR  DIG INGECON SUN TRIF 220V MS</t>
  </si>
  <si>
    <t>VARIADOR  DIG INGECON SUN TRIF 275V MS</t>
  </si>
  <si>
    <t>VARIADOR  DIG INGECON SUN TRIF 300V MS</t>
  </si>
  <si>
    <t>VARIADOR  DIG INGECON SUN TRIF 320V MS</t>
  </si>
  <si>
    <t>VARIADOR  DIG INGECON SUN TRIF 345V MS</t>
  </si>
  <si>
    <t>VARIADOR  DIG INGECON SUN TRIF 360V MS</t>
  </si>
  <si>
    <t>FAN CONJ. SECCIONADOR 1000V 500A</t>
  </si>
  <si>
    <t>CONJ SEC SOCOMEC SIRCO PV 1000V 400A</t>
  </si>
  <si>
    <t>CONJUNTO Seccionador 4 polos 400A 1000VDC Socomec</t>
  </si>
  <si>
    <t>SET Switch-breaker 4P 400A 1000VDC Socomec</t>
  </si>
  <si>
    <t>CONJUNTO Seccionador 4 polos 500A 1000VDC Telergon</t>
  </si>
  <si>
    <t>SET Switch-breaker 4P 500A 1000VDC Telergon</t>
  </si>
  <si>
    <t>Seccionador 4 polos 500A 1000VDC Telergon</t>
  </si>
  <si>
    <t>Switch-breaker 4P 500A 1000VDC Telergon</t>
  </si>
  <si>
    <t>CPR AAS7020IBC04_ (Cable 34 vías 4 conectores)</t>
  </si>
  <si>
    <t>INTERFAZ FIBRA ÓPTICA PARA KIT 1000V (AAS0161)</t>
  </si>
  <si>
    <t>Descargador sobretensiones 277VAC 4+0 Safetec</t>
  </si>
  <si>
    <t>Surge arrestor 277VAC 4+0 Safetec</t>
  </si>
  <si>
    <r>
      <t xml:space="preserve">Nota 6: En los equipos con trafo este elemento quedará ubicado en la caseta del transformador y el del armario AC no se monta / </t>
    </r>
    <r>
      <rPr>
        <i/>
        <sz val="8"/>
        <color rgb="FF000000"/>
        <rFont val="Courier New"/>
        <family val="3"/>
      </rPr>
      <t>On inverters with transformer, this item is located in the transformer cabinet and this one in cabinet is not mounted</t>
    </r>
  </si>
  <si>
    <t>ABB0001IDG01</t>
  </si>
  <si>
    <t>AAV0207IDG01</t>
  </si>
  <si>
    <t>1, 2, FAN</t>
  </si>
  <si>
    <t>AQG0110 (L1)</t>
  </si>
  <si>
    <t>AQG0111 (L2)</t>
  </si>
  <si>
    <t>CONJUNTO Seccionador motorizado 4 polos 1250A 1000VDC Telergon</t>
  </si>
  <si>
    <t>SET  Motorized switch-breaker 4P 1250A 1000VDC Telergon</t>
  </si>
  <si>
    <t>12, FAN</t>
  </si>
  <si>
    <r>
      <t xml:space="preserve">Nota 13: En equipos con AC agrupada hay 1 por inversor / </t>
    </r>
    <r>
      <rPr>
        <i/>
        <sz val="9"/>
        <color indexed="8"/>
        <rFont val="Calibri"/>
        <family val="2"/>
        <scheme val="minor"/>
      </rPr>
      <t>Only  1 unit in common AC side inverters</t>
    </r>
  </si>
  <si>
    <t>Common AC side</t>
  </si>
  <si>
    <t>11, FAN</t>
  </si>
  <si>
    <t>F9,F10</t>
  </si>
  <si>
    <t>PF9,PF10</t>
  </si>
  <si>
    <t>REN 8A 15V 0NA 0NC 2CM PCB 250V CA</t>
  </si>
  <si>
    <t>Relé 15VDC 8A</t>
  </si>
  <si>
    <t>relay 15VDC 8A</t>
  </si>
  <si>
    <r>
      <t xml:space="preserve">Nota 5: El equipo tiene tantos finales de carrera como armarios de potencia (de 1 ó 2 módulos), de esta manera un equipo de 2 variadores tiene 1 final de carrera y los de 3 y 4 variadores tienen 2 finales de carrera. Si además tiene acometida AC agrupada, habrá 1 final de carrera más / </t>
    </r>
    <r>
      <rPr>
        <i/>
        <sz val="8"/>
        <color indexed="8"/>
        <rFont val="Courier New"/>
        <family val="3"/>
      </rPr>
      <t>The number of limit switches depend on the number of power cabinets (with one or two modules) so 2 power block inverters have 1 limit switch and 3 and 4 power block inverters have 2 limit switches. Moreover, if we have common AC side, it will be 1 more limit switch</t>
    </r>
  </si>
  <si>
    <t>PCO Tarjeta Medida 16 Strings AAV0089</t>
  </si>
  <si>
    <t>FUS 1000 VDC 250 A</t>
  </si>
  <si>
    <t>Precio compra Energy</t>
  </si>
  <si>
    <t>Seccionador 4 polos 400A 1000VDC Teledisparo</t>
  </si>
  <si>
    <t>Switch-breaker 4p 400A 1000VDC Release Coil</t>
  </si>
  <si>
    <t>Seccionador 4 polos 250A 1000VDC Teledisparo</t>
  </si>
  <si>
    <t>Switch-breaker 4p 250A 1000VDC Release coil</t>
  </si>
  <si>
    <t>4 (opcional)</t>
  </si>
  <si>
    <t>4 (optional)</t>
  </si>
  <si>
    <t>Menos de 10 inversores: 4 (optional)</t>
  </si>
  <si>
    <t>AQE0095IGD05 SOPORTE PARED (chapa para colgar los trafos de los lite)</t>
  </si>
  <si>
    <t>FAN CBC 750V 360A 230V CA</t>
  </si>
  <si>
    <t>AAV5012</t>
  </si>
  <si>
    <t>KIT REP BOB TRIF TER SIMP POWER MAX-TER</t>
  </si>
  <si>
    <t>AAT7005</t>
  </si>
  <si>
    <t>AAT7006</t>
  </si>
  <si>
    <t>AAT7007</t>
  </si>
  <si>
    <t>UNIDAD CONTROL LOCAL ACC.PARKER OP2</t>
  </si>
  <si>
    <t>UNIDAD CONTROL LOCAL ACC.FLTCNK OP3</t>
  </si>
  <si>
    <t>HW DE UNIDAD DE CONTROL LOCAL OP2</t>
  </si>
  <si>
    <t>HW DE UNIDAD DE CONTROL LOCAL OP3</t>
  </si>
  <si>
    <t>UNIDAD CONTROL LOCAL ACC.FLTCNK OP4</t>
  </si>
  <si>
    <t>PDRII    </t>
  </si>
  <si>
    <t>PARKER              </t>
  </si>
  <si>
    <t>AAT7003/4        </t>
  </si>
  <si>
    <t>AAT0031             </t>
  </si>
  <si>
    <t>AAT1003</t>
  </si>
  <si>
    <t>MAJADAS          </t>
  </si>
  <si>
    <t>AAT7005             </t>
  </si>
  <si>
    <t>AAT0032             </t>
  </si>
  <si>
    <t>PDRI                     </t>
  </si>
  <si>
    <t>FLUITECNIK       </t>
  </si>
  <si>
    <t>AAT7006             </t>
  </si>
  <si>
    <t>AAT0033             </t>
  </si>
  <si>
    <t>AAT1005</t>
  </si>
  <si>
    <t>ORELLANA         </t>
  </si>
  <si>
    <t>SENER                 </t>
  </si>
  <si>
    <t>AAT7007             </t>
  </si>
  <si>
    <t>AAT0034             </t>
  </si>
  <si>
    <t>AAT1010</t>
  </si>
  <si>
    <t>MORON             </t>
  </si>
  <si>
    <t>COSINOR           </t>
  </si>
  <si>
    <t>AAT7008             </t>
  </si>
  <si>
    <t>Planta</t>
  </si>
  <si>
    <t>Accion.               </t>
  </si>
  <si>
    <t>LOC                      </t>
  </si>
  <si>
    <t>Tarjeta                </t>
  </si>
  <si>
    <t>FW Version</t>
  </si>
  <si>
    <t>ABB0058</t>
  </si>
  <si>
    <t>ABB0059</t>
  </si>
  <si>
    <t>KIT MODULAR SAC POWERMAX U </t>
  </si>
  <si>
    <t>KIT MODULAR RESIST CALEFACTOR POWERMAX U</t>
  </si>
  <si>
    <t>POWER BLOCK INGECON SUN 96LV</t>
  </si>
  <si>
    <t>AQL0019</t>
  </si>
  <si>
    <t>AQL0020</t>
  </si>
  <si>
    <t xml:space="preserve">CABLE 34 VIAS MANGERA CON 4 CONECTORES </t>
  </si>
  <si>
    <t>CABPLAN 34VIA 200/200/1200mm I-D-D-I</t>
  </si>
  <si>
    <t>AAX0046</t>
  </si>
  <si>
    <t>ETHERNET AVANZ PARA ING SUN MONOF ALUM (incluye AAX0041)</t>
  </si>
  <si>
    <t xml:space="preserve">106110278Dehn compatible con 106104232 de Iskra deshom. </t>
  </si>
  <si>
    <t>CAB 1,5kV  70mm2 SIL CU</t>
  </si>
  <si>
    <t>PST 1000V DC 3+1 CLASE 1+2 40kA CM 2</t>
  </si>
  <si>
    <t>Descargador sobretensiones 1000VDC 1+2</t>
  </si>
  <si>
    <t>Surge arrestor 1000VDC 1+2</t>
  </si>
  <si>
    <t>EMBALAJE UNITARIO VARIADOR 50-250kW  (AQO0056)</t>
  </si>
  <si>
    <t>Modules</t>
  </si>
  <si>
    <t>Inverters</t>
  </si>
  <si>
    <t>AAV0219</t>
  </si>
  <si>
    <t>CCO RS232/422/485 RJ45 24V CC 2C</t>
  </si>
  <si>
    <t>SEC en carga DC 1000V 1800A 4P</t>
  </si>
  <si>
    <t>MCM 230V CA 51VA</t>
  </si>
  <si>
    <t>CONJ MAGNETOTERMICO  ABB S202 C20</t>
  </si>
  <si>
    <t>FUS 1000VDC 5A 33KA CILINDRICO 10X38</t>
  </si>
  <si>
    <t>REN 10A 250V 2CM EN 230V CA</t>
  </si>
  <si>
    <t>FAN FUS 500V 450A 50 kA Redondo aR</t>
  </si>
  <si>
    <t>HW GEN SINC 6 SALIDAS 1 ENTRADA 2700 Hz</t>
  </si>
  <si>
    <t>VARIADOR DIG POWERMAX U X208</t>
  </si>
  <si>
    <t>VARIADOR DIG POWERMAX U X275</t>
  </si>
  <si>
    <t>VARIADOR DIG POWERMAX U X330</t>
  </si>
  <si>
    <t>VARIADOR DIG POWERMAX U X360</t>
  </si>
  <si>
    <t>VARIADOR DIG POWERMAX U X480</t>
  </si>
  <si>
    <t>CONJUNTO MAGNETOTERMICO ABB TMAXT6S</t>
  </si>
  <si>
    <t>CBC 1000V 580A 220V CA 3P</t>
  </si>
  <si>
    <t>RDP Siliconada Tubular Bob. 0R5 450W</t>
  </si>
  <si>
    <t>CONJUNTO CONTACTOR ABB AF50</t>
  </si>
  <si>
    <t>REN 6A 220/240V 1CM EN 264V CA CC</t>
  </si>
  <si>
    <t>FAN CONJ SETA EMERGENCIA NC</t>
  </si>
  <si>
    <t>FAN REN 6A 220/240V 1CM EN 2</t>
  </si>
  <si>
    <t>RVE PLASTICO 150X150 IP55 RAL7035 (Rejillas de Ventiladores para Smart 20-30kW)</t>
  </si>
  <si>
    <t>RVE PLASTICO 250x250 IP55 RAL7035 (Rejilla Grande de entrada de aire para Smart 20-30kW)</t>
  </si>
  <si>
    <t>RVE PLASTICO 150X150 IP54 RAL7035 (Rejillas de Ventiladores para Smart 10-15kW)</t>
  </si>
  <si>
    <t>RVE PLASTICO 250X250 IP54 RAL7035 (Rejilla Grande de entrada de aire para Smart 10-15kW)</t>
  </si>
  <si>
    <t>105mm, ref. Lotec M08PFC</t>
  </si>
  <si>
    <t>150mm, ref. Lotec M12PFC</t>
  </si>
  <si>
    <t>250mm, ref. Lotec M15PFC</t>
  </si>
  <si>
    <t>Smart 20-30 IP54 (AQE0054)</t>
  </si>
  <si>
    <t>Smart 10-15 IP54 (AQE0041)</t>
  </si>
  <si>
    <t>La 106105648 pero embutida (esquinas redondas, pedir foto)</t>
  </si>
  <si>
    <t>AQE0006IEB01 CARATULA INVERSOR ESPAÑOL (Esquinas rectangulares, pedir foto)</t>
  </si>
  <si>
    <t xml:space="preserve">(monof hasta 5kW y trifásicos antiguos) </t>
  </si>
  <si>
    <t>AAP0005</t>
  </si>
  <si>
    <t>HW DISPLAY Y TECLADO INGSUN CNXN RED</t>
  </si>
  <si>
    <t>Precio compra Energy 2014</t>
  </si>
  <si>
    <t>AQG0142</t>
  </si>
  <si>
    <t>FAN INT BOBINA MC 1.6mH 400A DIF 8A MC</t>
  </si>
  <si>
    <t>Modulares</t>
  </si>
  <si>
    <t>MS de Juantxo</t>
  </si>
  <si>
    <t>v_C y anteriores</t>
  </si>
  <si>
    <t>AQG0108</t>
  </si>
  <si>
    <t>CONJUNTO Disyuntor magnetotérmico 1250A</t>
  </si>
  <si>
    <t>SET Thermal magnetic breaker 1250A</t>
  </si>
  <si>
    <t>CONJUNTO Disyuntor magnetotérmico 800A</t>
  </si>
  <si>
    <t>SET Thermal magnetic breaker 800A</t>
  </si>
  <si>
    <t>CONJUNTO Disyuntor magnetotérmico mando electrico 1600A</t>
  </si>
  <si>
    <t>SET Thermal magnetic breaker motor mechanism 1600A</t>
  </si>
  <si>
    <t>CONJUNTO Disyuntor magnetotérmico mando electrico 1250A</t>
  </si>
  <si>
    <t>SET Thermal magnetic breaker motor mechanism 1250A</t>
  </si>
  <si>
    <t>CONJUNTO Disyuntor magnetotérmico mando electrico 800A</t>
  </si>
  <si>
    <t>SET Thermal magnetic breaker motor mechanism 800A</t>
  </si>
  <si>
    <t>CONJUNTO Seccionador AC 1600A</t>
  </si>
  <si>
    <t>CONJUNTO Seccionador AC 1250A</t>
  </si>
  <si>
    <t>CONJUNTO Seccionador AC 800A</t>
  </si>
  <si>
    <t>ELE KIT AC POWER M/X DC AC MAGNETO 1250A</t>
  </si>
  <si>
    <t>ELE KIT AC POWER M/X DC AC MAGNETO 800A</t>
  </si>
  <si>
    <t>KIT MOTORIZACIÓN IAU AC POWER MAX 1600 A</t>
  </si>
  <si>
    <t>KIT MOTORIZACIÓN IAU AC POWER MAX 1250 A</t>
  </si>
  <si>
    <t>KIT MOTORIZACIÓN IAU AC POWER MAX 800 A</t>
  </si>
  <si>
    <t>KIT SECCIONADOR EN CARGA AC 1600 A</t>
  </si>
  <si>
    <t>KIT SECCIONADOR EN CARGA AC 1250 A</t>
  </si>
  <si>
    <t>KIT SECCIONADOR EN CARGA AC 800 A</t>
  </si>
  <si>
    <t>¿1?</t>
  </si>
  <si>
    <t xml:space="preserve">106206666        </t>
  </si>
  <si>
    <t>ABB0061</t>
  </si>
  <si>
    <t>KIT SERVICIOS AUXILIARES POWERMAX U</t>
  </si>
  <si>
    <t>AQE0021IGF12 CASQUILLO LEM</t>
  </si>
  <si>
    <t>AAS7000IBC02_A (Cableado de conexión tarjeta de control , tarjeta generadora, tarjeta de entradas salidas digitales y display, Power)</t>
  </si>
  <si>
    <t>No comprado</t>
  </si>
  <si>
    <t>AAV0221</t>
  </si>
  <si>
    <t>HW.DISP MAT, TECLADO, RS485, LEDS Y CAN</t>
  </si>
  <si>
    <t>Display matricial para trifásicos con RS485</t>
  </si>
  <si>
    <t>Matrix display for three-phase inverters with RS485</t>
  </si>
  <si>
    <t>AQG0022</t>
  </si>
  <si>
    <t>FAN INT 250uH 50Hz TRI 265A</t>
  </si>
  <si>
    <t>Precio referencia 2014</t>
  </si>
  <si>
    <t>CIE CERRADURA POSTE PARED IP65</t>
  </si>
  <si>
    <t>Compra Energy 2014</t>
  </si>
  <si>
    <t>Precio Compra Energy 2014</t>
  </si>
  <si>
    <t>PVP 2014</t>
  </si>
  <si>
    <t>Precio venta Energy 2014</t>
  </si>
  <si>
    <t>InterCompany2014</t>
  </si>
  <si>
    <t>COMUNICACIONES</t>
  </si>
  <si>
    <t>Tarjeta comunicaciones RS485</t>
  </si>
  <si>
    <t xml:space="preserve">RS485 Communication board </t>
  </si>
  <si>
    <t>AAX0041</t>
  </si>
  <si>
    <t>Modbus-tcp protocol converter</t>
  </si>
  <si>
    <t>Tarjeta comunicación ethernet con display</t>
  </si>
  <si>
    <t>Communication board ethernet-display</t>
  </si>
  <si>
    <t>Tarjeta modem gsm/gprs trifasico</t>
  </si>
  <si>
    <t>Gsm/gprs modem card 3-phase</t>
  </si>
  <si>
    <t>Conector rápido MC4 macho positivo</t>
  </si>
  <si>
    <t>HW DE UNIDAD DE CONTROL LOCAL OP4 (AAT0034)</t>
  </si>
  <si>
    <t>CABPLAN 34VIA 100/100mmMACH-I HEM-I-I (AQL0032)</t>
  </si>
  <si>
    <t>AQE0240IGJ04 Filtro rejilla Pmax</t>
  </si>
  <si>
    <t>AAV5021</t>
  </si>
  <si>
    <t>INS KIT REACTIVE POWER SUPPLY NIGHTLY</t>
  </si>
  <si>
    <t xml:space="preserve">106207757        </t>
  </si>
  <si>
    <t>KIT DETECCIÓN SOBRECORRIENTE TRIFASICO</t>
  </si>
  <si>
    <t>AAS0271</t>
  </si>
  <si>
    <t>Opción descargador DC 106114700</t>
  </si>
  <si>
    <t>KIT PUESTA A TIERRA</t>
  </si>
  <si>
    <t>AQP0892IGD01 SOPORTE FILTRO P.MAX HIMELL</t>
  </si>
  <si>
    <t>AQP0893IGD01 SEPARADOR FILTRO P.MAX HIME</t>
  </si>
  <si>
    <t>AQE0336IGJ01 FILTRO PUERTA MODULO</t>
  </si>
  <si>
    <t>ABA0008</t>
  </si>
  <si>
    <t>KIT MODEM 3G INGEREV</t>
  </si>
  <si>
    <t>Buscar referencias kits y equipos Lite y Smart TL: AAYIKA02_Q</t>
  </si>
  <si>
    <t>AAY0031</t>
  </si>
  <si>
    <t>HW Base Smart TL</t>
  </si>
  <si>
    <t>AAY0033</t>
  </si>
  <si>
    <t>Kit Seccionador DC Smart TL</t>
  </si>
  <si>
    <t>AAY0032</t>
  </si>
  <si>
    <t>KIT DESCARGADORES AC I.S. SMART TL</t>
  </si>
  <si>
    <t>FAN PST 275V AC 3+1 CLASE II 40kA SM</t>
  </si>
  <si>
    <t>DEHN   952 322 (DG M TT CI 275)</t>
  </si>
  <si>
    <t>ISKRA    516 033 ( SAFETEC C 160/275 (3+1) )</t>
  </si>
  <si>
    <t>CABLE DE CAN POTENCIA DISPLAY SMART TL (AQL0119IBC01_)</t>
  </si>
  <si>
    <t>AAV0198</t>
  </si>
  <si>
    <t>KIT SAC MODULAR PARA FAMILIA POWER MAX</t>
  </si>
  <si>
    <t>AQO0056IGS01 CAJA PROTECCIÓN SUPERIOR</t>
  </si>
  <si>
    <t>AQO0056IGT01 BOLSA ANTIHUMEDAD UD. VARIADOR</t>
  </si>
  <si>
    <t>embalaje para devolver variadores a reparar (aprovechan el palet original)</t>
  </si>
  <si>
    <t>Sustitución rejilla puerta calderería Himel (compatible siempre que las rejillas existentes tengan oblongos)</t>
  </si>
  <si>
    <t>KIT RETROFIT TRAFO TORYTRANS</t>
  </si>
  <si>
    <t>AAS0241</t>
  </si>
  <si>
    <r>
      <t xml:space="preserve">MANGUERA 34 VIAS </t>
    </r>
    <r>
      <rPr>
        <sz val="11"/>
        <color rgb="FFFF0000"/>
        <rFont val="Calibri"/>
        <family val="2"/>
        <scheme val="minor"/>
      </rPr>
      <t>1</t>
    </r>
    <r>
      <rPr>
        <sz val="11"/>
        <color theme="1"/>
        <rFont val="Calibri"/>
        <family val="2"/>
        <scheme val="minor"/>
      </rPr>
      <t>000mm I-I (AQL0014)</t>
    </r>
  </si>
  <si>
    <t>Precio Unitario InterCompany 2014</t>
  </si>
  <si>
    <t>IT0341</t>
  </si>
  <si>
    <t>AAV0236</t>
  </si>
  <si>
    <t>KIT WATIMETRO POWER MAX</t>
  </si>
  <si>
    <t>Material de almacén</t>
  </si>
  <si>
    <t>Material 'a medida'</t>
  </si>
  <si>
    <t>Electrónica diseño Ingeteam</t>
  </si>
  <si>
    <t>Trafos, bobinas, calderería…</t>
  </si>
  <si>
    <t>Tarjetería electrónica</t>
  </si>
  <si>
    <t>Clientes</t>
  </si>
  <si>
    <t>/0,95</t>
  </si>
  <si>
    <t>/0,8</t>
  </si>
  <si>
    <t>/0,6</t>
  </si>
  <si>
    <t>/0,4</t>
  </si>
  <si>
    <t>Aparamenta, ventiladores, tornillería…</t>
  </si>
  <si>
    <t xml:space="preserve">AAX5001 </t>
  </si>
  <si>
    <t>AAX5002</t>
  </si>
  <si>
    <t>AAX5004</t>
  </si>
  <si>
    <t>AAX5005</t>
  </si>
  <si>
    <t>KIT EMS PARA CONSUMO MENOR DE 15kW</t>
  </si>
  <si>
    <t>KIT EMS PARA CONSUMO MAYOR DE 15kW</t>
  </si>
  <si>
    <t>KIT VAT MED DIRECTA PARA 1PLAY Y 3PLAY</t>
  </si>
  <si>
    <t>KIT VAT MED INDIRECTA PARA 3 PLAY</t>
  </si>
  <si>
    <t>AAX7054</t>
  </si>
  <si>
    <t>MODBUS-TCP PROTOCOL FOR PLAY</t>
  </si>
  <si>
    <t>AAT7008</t>
  </si>
  <si>
    <t>AAX7055</t>
  </si>
  <si>
    <t>AAX7056</t>
  </si>
  <si>
    <t>RS485H FOR PLAY</t>
  </si>
  <si>
    <t>AAX7051</t>
  </si>
  <si>
    <t>RS485V FOR PLAY</t>
  </si>
  <si>
    <t>AAX7052</t>
  </si>
  <si>
    <t>ETHERNET FOR PLAY</t>
  </si>
  <si>
    <t>AAX7053</t>
  </si>
  <si>
    <t>BLUETOOTH AND RS485 FOR PLAY</t>
  </si>
  <si>
    <t>GPRS MODEM FOR PLAY</t>
  </si>
  <si>
    <t>Elemento</t>
  </si>
  <si>
    <t>Nombre Parte Constitutiva</t>
  </si>
  <si>
    <t>Power Phase</t>
  </si>
  <si>
    <t xml:space="preserve">Fase </t>
  </si>
  <si>
    <t>ABK0015</t>
  </si>
  <si>
    <t>Captación de Corriente LEM</t>
  </si>
  <si>
    <t>N/A</t>
  </si>
  <si>
    <t>Power Stack</t>
  </si>
  <si>
    <t>Tarjeta de Captaciones CCU</t>
  </si>
  <si>
    <t>PWBLCK CCU Box</t>
  </si>
  <si>
    <t>ABK0025</t>
  </si>
  <si>
    <t xml:space="preserve">Tarjeta de Fuentes Alimentación </t>
  </si>
  <si>
    <t>PWBLCK POWER SUPPLY BOX</t>
  </si>
  <si>
    <t>ABK0026</t>
  </si>
  <si>
    <t>Tarjeta de Alimentación Inint. CSS (SAC)</t>
  </si>
  <si>
    <t>PWBLCK CSS BOX</t>
  </si>
  <si>
    <t>ABK0027</t>
  </si>
  <si>
    <t>Sistema Intercambiador Aire Aire</t>
  </si>
  <si>
    <t>CTO. INTERCAMBIADOR AIRE</t>
  </si>
  <si>
    <t>ABK0044</t>
  </si>
  <si>
    <t>Power Block</t>
  </si>
  <si>
    <t>Sistema Ventilación Fases</t>
  </si>
  <si>
    <t>(FAN) CTO. VENTILACIÓN FASE PWBLCK</t>
  </si>
  <si>
    <t>ABK0045</t>
  </si>
  <si>
    <t>Sistema Ventilación Induct</t>
  </si>
  <si>
    <t>(FAN) CTO. VENTILACIÓN INDUCT. PWBLCK</t>
  </si>
  <si>
    <t>ABK0042</t>
  </si>
  <si>
    <t>Contactor Principal Inversor</t>
  </si>
  <si>
    <t>(FAN) CTO. CONTACTOR AC3 PWBLCK</t>
  </si>
  <si>
    <t>ABK0043</t>
  </si>
  <si>
    <t>Bobina</t>
  </si>
  <si>
    <t>AQG0059</t>
  </si>
  <si>
    <t>Contactores Accionamiento</t>
  </si>
  <si>
    <t>Lem Medida de Filtro Armónicos</t>
  </si>
  <si>
    <t>Condensadores Filtro Armónicos</t>
  </si>
  <si>
    <t>LEM Medida de DC</t>
  </si>
  <si>
    <t>Armario Acomentidas</t>
  </si>
  <si>
    <t>Porta Fusibles</t>
  </si>
  <si>
    <t>Fusibles Protec DC</t>
  </si>
  <si>
    <t>Descargadores AC</t>
  </si>
  <si>
    <t>Descargadores DC</t>
  </si>
  <si>
    <t>Filtro Modo Común</t>
  </si>
  <si>
    <t>Coste Estimado I+D</t>
  </si>
  <si>
    <t>ABB0026</t>
  </si>
  <si>
    <t>KIT ATERRAMIENTO NEGATIVO POWER U</t>
  </si>
  <si>
    <t>Ref. fabricante 1</t>
  </si>
  <si>
    <t>Ref. fabricante 2</t>
  </si>
  <si>
    <t>Ref. fabricante 3</t>
  </si>
  <si>
    <t>Ref. fabricante 4</t>
  </si>
  <si>
    <t>General Electric</t>
  </si>
  <si>
    <t>Schneider</t>
  </si>
  <si>
    <t>A9F85340</t>
  </si>
  <si>
    <t>GV2-P14</t>
  </si>
  <si>
    <t>Telemecanique</t>
  </si>
  <si>
    <t>GV2-P20</t>
  </si>
  <si>
    <t>GV2-P22</t>
  </si>
  <si>
    <t>GV2-P01</t>
  </si>
  <si>
    <t>LC1-F400</t>
  </si>
  <si>
    <t>Ingeteam</t>
  </si>
  <si>
    <t>Tecnomega</t>
  </si>
  <si>
    <t>TSK 30 203 0R1TERMINAL TIPO E MONTAJE HS</t>
  </si>
  <si>
    <t>Fairfild</t>
  </si>
  <si>
    <t>RCPO 240 0,1 OHM SQ23</t>
  </si>
  <si>
    <t>TSK-30.165</t>
  </si>
  <si>
    <t>df Electric</t>
  </si>
  <si>
    <t>442163</t>
  </si>
  <si>
    <t>Wohner</t>
  </si>
  <si>
    <t>Bussmann</t>
  </si>
  <si>
    <t>CH223 GUL</t>
  </si>
  <si>
    <t>ebmpapst</t>
  </si>
  <si>
    <t>D2E160-AA03-20</t>
  </si>
  <si>
    <t>DUCATI ENERGIA</t>
  </si>
  <si>
    <t>Iskra</t>
  </si>
  <si>
    <t>322987</t>
  </si>
  <si>
    <t>PV4A10F</t>
  </si>
  <si>
    <t>Ferraz-Shawmutt</t>
  </si>
  <si>
    <t>HP10M4</t>
  </si>
  <si>
    <t>Littlefuse</t>
  </si>
  <si>
    <t>SPF004</t>
  </si>
  <si>
    <t>PV15A10F</t>
  </si>
  <si>
    <t>Siba fuses</t>
  </si>
  <si>
    <t>50 215 26 (16 AMPERIOS)</t>
  </si>
  <si>
    <t>ABB</t>
  </si>
  <si>
    <t>OESA400R22-2 SOL</t>
  </si>
  <si>
    <t>OESAZX1-S2</t>
  </si>
  <si>
    <t>OESAZX119</t>
  </si>
  <si>
    <t>OXP12X395</t>
  </si>
  <si>
    <t>OHB145J12</t>
  </si>
  <si>
    <t>170M5145</t>
  </si>
  <si>
    <t>S2072332550</t>
  </si>
  <si>
    <t>516 047</t>
  </si>
  <si>
    <t>Dehn</t>
  </si>
  <si>
    <t>952 515</t>
  </si>
  <si>
    <t>LV432695</t>
  </si>
  <si>
    <t>Merlin Gerin</t>
  </si>
  <si>
    <t>LV432591</t>
  </si>
  <si>
    <t>LV432593</t>
  </si>
  <si>
    <t>29450</t>
  </si>
  <si>
    <t>LV432598</t>
  </si>
  <si>
    <t>436156</t>
  </si>
  <si>
    <t>436721</t>
  </si>
  <si>
    <t>436506</t>
  </si>
  <si>
    <t>432855</t>
  </si>
  <si>
    <t>432861</t>
  </si>
  <si>
    <t>430837</t>
  </si>
  <si>
    <t>Allen Bradley</t>
  </si>
  <si>
    <t>800FM-MT44</t>
  </si>
  <si>
    <t>Finder</t>
  </si>
  <si>
    <t>FINDER 40.52 9012</t>
  </si>
  <si>
    <t>Littelfuse</t>
  </si>
  <si>
    <t>TMOV20R385M</t>
  </si>
  <si>
    <t>Drive contactor</t>
  </si>
  <si>
    <t>Power phase current sensor</t>
  </si>
  <si>
    <t>DC current sensor</t>
  </si>
  <si>
    <t>Harmonics filter current sensor</t>
  </si>
  <si>
    <t>Harmonics filter capacitor</t>
  </si>
  <si>
    <t>Fuse base</t>
  </si>
  <si>
    <t>Input DC fuse</t>
  </si>
  <si>
    <t>Thermal magnetic breaker</t>
  </si>
  <si>
    <t>Motorized switch-breaker</t>
  </si>
  <si>
    <t>Surge arrester AC</t>
  </si>
  <si>
    <t>Surge arrester DC</t>
  </si>
  <si>
    <t>Common mode filter</t>
  </si>
  <si>
    <t>AAV0058</t>
  </si>
  <si>
    <t>KIT VIGILANTE DE AISLAMIENTO AC POW. MAX</t>
  </si>
  <si>
    <t>Control Converter Unit</t>
  </si>
  <si>
    <t>Power Supply board</t>
  </si>
  <si>
    <t>de todas las tarjetas puede ser la q mas se joda</t>
  </si>
  <si>
    <t>Contactor Supply System</t>
  </si>
  <si>
    <t>Intercooler</t>
  </si>
  <si>
    <t>EV 6años</t>
  </si>
  <si>
    <t>Inductance</t>
  </si>
  <si>
    <t>Inductance ventilation set</t>
  </si>
  <si>
    <t>robusto</t>
  </si>
  <si>
    <t>como uno de 6</t>
  </si>
  <si>
    <t>Main contactor</t>
  </si>
  <si>
    <t>Power Phase ventilation set</t>
  </si>
  <si>
    <t>Cod.Sap provisional</t>
  </si>
  <si>
    <t>AAV0239</t>
  </si>
  <si>
    <t>ELEM PLACA PMAX ACOMET. DC 3B 2 FUS/POL</t>
  </si>
  <si>
    <t>Seccionador Motorizado de Cabecera</t>
  </si>
  <si>
    <t>Disyuntor Magnetotérmico AC Cabecera</t>
  </si>
  <si>
    <t>Comunicaciones</t>
  </si>
  <si>
    <t>S5-08004PD0</t>
  </si>
  <si>
    <t>DS-EP23</t>
  </si>
  <si>
    <t>Telergon</t>
  </si>
  <si>
    <t>DS-SC21</t>
  </si>
  <si>
    <t>DS-CU20</t>
  </si>
  <si>
    <t>DS-CU21</t>
  </si>
  <si>
    <t>DS-PI21</t>
  </si>
  <si>
    <t>S5-18004PS00U</t>
  </si>
  <si>
    <t>UM-S31230Z</t>
  </si>
  <si>
    <t>D5LAU01</t>
  </si>
  <si>
    <t>DS-CU400U</t>
  </si>
  <si>
    <t>1SVR430830R0400</t>
  </si>
  <si>
    <t>1SVR730831R1400</t>
  </si>
  <si>
    <t>405290140000</t>
  </si>
  <si>
    <t>Schneider Electric</t>
  </si>
  <si>
    <t>DF Electric</t>
  </si>
  <si>
    <t>Ferraz Shawmut</t>
  </si>
  <si>
    <t>X213598 (FR10GG50V4)</t>
  </si>
  <si>
    <t>EBM PAPST</t>
  </si>
  <si>
    <t>K3G250-RE07-11</t>
  </si>
  <si>
    <t>LX1FJ220</t>
  </si>
  <si>
    <t>LAD-N11</t>
  </si>
  <si>
    <t>LA4-FRCP</t>
  </si>
  <si>
    <t>LA9 F703</t>
  </si>
  <si>
    <t>Microelettrica</t>
  </si>
  <si>
    <t>LTHS04011SAI1</t>
  </si>
  <si>
    <t>LTHS04011SAI0</t>
  </si>
  <si>
    <t>Vishay</t>
  </si>
  <si>
    <t>RBSF0240R1000KGBES</t>
  </si>
  <si>
    <t>Siba Fuses</t>
  </si>
  <si>
    <t>51 063 04.DC</t>
  </si>
  <si>
    <t>CHM1D-PV-IEC</t>
  </si>
  <si>
    <t>0613N211083C</t>
  </si>
  <si>
    <t>2000413-400</t>
  </si>
  <si>
    <t>Ferraz Shawmutt</t>
  </si>
  <si>
    <t>0613F201853C</t>
  </si>
  <si>
    <t>Pronutec SAU</t>
  </si>
  <si>
    <t>434.12.11.10.20</t>
  </si>
  <si>
    <t>Releco</t>
  </si>
  <si>
    <t>C7-A20DX/DC 15V</t>
  </si>
  <si>
    <t>Weidmuller</t>
  </si>
  <si>
    <t>CP SNT 48W 12V 4A</t>
  </si>
  <si>
    <t>Allen-Bradley</t>
  </si>
  <si>
    <t>440P-CALS11B</t>
  </si>
  <si>
    <t>Advantech</t>
  </si>
  <si>
    <t>EKI-1222-AE</t>
  </si>
  <si>
    <t>1, 6</t>
  </si>
  <si>
    <t>Hasta sept 2014 incluido, sólo se han fabricado Pmax modulares (aparamenta Schneider)</t>
  </si>
  <si>
    <t>A partir de oct 2014, se fabrican Pmax modulares (aparamenta Schneider) y modulares con rediseño (3 fabricantes)</t>
  </si>
  <si>
    <t>PST 1180V 3+1 Clase II 20kA</t>
  </si>
  <si>
    <t>Descargador sobretensiones 1180VAC 3+1 Iskra</t>
  </si>
  <si>
    <t>Surge arrestor 1180VAC 3+1 Iskra</t>
  </si>
  <si>
    <t>FAN CONJ CONTACTOR AC 370A (AQN0221, AQN0222, AQN0226)</t>
  </si>
  <si>
    <t>CONJUNTO Disyuntor magnetotérmico 1600A Schneider (meter el de 800A para dos bloques)</t>
  </si>
  <si>
    <t>Transporte e impuestos no incluidos / Transport and taxes not included</t>
  </si>
  <si>
    <t>AAV0059</t>
  </si>
  <si>
    <t>IAM B 10A 1200Vdc 4P 5kA</t>
  </si>
  <si>
    <t>FSAC</t>
  </si>
  <si>
    <t>FAAV0206</t>
  </si>
  <si>
    <t>?</t>
  </si>
  <si>
    <t>FAN 250V 250mA 35A 5x20 lento LITTELFUSE</t>
  </si>
  <si>
    <t>Fusible 250mA 250VAC 5x20</t>
  </si>
  <si>
    <t>Fuse 250mA 250VAC 5x20</t>
  </si>
  <si>
    <t>GE</t>
  </si>
  <si>
    <t>690200 (GE EP104UC-B10)</t>
  </si>
  <si>
    <t>S804PV-S10</t>
  </si>
  <si>
    <t>0213.250MXP</t>
  </si>
  <si>
    <t>0218.250MXP</t>
  </si>
  <si>
    <t>VAT W TE3 519V AC 5A</t>
  </si>
  <si>
    <t>Disyuntor magnetotérmico 10A ABB</t>
  </si>
  <si>
    <t>Thermal magnetic breaker 10A ABB</t>
  </si>
  <si>
    <t>TRC HLC 500A / 250mA 70ºC</t>
  </si>
  <si>
    <t>12 ó 16</t>
  </si>
  <si>
    <t>KIT SAC</t>
  </si>
  <si>
    <t>KIT VATÍMETRO</t>
  </si>
  <si>
    <t>KIT MEDICIÓN STRINGS</t>
  </si>
  <si>
    <t>AAV0061 ó AAV0097</t>
  </si>
  <si>
    <t>Cmac</t>
  </si>
  <si>
    <t>T60404-N4644-X052</t>
  </si>
  <si>
    <t>ventilador del variador</t>
  </si>
  <si>
    <r>
      <t xml:space="preserve">1, </t>
    </r>
    <r>
      <rPr>
        <sz val="9"/>
        <color rgb="FFFF0000"/>
        <rFont val="Calibri"/>
        <family val="2"/>
        <scheme val="minor"/>
      </rPr>
      <t>7</t>
    </r>
    <r>
      <rPr>
        <sz val="9"/>
        <rFont val="Calibri"/>
        <family val="2"/>
        <scheme val="minor"/>
      </rPr>
      <t>, FAN</t>
    </r>
  </si>
  <si>
    <t>AAV0067</t>
  </si>
  <si>
    <t>AAV0066</t>
  </si>
  <si>
    <t>AAV0065</t>
  </si>
  <si>
    <t>AAV0235</t>
  </si>
  <si>
    <t>TDV 400V 400V 6VA cl 0,5 1</t>
  </si>
  <si>
    <t>TDC 1500A 5A 5VA Cl 0.5 PASANTE</t>
  </si>
  <si>
    <t>Vatímetro PowerMax</t>
  </si>
  <si>
    <t>Wattmeter PoweMax</t>
  </si>
  <si>
    <t>AAV0089</t>
  </si>
  <si>
    <t>SET AC breaker 1600A</t>
  </si>
  <si>
    <t>SET AC breaker 1250A</t>
  </si>
  <si>
    <t>SET AC breaker 800A</t>
  </si>
  <si>
    <t>Fuente de alimentación 120W 24VDC</t>
  </si>
  <si>
    <t>ACDC 120W 24VDC Power supply</t>
  </si>
  <si>
    <t>SET AQN Contactor 370A 1000VAC</t>
  </si>
  <si>
    <t>CONJUNTO AQN Contactor 370A 1000VAC</t>
  </si>
  <si>
    <t>AAV5024</t>
  </si>
  <si>
    <t>AAV5026</t>
  </si>
  <si>
    <t>AAV5027</t>
  </si>
  <si>
    <t>AAV5028</t>
  </si>
  <si>
    <t>INSTALL MOTORIZED 600A DC BREAKER MS KIT</t>
  </si>
  <si>
    <t>INSTALL MOT 1600A DC BREAKER MS KIT 2 B</t>
  </si>
  <si>
    <t>INSTALL MOT 1600A DC BREAKER MS KIT 4 B</t>
  </si>
  <si>
    <t>INSTALL MOT 1600A DC BREAKER MS KIT 3 B</t>
  </si>
  <si>
    <t>AAS0237</t>
  </si>
  <si>
    <t>AAS0238</t>
  </si>
  <si>
    <t>Tarjeta drivers 60kW</t>
  </si>
  <si>
    <t>Tarjeta drivers 80kW</t>
  </si>
  <si>
    <t>Disyuntor magnetotérmico 10A ABB con Caux</t>
  </si>
  <si>
    <t>Thermal magnetic breaker 10A ABB with AuxC</t>
  </si>
  <si>
    <t>CONJUNTO MAGN ABB S804 S10 + AUX</t>
  </si>
  <si>
    <t>AQN0014</t>
  </si>
  <si>
    <t>CONJ. SECCIONADOR DC 1250A TELERGON</t>
  </si>
  <si>
    <t>LISTADO</t>
  </si>
  <si>
    <t>DE</t>
  </si>
  <si>
    <t>REPUESTOS</t>
  </si>
  <si>
    <t>INGEREV</t>
  </si>
  <si>
    <t>Qty</t>
  </si>
  <si>
    <t>/Inv</t>
  </si>
  <si>
    <t>ABA0021</t>
  </si>
  <si>
    <t>Llave usuario</t>
  </si>
  <si>
    <t>Medidor potencia/energía 2P</t>
  </si>
  <si>
    <t>Relé potencia 40A</t>
  </si>
  <si>
    <t>Medidor potencia/energía 4P</t>
  </si>
  <si>
    <t>4P Energy Meter</t>
  </si>
  <si>
    <t>Relé potencia 4P 32A</t>
  </si>
  <si>
    <t>32A 4P Power relay</t>
  </si>
  <si>
    <t>2P Energy Meter</t>
  </si>
  <si>
    <t>40A Power relay</t>
  </si>
  <si>
    <t>User key</t>
  </si>
  <si>
    <t>Q3, Q1</t>
  </si>
  <si>
    <t>K1, K2</t>
  </si>
  <si>
    <t>ABA0021 SIST CONTROL EST REC BASIC</t>
  </si>
  <si>
    <t>Conjunto FAL EPR-25-15 Soporte</t>
  </si>
  <si>
    <t>SCO 2NA 0NC 0CM 16MM LLAVE</t>
  </si>
  <si>
    <t>FAN REN 25A 230V 2NA 0NC 0CM TOR 240V CA</t>
  </si>
  <si>
    <t>AEC IN:208V 100A AUX:230V CA cl 1 DIN</t>
  </si>
  <si>
    <t>CBC 230V 40A 230V CA 2P</t>
  </si>
  <si>
    <t>Ventilador variador</t>
  </si>
  <si>
    <t>La AAP0006_ es AAP0083. (Sólo Acciona)</t>
  </si>
  <si>
    <t>La AAP0106 de Acciona es la AAP0206. Pero solo para monofásico, para trifásico lo tienen que definir.</t>
  </si>
  <si>
    <t>La AAP0106 del resto de clientes es AAP0106.</t>
  </si>
  <si>
    <t>La AAP0006A es AAP0006 (Acciona y más clientes) - Cuando se acaben hay que poner AAP0106 o AAP206 con el kit AAP0084</t>
  </si>
  <si>
    <t>AAS7135</t>
  </si>
  <si>
    <t>AAS7136</t>
  </si>
  <si>
    <t>VARIADOR INV TRIF 25KW NEMA 3R UL 480V</t>
  </si>
  <si>
    <t>VARIADOR INV TRIF 25KW NEMA 3R UL 208V</t>
  </si>
  <si>
    <t>POWER BLOCK INGECON SUN  TL 220Vac</t>
  </si>
  <si>
    <t>POWER BLOCKINGECON SUN TL 220Vac</t>
  </si>
  <si>
    <t>POWER BLOCKINGECON SUN TL 320Vac</t>
  </si>
  <si>
    <t>POWER BLOCK INGECON SUN  TL 220Vac MS</t>
  </si>
  <si>
    <t>POWER BLOCK INGECON SUN  TL 275Vac MS</t>
  </si>
  <si>
    <t>POWER BLOCK INGECON SUN  TL 300Vac MS</t>
  </si>
  <si>
    <t>POWER BLOCK INGECON SUN  TL 320Vac MS</t>
  </si>
  <si>
    <t>POWER BLOCK INGECON SUN  TL 275Vac</t>
  </si>
  <si>
    <t>POWER BLOCK INGECON SUN  TL 320Vac</t>
  </si>
  <si>
    <t>POWER BLOCK INGECON SUN  TL 345Vac</t>
  </si>
  <si>
    <t>POWER BLOCK INGECON SUN  TL 345Vac MS</t>
  </si>
  <si>
    <t>POWER BLOCK INGECON SUN  TL 360Vac</t>
  </si>
  <si>
    <t>POWER BLOCK INGECON SUN  TL 360Vac MS</t>
  </si>
  <si>
    <t>VARIADOR INGECON SUN 100TL</t>
  </si>
  <si>
    <t>POWER BLOCK INGECON SUN 100TL</t>
  </si>
  <si>
    <t>220Vac (110TL)</t>
  </si>
  <si>
    <t>220Vac (140TL)</t>
  </si>
  <si>
    <t>FAN CONJ MAGNETOTÉRMICO AC 1600A</t>
  </si>
  <si>
    <t>AAS0277</t>
  </si>
  <si>
    <t>FILTRO COND TRIFASICOS 150uF 300V 50A</t>
  </si>
  <si>
    <t>Filtro de armónicos trifásico 150uF</t>
  </si>
  <si>
    <t>Three-phase 150uF harmonics filter</t>
  </si>
  <si>
    <t>Kit instalacion filtro de armónicos trifásico 150uF</t>
  </si>
  <si>
    <t>Installation kit three-phase 150uF harmonics filter</t>
  </si>
  <si>
    <t>KIT INST. F. ARM. TRIF 150uF AAS0277</t>
  </si>
  <si>
    <t>Tarjeta Control (AAY0014)</t>
  </si>
  <si>
    <t>Tarjeta Captaciones equipos mayores de 100 kW (AAS0232)</t>
  </si>
  <si>
    <t>Tarjeta drivers 1000Vdc (AAS0245)</t>
  </si>
  <si>
    <t>Display matricial para trifásicos con RS485 (AAV0221)</t>
  </si>
  <si>
    <t>Fuente de alimentación externa 400VDC 50VA (AAV0206)</t>
  </si>
  <si>
    <t>Fuente de alimentación externa 12VDC 48W (FA+15)</t>
  </si>
  <si>
    <t>HW señal de sincronismo fibra (AAV0133)</t>
  </si>
  <si>
    <t>Sincronismo fibra óptica 3160mm (AQL0072)</t>
  </si>
  <si>
    <t>HW monitorización funcionamiento ventiladores (ABB0062)</t>
  </si>
  <si>
    <t>Fusible 4A 500VAC 10x38mm (FN)</t>
  </si>
  <si>
    <t>Fusible 250mA 250VAC 5x20 (FAAV0206)</t>
  </si>
  <si>
    <t>Fusible 8A 1000VDC 10x38mm (F9,F10)</t>
  </si>
  <si>
    <t>Fusible 400A 500VAC NH2 (FAC)</t>
  </si>
  <si>
    <t>Fusible 4A 1000VDC 10x38mm (FSAC)</t>
  </si>
  <si>
    <t>CONJUNTO Disyuntor magnetotérmico 40A (Q2)</t>
  </si>
  <si>
    <t>CONJUNTO Disyuntor magnetotérmico 0,1 a 0,16A (Q4)</t>
  </si>
  <si>
    <t>Cable de fibra para sincronización de equipos modulares (AAV0017)</t>
  </si>
  <si>
    <t>Relé 15VDC 10A (K2-K4)</t>
  </si>
  <si>
    <t>CONJUNTO Disyuntor magnetotérmico 1600A ABB motorizado</t>
  </si>
  <si>
    <t>SET Motorized Thermal magnetic breaker 1600A ABB</t>
  </si>
  <si>
    <t>Yes (Motorized)</t>
  </si>
  <si>
    <t>AAV0061 ó AAV0097 (viejo)</t>
  </si>
  <si>
    <t>Tarjeta ethernet modbus-tcp</t>
  </si>
  <si>
    <t>Tarjeta Lectura 16 Strings (AAV0089)</t>
  </si>
  <si>
    <t>16 Strings board reader (AAV0089)</t>
  </si>
  <si>
    <t>Tarjeta Lectura 16 Strings (AAV0291)</t>
  </si>
  <si>
    <t>16 Strings board reader (AAV0291)</t>
  </si>
  <si>
    <t>Fuente de alimentación 30W 15VDC</t>
  </si>
  <si>
    <t>ACDC 30W 15VDC Power supply</t>
  </si>
  <si>
    <t>FAL 220V CA/CC Monofásica 30W 15V</t>
  </si>
  <si>
    <t>Kit Tarjeta COMUNICACIÓN ETHERNET CON DISPLAY</t>
  </si>
  <si>
    <t>Kit Communication board ethernet-display</t>
  </si>
  <si>
    <t>KIT COMUNICACIÓN ETHERNET CON DISPLAY</t>
  </si>
  <si>
    <t>Exworks (Transporte e impuestos no incluidos / Transport and taxes not included)</t>
  </si>
  <si>
    <t>Precio compra Energy 2015</t>
  </si>
  <si>
    <t>Tipo</t>
  </si>
  <si>
    <t>semi</t>
  </si>
  <si>
    <t>mp</t>
  </si>
  <si>
    <t>Fantasma</t>
  </si>
  <si>
    <t>Tarjeta</t>
  </si>
  <si>
    <t>Conjunto</t>
  </si>
  <si>
    <t>MP</t>
  </si>
  <si>
    <t>Semi</t>
  </si>
  <si>
    <t>Incremento  2014 a 2015</t>
  </si>
  <si>
    <t>Incremento respecto a 2014</t>
  </si>
  <si>
    <t>CONJUNTO Disyuntor magnetotérmico 1600A ABB  (meter el de 800A para dos bloques)</t>
  </si>
  <si>
    <t>2, 6</t>
  </si>
  <si>
    <t>1, 6, FAN</t>
  </si>
  <si>
    <t>Transformador de tensión 400V 6VA</t>
  </si>
  <si>
    <t>Voltage transformer 400V 6VA</t>
  </si>
  <si>
    <t>Transformador de corriente 1500A</t>
  </si>
  <si>
    <t>Current transformer 1500A</t>
  </si>
  <si>
    <t>Transformador de corriente 1200A</t>
  </si>
  <si>
    <t>Current transformer 1200A</t>
  </si>
  <si>
    <t>Current transformer 800A</t>
  </si>
  <si>
    <t>Transformador de corriente 800A</t>
  </si>
  <si>
    <t>Captador de corriente 500A</t>
  </si>
  <si>
    <t>Current sensor 500A</t>
  </si>
  <si>
    <t>Precio referencia 2015</t>
  </si>
  <si>
    <t>variador</t>
  </si>
  <si>
    <t>Kit PEM Pmax modulares para técnicos de campo (pedido 45-72737)</t>
  </si>
  <si>
    <t>Fusible 1000VDC XXXA</t>
  </si>
  <si>
    <t>DC Fuse 1000VDC XXXA</t>
  </si>
  <si>
    <t>VARIADOR INGECON SUN TL 400Vac MS</t>
  </si>
  <si>
    <t>POWER BLOCK INGECON SUN TL 400Vac MS</t>
  </si>
  <si>
    <t>VARIADOR INGECON SUN TL 420Vac MS</t>
  </si>
  <si>
    <t>POWER BLOCK INGECON SUN TL 420Vac MS</t>
  </si>
  <si>
    <t>AAV7136</t>
  </si>
  <si>
    <t>Microswitch</t>
  </si>
  <si>
    <t>Door Lock Wall IngeRev IP65</t>
  </si>
  <si>
    <t>Cerradura Poste Pared IP65</t>
  </si>
  <si>
    <t>129.02</t>
  </si>
  <si>
    <t>Coste 2015</t>
  </si>
  <si>
    <t>RS485H FOR 1PLAY</t>
  </si>
  <si>
    <t>Modelo Inversor</t>
  </si>
  <si>
    <t>Tipo comunicación</t>
  </si>
  <si>
    <t>Kit que hay que pedir</t>
  </si>
  <si>
    <t>1Play</t>
  </si>
  <si>
    <t>RS-485</t>
  </si>
  <si>
    <t>AAX0052</t>
  </si>
  <si>
    <t>Ethernet</t>
  </si>
  <si>
    <t>AAX0054</t>
  </si>
  <si>
    <t>Ethernet TCP</t>
  </si>
  <si>
    <t>GSM/GPRS</t>
  </si>
  <si>
    <t>Bluetooth</t>
  </si>
  <si>
    <t>Bluetooth+RS485</t>
  </si>
  <si>
    <t>USB</t>
  </si>
  <si>
    <t>De serie</t>
  </si>
  <si>
    <t>3Play</t>
  </si>
  <si>
    <t>No disponible</t>
  </si>
  <si>
    <t>Tarjeta que incluye este kit</t>
  </si>
  <si>
    <t>Precio compra Paneles Patxi aprox</t>
  </si>
  <si>
    <t>AAS0026 o AAS0178</t>
  </si>
  <si>
    <t>HW ETHERNET-RS485 V2</t>
  </si>
  <si>
    <t>FUS 690Vac 450A 200kA NH2 aR</t>
  </si>
  <si>
    <t>Fusible rápido 450A 690VAC</t>
  </si>
  <si>
    <t>Fast fuse 450A 690VAC</t>
  </si>
  <si>
    <t>CONJUNTO IAU 690V 1600A MOTORIZADO ABB</t>
  </si>
  <si>
    <t>157,64 (Mal)</t>
  </si>
  <si>
    <t>VIGILANTE DE AISLAMIENTO AC ABB</t>
  </si>
  <si>
    <t>Vigilante de aislamiento AC ABB</t>
  </si>
  <si>
    <t>Insulation monitoring relay AC ABB</t>
  </si>
  <si>
    <t>AAX7046</t>
  </si>
  <si>
    <t>Kit Instalacion MODBUS-TCP PROTOCOL CONVERTER FOR I.S. LITE</t>
  </si>
  <si>
    <t>FAN CONJUNTO SECCIONADOR 320 A</t>
  </si>
  <si>
    <t>Precio Instalador 2015</t>
  </si>
  <si>
    <t>Precio Unitario InterCompany 2015</t>
  </si>
  <si>
    <t>AAU7002</t>
  </si>
  <si>
    <t>F9,F10,FX11,FX12</t>
  </si>
  <si>
    <t>FAN FUS 1000Vdc 8A 30kA Cilind 10x38 gPV</t>
  </si>
  <si>
    <t>TARJETA MEDIDA 16 CORRIENTES DC +/-15V</t>
  </si>
  <si>
    <t>KIT TO UPDATE AAV0089 TO AAV0291</t>
  </si>
  <si>
    <t>AAV5034</t>
  </si>
  <si>
    <t>AAV0291</t>
  </si>
  <si>
    <t>AAX0057</t>
  </si>
  <si>
    <t>Relé temporizado 5A 230VAC</t>
  </si>
  <si>
    <t>Time relay 5A 230VAC</t>
  </si>
  <si>
    <t>RET 5A 250V 2CM DES 240V CA</t>
  </si>
  <si>
    <t>1SVR500110R0100</t>
  </si>
  <si>
    <t>(Este kit va a ser sustituido por el kit AAX7054, con las mismas funcionalidades pero mayor compatibilidad con los nuevos inversores Ingeteam, así que en función de la fecha del pedido y del nivel de stock, se podrá suministrar este último al mismo precio)</t>
  </si>
  <si>
    <t>FUS 1000V 200A 50kA gPV</t>
  </si>
  <si>
    <t>AAS5033</t>
  </si>
  <si>
    <t>Nuevo Precio Unitario InterCompany 2015</t>
  </si>
  <si>
    <t xml:space="preserve"> Ingecon Sun 1110TL B400</t>
  </si>
  <si>
    <t>aax0041</t>
  </si>
  <si>
    <t>AAX0041_MODBUS-TCP PROTOCOL CONVERTER</t>
  </si>
  <si>
    <t>Kit instalacion tarjeta comunicacion ethernet trifásico y Play</t>
  </si>
  <si>
    <t>Installation kit ethernet card 3-phase and Play</t>
  </si>
  <si>
    <t>Kit instalacion Modbus-tcp protocol converter trifásico y Play</t>
  </si>
  <si>
    <t>Installation kit Modbus-tcp protocol converter 3-phase and Play</t>
  </si>
  <si>
    <t>Kit instalacion tarjeta comunicacion rs485 Play</t>
  </si>
  <si>
    <t>Installation kit rs485 communication card Play</t>
  </si>
  <si>
    <t>Kit instalacion Modbus-tcp protocol converter Play</t>
  </si>
  <si>
    <t>Installation kit Modbus-tcp protocol converter Play</t>
  </si>
  <si>
    <t>Kit instalacion tarjeta bluetooth trifásico y Play</t>
  </si>
  <si>
    <t>Kit instalacion tarjeta bluetooth + rs485 trifásico y Play</t>
  </si>
  <si>
    <t>Installation kit bluetooth board 3-phase and Play</t>
  </si>
  <si>
    <t>Installation kit bluetooth + rs485 board 3-phase and Play</t>
  </si>
  <si>
    <t>Kit instalacion Modbus-tcp protocol converter Lite</t>
  </si>
  <si>
    <t>Installation kit Modbus-tcp protocol converter Lite</t>
  </si>
  <si>
    <t>TARIC</t>
  </si>
  <si>
    <t>8544200000</t>
  </si>
  <si>
    <t>Según potencia</t>
  </si>
  <si>
    <t>Familia Adoptiva</t>
  </si>
  <si>
    <t>8544700000</t>
  </si>
  <si>
    <t>C211027J</t>
  </si>
  <si>
    <t>Fusible 0,5A 500VAC 10x38mm</t>
  </si>
  <si>
    <t>Fuse 0,5A 500VAC 10x38mm</t>
  </si>
  <si>
    <r>
      <t xml:space="preserve">Fusible </t>
    </r>
    <r>
      <rPr>
        <sz val="9"/>
        <color rgb="FFFF0000"/>
        <rFont val="Calibri"/>
        <family val="2"/>
        <scheme val="minor"/>
      </rPr>
      <t>0,5A</t>
    </r>
    <r>
      <rPr>
        <sz val="9"/>
        <rFont val="Calibri"/>
        <family val="2"/>
        <scheme val="minor"/>
      </rPr>
      <t xml:space="preserve"> 500VAC 10x38mm (FAAV0067)</t>
    </r>
  </si>
  <si>
    <t>Fusible gl-gG  0,5 amperios 500 V 10x38</t>
  </si>
  <si>
    <t>FAN FUS 500V 1A 120kA Cil. 10X38 gG SI</t>
  </si>
  <si>
    <t>Fusible 1A 500VAC 10x38mm</t>
  </si>
  <si>
    <t>Fuse 1A 500VAC 10x38mm</t>
  </si>
  <si>
    <t>Conectores transformador Lite</t>
  </si>
  <si>
    <t>Conector Panel Transformador</t>
  </si>
  <si>
    <t>1xHarting 9120053001 (Carcasa)</t>
  </si>
  <si>
    <t xml:space="preserve">1xHarting 9200030327 (Bloque de contactos) </t>
  </si>
  <si>
    <t>1x Harting 09120053101 (Bloque donde se alojan los terminales)</t>
  </si>
  <si>
    <t xml:space="preserve">1x Harting 19200030427 (Carcasa) </t>
  </si>
  <si>
    <t xml:space="preserve">1x Harting 19000005184 (Prensa) </t>
  </si>
  <si>
    <t>4x Harting 09330006107 (Terminal)</t>
  </si>
  <si>
    <t>Conector Aéreo Transformador</t>
  </si>
  <si>
    <t>AAV0334IDG01</t>
  </si>
  <si>
    <r>
      <t>-</t>
    </r>
    <r>
      <rPr>
        <sz val="7"/>
        <color theme="1"/>
        <rFont val="Times New Roman"/>
        <family val="1"/>
      </rPr>
      <t xml:space="preserve">          </t>
    </r>
    <r>
      <rPr>
        <sz val="11"/>
        <color theme="1"/>
        <rFont val="Calibri"/>
        <family val="2"/>
        <scheme val="minor"/>
      </rPr>
      <t>Varistores DC. Los equipos TLM llevan 4 por equipo. Los equipos TL llevan 2 por equipo. Hoy en día solo tenemos homologada esta referencia</t>
    </r>
  </si>
  <si>
    <t>PCI 750V 970V 480J</t>
  </si>
  <si>
    <r>
      <t>-</t>
    </r>
    <r>
      <rPr>
        <sz val="7"/>
        <color theme="1"/>
        <rFont val="Times New Roman"/>
        <family val="1"/>
      </rPr>
      <t xml:space="preserve">          </t>
    </r>
    <r>
      <rPr>
        <sz val="11"/>
        <color theme="1"/>
        <rFont val="Calibri"/>
        <family val="2"/>
        <scheme val="minor"/>
      </rPr>
      <t>Varistores AC: Todos los equipos llevan 4. Hoy tenemos homologada esta referencia:</t>
    </r>
  </si>
  <si>
    <r>
      <t>-</t>
    </r>
    <r>
      <rPr>
        <sz val="7"/>
        <color theme="1"/>
        <rFont val="Times New Roman"/>
        <family val="1"/>
      </rPr>
      <t xml:space="preserve">          </t>
    </r>
    <r>
      <rPr>
        <sz val="11"/>
        <color theme="1"/>
        <rFont val="Calibri"/>
        <family val="2"/>
        <scheme val="minor"/>
      </rPr>
      <t>Descargadores DC:</t>
    </r>
  </si>
  <si>
    <r>
      <t>o</t>
    </r>
    <r>
      <rPr>
        <sz val="7"/>
        <color theme="1"/>
        <rFont val="Times New Roman"/>
        <family val="1"/>
      </rPr>
      <t xml:space="preserve">   </t>
    </r>
    <r>
      <rPr>
        <sz val="11"/>
        <color theme="1"/>
        <rFont val="Calibri"/>
        <family val="2"/>
        <scheme val="minor"/>
      </rPr>
      <t>En equipos S++ o P+ TLM van 2 por equipo</t>
    </r>
  </si>
  <si>
    <r>
      <t>o</t>
    </r>
    <r>
      <rPr>
        <sz val="7"/>
        <color theme="1"/>
        <rFont val="Times New Roman"/>
        <family val="1"/>
      </rPr>
      <t xml:space="preserve">   </t>
    </r>
    <r>
      <rPr>
        <sz val="11"/>
        <color theme="1"/>
        <rFont val="Calibri"/>
        <family val="2"/>
        <scheme val="minor"/>
      </rPr>
      <t>En equipos S++ o P+ TL va 1 por equipo</t>
    </r>
  </si>
  <si>
    <r>
      <t>-</t>
    </r>
    <r>
      <rPr>
        <sz val="7"/>
        <color theme="1"/>
        <rFont val="Times New Roman"/>
        <family val="1"/>
      </rPr>
      <t xml:space="preserve">          </t>
    </r>
    <r>
      <rPr>
        <sz val="11"/>
        <color theme="1"/>
        <rFont val="Calibri"/>
        <family val="2"/>
        <scheme val="minor"/>
      </rPr>
      <t>Descargadores AC:</t>
    </r>
  </si>
  <si>
    <r>
      <t>o</t>
    </r>
    <r>
      <rPr>
        <sz val="7"/>
        <color theme="1"/>
        <rFont val="Times New Roman"/>
        <family val="1"/>
      </rPr>
      <t xml:space="preserve">   </t>
    </r>
    <r>
      <rPr>
        <sz val="11"/>
        <color theme="1"/>
        <rFont val="Calibri"/>
        <family val="2"/>
        <scheme val="minor"/>
      </rPr>
      <t>En equipos S++ o P+ TLM va 1 por equipo HOY EN DÍA</t>
    </r>
  </si>
  <si>
    <r>
      <t>o</t>
    </r>
    <r>
      <rPr>
        <sz val="7"/>
        <color theme="1"/>
        <rFont val="Times New Roman"/>
        <family val="1"/>
      </rPr>
      <t xml:space="preserve">   </t>
    </r>
    <r>
      <rPr>
        <sz val="11"/>
        <color theme="1"/>
        <rFont val="Calibri"/>
        <family val="2"/>
        <scheme val="minor"/>
      </rPr>
      <t>En breve cuando se cambie a las nuevas personalizaciones no irá en ninguno</t>
    </r>
  </si>
  <si>
    <t>FAN PST 320V AC 3+1 CLASE II 40kA CM</t>
  </si>
  <si>
    <r>
      <t>o</t>
    </r>
    <r>
      <rPr>
        <sz val="7"/>
        <color theme="1"/>
        <rFont val="Times New Roman"/>
        <family val="1"/>
      </rPr>
      <t xml:space="preserve">   </t>
    </r>
    <r>
      <rPr>
        <sz val="11"/>
        <color theme="1"/>
        <rFont val="Calibri"/>
        <family val="2"/>
        <scheme val="minor"/>
      </rPr>
      <t>En equipos de 15 y 20kW (TLM o TL) van 10 por equipo</t>
    </r>
  </si>
  <si>
    <r>
      <t>o</t>
    </r>
    <r>
      <rPr>
        <sz val="7"/>
        <color theme="1"/>
        <rFont val="Times New Roman"/>
        <family val="1"/>
      </rPr>
      <t xml:space="preserve">   </t>
    </r>
    <r>
      <rPr>
        <sz val="11"/>
        <color theme="1"/>
        <rFont val="Calibri"/>
        <family val="2"/>
        <scheme val="minor"/>
      </rPr>
      <t>En equipos de 10 y 12.5kW (TLM o TL) van 8 por equipo</t>
    </r>
  </si>
  <si>
    <r>
      <t>o</t>
    </r>
    <r>
      <rPr>
        <sz val="7"/>
        <color theme="1"/>
        <rFont val="Times New Roman"/>
        <family val="1"/>
      </rPr>
      <t xml:space="preserve">   </t>
    </r>
    <r>
      <rPr>
        <sz val="11"/>
        <color theme="1"/>
        <rFont val="Calibri"/>
        <family val="2"/>
        <scheme val="minor"/>
      </rPr>
      <t>Yo suministraría cajas de 10 fusibles</t>
    </r>
  </si>
  <si>
    <r>
      <rPr>
        <sz val="7"/>
        <color theme="1"/>
        <rFont val="Times New Roman"/>
        <family val="1"/>
      </rPr>
      <t xml:space="preserve"> </t>
    </r>
    <r>
      <rPr>
        <sz val="11"/>
        <color theme="1"/>
        <rFont val="Calibri"/>
        <family val="2"/>
        <scheme val="minor"/>
      </rPr>
      <t>Fusibles string. Solo van en equipos P o P+:</t>
    </r>
  </si>
  <si>
    <t xml:space="preserve"> Ingecon Sun 1000TL B400</t>
  </si>
  <si>
    <t>Fase Power Block</t>
  </si>
  <si>
    <t>PWBLCK POWER PHASE</t>
  </si>
  <si>
    <t>FAN TRC HLC 2000A/0,5A</t>
  </si>
  <si>
    <t>FAN CONJ TRC HLC 2000A/0,5A FASE PWBLCK</t>
  </si>
  <si>
    <t>AQN0198</t>
  </si>
  <si>
    <t>CONJ CAPT. DE I 2000A LEM FASE PWBLCK</t>
  </si>
  <si>
    <t>PWBLCK CCU BOX</t>
  </si>
  <si>
    <t>Resistencia de Caldeo</t>
  </si>
  <si>
    <t>Heat Resistor</t>
  </si>
  <si>
    <t>(FAN) Intercambiador Aire-Aire</t>
  </si>
  <si>
    <t xml:space="preserve"> (FAN) Intercooler</t>
  </si>
  <si>
    <t>FAN CTO. INTERCAMBIADOR PWBLCK</t>
  </si>
  <si>
    <t>106.127.700</t>
  </si>
  <si>
    <t>AQN0212</t>
  </si>
  <si>
    <t>INTERCAMBIADOR AIRE-AIRE 1000W PWBLCK</t>
  </si>
  <si>
    <t>106.208.174</t>
  </si>
  <si>
    <t>(FAN) Sistema Ventilación Fases</t>
  </si>
  <si>
    <t>(FAN) Power Phase Ventilation Sys</t>
  </si>
  <si>
    <t>FAN CTO. VENTILACIÓN FASE PWBLCK</t>
  </si>
  <si>
    <t>106.127.702</t>
  </si>
  <si>
    <t>AQN0206</t>
  </si>
  <si>
    <t>CTO. VENTILACIÓN FASE PWBLCK</t>
  </si>
  <si>
    <t>106.208.105</t>
  </si>
  <si>
    <t>(FAN) Sistema Ventilación Induct</t>
  </si>
  <si>
    <t>(FAN) Inductance ventilation set</t>
  </si>
  <si>
    <t>FAN CTO. VENTILACIÓN INDUCTIVO PWBLCK</t>
  </si>
  <si>
    <t>106.127.698</t>
  </si>
  <si>
    <t>AQN0207</t>
  </si>
  <si>
    <t>VENTILADOR INDUCTIVO EBM PWBLCK</t>
  </si>
  <si>
    <t>106.208.119</t>
  </si>
  <si>
    <t>(FAN) Contactor Principal Inversor</t>
  </si>
  <si>
    <t>FAN CTO. CONTACTOR AC 3P PWBLCK</t>
  </si>
  <si>
    <t>106.127.699</t>
  </si>
  <si>
    <t>AQN0178</t>
  </si>
  <si>
    <t>Contactor Principal ABB</t>
  </si>
  <si>
    <t>Main Contactor ABB</t>
  </si>
  <si>
    <t>CONJ CONTACTOR ABB AF1650 + PLETINAS</t>
  </si>
  <si>
    <t>106.207.612</t>
  </si>
  <si>
    <t>AQN0296</t>
  </si>
  <si>
    <t>Contactor Principal EATON</t>
  </si>
  <si>
    <t>Main Contactor EATON</t>
  </si>
  <si>
    <t>CONJ CONTACT. EATON DILH1400/22+PLETINAS</t>
  </si>
  <si>
    <t>106.209.087</t>
  </si>
  <si>
    <t>(HERS) Bobina</t>
  </si>
  <si>
    <t>(HERS) Inductance</t>
  </si>
  <si>
    <t>INT 70 uH 50 Hz TRI 1450 A</t>
  </si>
  <si>
    <t>106.125.881</t>
  </si>
  <si>
    <t>ABK0008</t>
  </si>
  <si>
    <t>(FAN) Contactores Accionamiento</t>
  </si>
  <si>
    <t>FAN CBC 690V 17A 20-60 CC 3 NA</t>
  </si>
  <si>
    <t>Contactores Accionamiento ABB</t>
  </si>
  <si>
    <t>Drive contactor ABB</t>
  </si>
  <si>
    <t xml:space="preserve">CBC 690V 17A 20-60 CC 3 NA </t>
  </si>
  <si>
    <t>106.125.487</t>
  </si>
  <si>
    <t>Contactores Accionamiento EATON</t>
  </si>
  <si>
    <t>Drive contactor EATON</t>
  </si>
  <si>
    <t>CBC 690V 18A 24 CC 3 NA</t>
  </si>
  <si>
    <t>106.129.667</t>
  </si>
  <si>
    <t>(FAN) Medida de Filtro Armónicos</t>
  </si>
  <si>
    <t>FAN TRC HLC 500/0.01A</t>
  </si>
  <si>
    <t>106.125.883</t>
  </si>
  <si>
    <t>Harmonics filter current sensor Lem</t>
  </si>
  <si>
    <t>TRC HLC 500/0.01A</t>
  </si>
  <si>
    <t>106.125.884</t>
  </si>
  <si>
    <t>(FAN) Condensadores Filtro Armónicos</t>
  </si>
  <si>
    <t>FAN CON 625VCA MONOFÁSICO 50Hz 130uF</t>
  </si>
  <si>
    <t>106.129.161</t>
  </si>
  <si>
    <t>Condensadores Filtro Armónicos KEMET</t>
  </si>
  <si>
    <t>Harmonics filter capacitor KEMET</t>
  </si>
  <si>
    <t>CON 625VCA MONOFÁSICO 50Hz 130uF</t>
  </si>
  <si>
    <t>106.129.162</t>
  </si>
  <si>
    <t>ABK0019</t>
  </si>
  <si>
    <t>Monitorización ventiladores PWBLCK</t>
  </si>
  <si>
    <t>Fans monitoring PWBLCK</t>
  </si>
  <si>
    <t>HW MONITORIZACIÓN VENTILADORES PWBLCK</t>
  </si>
  <si>
    <t>106.209.212</t>
  </si>
  <si>
    <t>(FAN) TRC HLC 2000A/0,5A</t>
  </si>
  <si>
    <t>ABK0056</t>
  </si>
  <si>
    <t>(FAN) Descargador tipo II DC</t>
  </si>
  <si>
    <t>(FAN) Surge arrester type II DC</t>
  </si>
  <si>
    <t>PWBLCK DC TYPE II SURGE ARRESTOR KIT</t>
  </si>
  <si>
    <t>ABK0057</t>
  </si>
  <si>
    <t>(FAN) Descargador tipo I+II DC</t>
  </si>
  <si>
    <t>(FAN) Surge arrester type I+II DC</t>
  </si>
  <si>
    <t>FAN PWBLCK DC TYPE I+II SURGE ARREST KIT</t>
  </si>
  <si>
    <t>ABK0058</t>
  </si>
  <si>
    <t>(FAN)  Descargadorr tipo II AC</t>
  </si>
  <si>
    <t>(FAN)  Surge arresterr type II AC</t>
  </si>
  <si>
    <t>PWBLCK AC TYPE II SURGE ARRESTOR KIT</t>
  </si>
  <si>
    <t>ABK0059</t>
  </si>
  <si>
    <t>(FAN) Descargador tipo I AC</t>
  </si>
  <si>
    <t>(FAN) Surge arrester type I AC</t>
  </si>
  <si>
    <t>FAN PWBLCK AC TYPE I SURGE ARRESTOR KIT</t>
  </si>
  <si>
    <t>ABK0046</t>
  </si>
  <si>
    <t>(FAN) Detección de fallo de aislamiento en AC</t>
  </si>
  <si>
    <t>(FAN) AC ground fault detector</t>
  </si>
  <si>
    <t>FAN PWBLCK AC GROUND FAULT DETECTOR KIT</t>
  </si>
  <si>
    <t>ABK0047</t>
  </si>
  <si>
    <t>(FAN) Resistencias de calentamiento</t>
  </si>
  <si>
    <t>(FAN) Heating resistors</t>
  </si>
  <si>
    <t>FAN PWBLCK HEATING RESISTOR KIT</t>
  </si>
  <si>
    <t>ABK0048</t>
  </si>
  <si>
    <t>(FAN)  Kit de puesta a tierra negativo estandar</t>
  </si>
  <si>
    <t>(FAN) Standard negative grounding kit</t>
  </si>
  <si>
    <t>FAN PWBLCK STANDARD GROUNDING KIT</t>
  </si>
  <si>
    <t>ABK0049</t>
  </si>
  <si>
    <t>Kit de puesta a tierra negativo Smart</t>
  </si>
  <si>
    <t>Smart negative grounding kit</t>
  </si>
  <si>
    <t>PWBLCK SMART GROUNDING KIT</t>
  </si>
  <si>
    <t>ABK0050</t>
  </si>
  <si>
    <t>Kit de medida de corrientes DC</t>
  </si>
  <si>
    <t xml:space="preserve"> String DC current measuring kit</t>
  </si>
  <si>
    <t>PWBLCK STRING DC CURRENT MEASURING KIT</t>
  </si>
  <si>
    <t>ABK0051</t>
  </si>
  <si>
    <t>Kit vatímetro AC</t>
  </si>
  <si>
    <t>AC wattmeter kit</t>
  </si>
  <si>
    <t>PWBLCK AC WATTMETER KIT</t>
  </si>
  <si>
    <t>ABK0052</t>
  </si>
  <si>
    <t>(FAN) Kit de medida de corrientes AC</t>
  </si>
  <si>
    <t>(FAN) AC current measuring kit</t>
  </si>
  <si>
    <t>FAN PWBLCK AC CURRENT MEASURING KIT</t>
  </si>
  <si>
    <t>ABK0053</t>
  </si>
  <si>
    <t>(FAN) Kit de medida de tension AC</t>
  </si>
  <si>
    <t>(FAN) AC voltage measurement kit</t>
  </si>
  <si>
    <t>FAN PWBLCK AC VOLTAGE MEASURING KIT</t>
  </si>
  <si>
    <t>ABK0054</t>
  </si>
  <si>
    <t>Cableado para vatímetro</t>
  </si>
  <si>
    <t>Wattmeter wiring system kit</t>
  </si>
  <si>
    <t>PWBLCK WATTMETER WIRING SYSTEM KIT</t>
  </si>
  <si>
    <t>ABK0055</t>
  </si>
  <si>
    <t>Kit PID</t>
  </si>
  <si>
    <t>PID kit</t>
  </si>
  <si>
    <t>PWBLCK PID KIT</t>
  </si>
  <si>
    <t>ABK0060</t>
  </si>
  <si>
    <t xml:space="preserve">(FAN) Kit Magnetotérmico motorizado AC Indoor </t>
  </si>
  <si>
    <t>(FAN) Circuit breaker motorized AC kit indoor</t>
  </si>
  <si>
    <t>FAN PWBLCK CB MOT AC KIT INDOOR</t>
  </si>
  <si>
    <t>ABK0061</t>
  </si>
  <si>
    <t>Kit Magnetotérmico AC 50 kA Indoor</t>
  </si>
  <si>
    <t>AC Circuit breaker kit Indoor 50 kA</t>
  </si>
  <si>
    <t>PWBLCK AC CIRCUIT BREAKER KIT  INDOOR 50 kA</t>
  </si>
  <si>
    <t xml:space="preserve">ABK0062 </t>
  </si>
  <si>
    <t>(FAN) Kit de conexión busbar AC indoor</t>
  </si>
  <si>
    <t>(FAN) AC busbar connection kit indoor</t>
  </si>
  <si>
    <t>FAN PWBLCK AC BUSBAR KIT INDOOR</t>
  </si>
  <si>
    <t xml:space="preserve">ABK0064 </t>
  </si>
  <si>
    <t>Seccionador motorizado DC</t>
  </si>
  <si>
    <t>Motorized main DC switch</t>
  </si>
  <si>
    <t>MOTORIZED MAIN DC SWITCH</t>
  </si>
  <si>
    <t xml:space="preserve">ABK0069 </t>
  </si>
  <si>
    <t>Kit de puesta a tierra positivo Smart</t>
  </si>
  <si>
    <t>Smart positive grounding kit</t>
  </si>
  <si>
    <t>PWBLCK SMART POSITIVE GROUNDING KIT</t>
  </si>
  <si>
    <t xml:space="preserve">ABK0070 </t>
  </si>
  <si>
    <t>(FAN)  Kit de puesta a tierra positivio estandar</t>
  </si>
  <si>
    <t>(FAN) Standard positive grounding kit</t>
  </si>
  <si>
    <t>FAN PWBLCK STD POSITIVE GROUNDING KIT</t>
  </si>
  <si>
    <t xml:space="preserve">ABK0073 </t>
  </si>
  <si>
    <t>Medida de Vpanel</t>
  </si>
  <si>
    <t>Vpanel measurement</t>
  </si>
  <si>
    <t>PWBLCK VPANEL MEASUREMENT</t>
  </si>
  <si>
    <t xml:space="preserve">ABK0074 </t>
  </si>
  <si>
    <t>Sincronización fibra óptica</t>
  </si>
  <si>
    <t>Optical fiber synchronization</t>
  </si>
  <si>
    <t>PWBLCK OPTICAL FIBER SYNCHRONIZATION</t>
  </si>
  <si>
    <t xml:space="preserve">ABK0075 </t>
  </si>
  <si>
    <t>(FAN)  NO SAP</t>
  </si>
  <si>
    <t>(FAN) NO SAP</t>
  </si>
  <si>
    <t>PWBLCK AC CIRCUIT BREAKER KIT  INDOOR 50 KA</t>
  </si>
  <si>
    <t>NO SAP</t>
  </si>
  <si>
    <t xml:space="preserve">ABK0076 </t>
  </si>
  <si>
    <t>PWBLCK AC CIRCUIT BREAKER KIT  OUTDOOR 50 KA</t>
  </si>
  <si>
    <t xml:space="preserve">ABK0077 </t>
  </si>
  <si>
    <t>Sistema descarga de Bus</t>
  </si>
  <si>
    <t>Bus descharge system</t>
  </si>
  <si>
    <t>PWBLCK SISTEMA DESCARGA DE BUS</t>
  </si>
  <si>
    <t xml:space="preserve">ABK0078 </t>
  </si>
  <si>
    <t>PWBKCK SISTEMA DE MEDIDA IMPEDANCIA</t>
  </si>
  <si>
    <t xml:space="preserve">ABK0084 </t>
  </si>
  <si>
    <t>Sistema apertura captación panel</t>
  </si>
  <si>
    <t>Panel measuring breaking system</t>
  </si>
  <si>
    <t>SISTEMA APERTURA CAPTACION PANEL PWBLCK</t>
  </si>
  <si>
    <t xml:space="preserve">ABK0072 </t>
  </si>
  <si>
    <t>Kit de comunicaciones ethernet</t>
  </si>
  <si>
    <t>Ethernet communications kit</t>
  </si>
  <si>
    <t>PWBLCK ETHERNET COMMUNICATIONS KIT</t>
  </si>
  <si>
    <t>AAV5031</t>
  </si>
  <si>
    <t>DC CONTACTOR INS. KIT IN POWER MAX INV</t>
  </si>
  <si>
    <t>Kit tarjeta RS485 monofásicos (los Lite ahora llevan el conector integrado)</t>
  </si>
  <si>
    <t>ABI7000</t>
  </si>
  <si>
    <t>KAUX</t>
  </si>
  <si>
    <t>Salida 400A</t>
  </si>
  <si>
    <t>AAV0334ICA</t>
  </si>
  <si>
    <t>CONJ. SECCIONADOR DC 1800A TELERGÓN SIN</t>
  </si>
  <si>
    <t>VEN RA (Radial) 230VAC 170W 2510rpm CFM</t>
  </si>
  <si>
    <t>CONJUNTO Contactor 400A 1000VAC</t>
  </si>
  <si>
    <t>SET contactor 400A 1000VAC</t>
  </si>
  <si>
    <t>FAN CONJ MAGNETOTERMICO 20 A</t>
  </si>
  <si>
    <t>FAN CONJ MAGNETOTERMICO 0,1 ... 0,16 A</t>
  </si>
  <si>
    <t>Fusible rápido 500A 690VAC</t>
  </si>
  <si>
    <t>Fast fuse 500A 690VAC</t>
  </si>
  <si>
    <t>FUS 690Vac 500A 200kA NH2 aR</t>
  </si>
  <si>
    <t>TVQDC</t>
  </si>
  <si>
    <t>Placa ventilación seccionador motorizado</t>
  </si>
  <si>
    <r>
      <t xml:space="preserve">Nota 14: En equipos MS de 4 bloques con seccionador motorizado / </t>
    </r>
    <r>
      <rPr>
        <i/>
        <sz val="9"/>
        <color indexed="8"/>
        <rFont val="Calibri"/>
        <family val="2"/>
        <scheme val="minor"/>
      </rPr>
      <t>Only in MS 4 modules inverters with motorized braker</t>
    </r>
  </si>
  <si>
    <t>RET 4A 300V 1CM DES 220/240V AC</t>
  </si>
  <si>
    <t>Relé temporizado 4A 230VAC</t>
  </si>
  <si>
    <t>Time relay 4A 230VAC</t>
  </si>
  <si>
    <t>VARIADOR INGECON SUN TL 420Vac</t>
  </si>
  <si>
    <t>POWER BLOCK INGECON SUN TL 420Vac</t>
  </si>
  <si>
    <t>420Vac</t>
  </si>
  <si>
    <t>VARIADOR INGECON SUN TL 300Vac 400A</t>
  </si>
  <si>
    <t>VARIADOR INGECON SUN TL 320Vac 400A</t>
  </si>
  <si>
    <t>VARIADOR INGECON SUN TL 345Vac 400A</t>
  </si>
  <si>
    <t>VARIADOR INGECON SUN TL 360Vac 400A</t>
  </si>
  <si>
    <t>VARIADOR INGECON SUN TL 400Vac 400A</t>
  </si>
  <si>
    <t>VARIADOR INGECON SUN TL 420Vac 400A</t>
  </si>
  <si>
    <t>VARIADOR INGECON SUN TL 300Vac MS 400A</t>
  </si>
  <si>
    <t>VARIADOR INGECON SUN TL 320Vac MS 400A</t>
  </si>
  <si>
    <t>VARIADOR INGECON SUN TL 345Vac MS 400A</t>
  </si>
  <si>
    <t>VARIADOR INGECON SUN TL 360Vac MS 400A</t>
  </si>
  <si>
    <t>VARIADOR INGECON SUN TL 400Vac MS 400A</t>
  </si>
  <si>
    <t>VARIADOR INGECON SUN TL 420Vac MS 400A</t>
  </si>
  <si>
    <t>POWER BLOCK INGECON SUN TL 300Vac 400A</t>
  </si>
  <si>
    <t>POWER BLOCK INGECON SUN TL 320Vac 400A</t>
  </si>
  <si>
    <t>POWER BLOCK INGECON SUN TL 345Vac 400A</t>
  </si>
  <si>
    <t>POWER BLOCK INGECON SUN TL 360Vac 400A</t>
  </si>
  <si>
    <t>POWER BLOCK INGECON SUN TL 400Vac 400A</t>
  </si>
  <si>
    <t>POWER BLOCK INGECON SUN TL 420Vac 400A</t>
  </si>
  <si>
    <t>POWER BLOCK INGECON SUN TL 300Vac MS 400A</t>
  </si>
  <si>
    <t>POWER BLOCK INGECON SUN TL 320Vac MS 400A</t>
  </si>
  <si>
    <t>POWER BLOCK INGECON SUN TL 345Vac MS 400A</t>
  </si>
  <si>
    <t>POWER BLOCK INGECON SUN TL 360Vac MS 400A</t>
  </si>
  <si>
    <t>POWER BLOCK INGECON SUN TL 400Vac MS 400A</t>
  </si>
  <si>
    <t>POWER BLOCK INGECON SUN TL 420Vac MS 400A</t>
  </si>
  <si>
    <t>AAV7146</t>
  </si>
  <si>
    <t>AAV7147</t>
  </si>
  <si>
    <t>AAV7148</t>
  </si>
  <si>
    <t>AAV7149</t>
  </si>
  <si>
    <t>AAV7150</t>
  </si>
  <si>
    <t>AAV7151</t>
  </si>
  <si>
    <t>AAV7158</t>
  </si>
  <si>
    <t>AAV7159</t>
  </si>
  <si>
    <t>AAV7160</t>
  </si>
  <si>
    <t>AAV7161</t>
  </si>
  <si>
    <t>AAV7162</t>
  </si>
  <si>
    <t>AAV7163</t>
  </si>
  <si>
    <t>HW MANDO Y MON SEC DC 1800A</t>
  </si>
  <si>
    <t>106204783 y 106208154</t>
  </si>
  <si>
    <t>CPR AAS7120IBC08_ (Cable 34 vías 2 conectores,280mm)</t>
  </si>
  <si>
    <t>cable para display inversor 25 kw  (CPR AAS7025IBC02_)</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</si>
</sst>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0\ &quot;€&quot;;[Red]\-#,##0\ &quot;€&quot;"/>
    <numFmt numFmtId="7" formatCode="#,##0.00\ &quot;€&quot;;\-#,##0.00\ &quot;€&quot;"/>
    <numFmt numFmtId="8" formatCode="#,##0.00\ &quot;€&quot;;[Red]\-#,##0.00\ &quot;€&quot;"/>
    <numFmt numFmtId="44" formatCode="_-* #,##0.00\ &quot;€&quot;_-;\-* #,##0.00\ &quot;€&quot;_-;_-* &quot;-&quot;??\ &quot;€&quot;_-;_-@_-"/>
    <numFmt numFmtId="43" formatCode="_-* #,##0.00\ _€_-;\-* #,##0.00\ _€_-;_-* &quot;-&quot;??\ _€_-;_-@_-"/>
    <numFmt numFmtId="164" formatCode="#.0\ &quot;€&quot;;\-#.0\ &quot;€&quot;"/>
    <numFmt numFmtId="165" formatCode="_-* #,##0.00\ [$€-1]_-;\-* #,##0.00\ [$€-1]_-;_-* &quot;-&quot;??\ [$€-1]_-"/>
    <numFmt numFmtId="166" formatCode="#,##0\ &quot;€&quot;"/>
    <numFmt numFmtId="167" formatCode="#,##0.00\ &quot;€&quot;"/>
    <numFmt numFmtId="168" formatCode="#,##0\ _€"/>
  </numFmts>
  <fonts count="169" x14ac:knownFonts="1">
    <font>
      <sz val="11"/>
      <color theme="1"/>
      <name val="Calibri"/>
      <family val="2"/>
      <scheme val="minor"/>
    </font>
    <font>
      <b/>
      <sz val="11"/>
      <color theme="1"/>
      <name val="Calibri"/>
      <family val="2"/>
      <scheme val="minor"/>
    </font>
    <font>
      <b/>
      <sz val="10"/>
      <name val="Arial"/>
      <family val="2"/>
    </font>
    <font>
      <sz val="10"/>
      <name val="Arial"/>
      <family val="2"/>
    </font>
    <font>
      <b/>
      <sz val="10"/>
      <color indexed="8"/>
      <name val="Arial"/>
      <family val="2"/>
    </font>
    <font>
      <sz val="10"/>
      <color indexed="8"/>
      <name val="Arial"/>
      <family val="2"/>
    </font>
    <font>
      <sz val="8"/>
      <color indexed="81"/>
      <name val="Tahoma"/>
      <family val="2"/>
    </font>
    <font>
      <b/>
      <sz val="8"/>
      <color indexed="81"/>
      <name val="Tahoma"/>
      <family val="2"/>
    </font>
    <font>
      <sz val="10"/>
      <color rgb="FFFF0000"/>
      <name val="Arial"/>
      <family val="2"/>
    </font>
    <font>
      <sz val="8"/>
      <color theme="7"/>
      <name val="Arial"/>
      <family val="2"/>
    </font>
    <font>
      <b/>
      <sz val="8"/>
      <color indexed="8"/>
      <name val="Arial"/>
      <family val="2"/>
    </font>
    <font>
      <b/>
      <sz val="14"/>
      <name val="Arial"/>
      <family val="2"/>
    </font>
    <font>
      <sz val="10"/>
      <color theme="1"/>
      <name val="Calibri"/>
      <family val="2"/>
      <scheme val="minor"/>
    </font>
    <font>
      <sz val="11"/>
      <color rgb="FFFF0000"/>
      <name val="Calibri"/>
      <family val="2"/>
      <scheme val="minor"/>
    </font>
    <font>
      <sz val="8"/>
      <color indexed="8"/>
      <name val="Arial"/>
      <family val="2"/>
    </font>
    <font>
      <sz val="8"/>
      <name val="Arial"/>
      <family val="2"/>
    </font>
    <font>
      <sz val="7"/>
      <color indexed="8"/>
      <name val="MS Sans Serif"/>
      <family val="2"/>
    </font>
    <font>
      <sz val="7"/>
      <color indexed="8"/>
      <name val="Arial"/>
      <family val="2"/>
    </font>
    <font>
      <b/>
      <sz val="7"/>
      <color indexed="8"/>
      <name val="MS Sans Serif"/>
      <family val="2"/>
    </font>
    <font>
      <b/>
      <sz val="7"/>
      <color indexed="8"/>
      <name val="Arial"/>
      <family val="2"/>
    </font>
    <font>
      <b/>
      <sz val="7"/>
      <name val="Arial"/>
      <family val="2"/>
    </font>
    <font>
      <sz val="7"/>
      <name val="Arial"/>
      <family val="2"/>
    </font>
    <font>
      <b/>
      <sz val="10"/>
      <color theme="1"/>
      <name val="Arial"/>
      <family val="2"/>
    </font>
    <font>
      <sz val="10"/>
      <color theme="1"/>
      <name val="Arial"/>
      <family val="2"/>
    </font>
    <font>
      <sz val="10"/>
      <color rgb="FF000000"/>
      <name val="Arial"/>
      <family val="2"/>
    </font>
    <font>
      <sz val="10"/>
      <color rgb="FF1F497D"/>
      <name val="Arial"/>
      <family val="2"/>
    </font>
    <font>
      <sz val="10"/>
      <name val="Arial"/>
      <family val="2"/>
    </font>
    <font>
      <b/>
      <sz val="8"/>
      <name val="Arial"/>
      <family val="2"/>
    </font>
    <font>
      <sz val="8"/>
      <name val="Arial"/>
      <family val="2"/>
    </font>
    <font>
      <sz val="10"/>
      <color indexed="8"/>
      <name val="Arial"/>
      <family val="2"/>
    </font>
    <font>
      <sz val="11"/>
      <color theme="1"/>
      <name val="Calibri"/>
      <family val="2"/>
      <scheme val="minor"/>
    </font>
    <font>
      <sz val="9"/>
      <name val="Arial"/>
      <family val="2"/>
    </font>
    <font>
      <sz val="9"/>
      <color indexed="8"/>
      <name val="Arial"/>
      <family val="2"/>
    </font>
    <font>
      <sz val="9"/>
      <color theme="1"/>
      <name val="Calibri"/>
      <family val="2"/>
      <scheme val="minor"/>
    </font>
    <font>
      <b/>
      <sz val="9"/>
      <name val="Arial"/>
      <family val="2"/>
    </font>
    <font>
      <sz val="9"/>
      <name val="Calibri"/>
      <family val="2"/>
    </font>
    <font>
      <sz val="9"/>
      <color theme="7"/>
      <name val="Arial"/>
      <family val="2"/>
    </font>
    <font>
      <b/>
      <sz val="9"/>
      <color theme="1"/>
      <name val="Arial"/>
      <family val="2"/>
    </font>
    <font>
      <sz val="9"/>
      <color theme="1"/>
      <name val="Arial"/>
      <family val="2"/>
    </font>
    <font>
      <sz val="9"/>
      <color rgb="FF000000"/>
      <name val="Arial"/>
      <family val="2"/>
    </font>
    <font>
      <sz val="10"/>
      <color theme="1"/>
      <name val="Times New Roman"/>
      <family val="1"/>
    </font>
    <font>
      <sz val="1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name val="Calibri"/>
      <family val="2"/>
    </font>
    <font>
      <sz val="11"/>
      <color indexed="8"/>
      <name val="Calibri"/>
      <family val="2"/>
    </font>
    <font>
      <sz val="11"/>
      <color theme="1"/>
      <name val="Calibri"/>
      <family val="2"/>
    </font>
    <font>
      <sz val="11"/>
      <color rgb="FF000000"/>
      <name val="Calibri"/>
      <family val="2"/>
    </font>
    <font>
      <sz val="10"/>
      <color rgb="FF000000"/>
      <name val="Calibri"/>
      <family val="2"/>
    </font>
    <font>
      <b/>
      <sz val="20"/>
      <color theme="1"/>
      <name val="Calibri"/>
      <family val="2"/>
      <scheme val="minor"/>
    </font>
    <font>
      <b/>
      <sz val="11"/>
      <name val="Calibri"/>
      <family val="2"/>
      <scheme val="minor"/>
    </font>
    <font>
      <b/>
      <sz val="11"/>
      <color rgb="FFFF0000"/>
      <name val="Calibri"/>
      <family val="2"/>
      <scheme val="minor"/>
    </font>
    <font>
      <b/>
      <sz val="11"/>
      <name val="Calibri"/>
      <family val="2"/>
    </font>
    <font>
      <sz val="11"/>
      <color rgb="FF000000"/>
      <name val="Calibri"/>
      <family val="2"/>
      <scheme val="minor"/>
    </font>
    <font>
      <sz val="10"/>
      <color indexed="8"/>
      <name val="Calibri"/>
      <family val="2"/>
    </font>
    <font>
      <sz val="9"/>
      <name val="Calibri"/>
      <family val="2"/>
      <scheme val="minor"/>
    </font>
    <font>
      <b/>
      <sz val="12"/>
      <color theme="1"/>
      <name val="Arial"/>
      <family val="2"/>
    </font>
    <font>
      <sz val="11"/>
      <color rgb="FF1F497D"/>
      <name val="Calibri"/>
      <family val="2"/>
      <scheme val="minor"/>
    </font>
    <font>
      <sz val="9"/>
      <color indexed="8"/>
      <name val="Calibri"/>
      <family val="2"/>
    </font>
    <font>
      <sz val="8"/>
      <color rgb="FF000000"/>
      <name val="Arial"/>
      <family val="2"/>
    </font>
    <font>
      <b/>
      <sz val="11"/>
      <color theme="1"/>
      <name val="Arial"/>
      <family val="2"/>
    </font>
    <font>
      <sz val="9"/>
      <color rgb="FFFF0000"/>
      <name val="Arial"/>
      <family val="2"/>
    </font>
    <font>
      <sz val="9"/>
      <color rgb="FFFF0000"/>
      <name val="Calibri"/>
      <family val="2"/>
      <scheme val="minor"/>
    </font>
    <font>
      <b/>
      <sz val="11"/>
      <color rgb="FF000000"/>
      <name val="Calibri"/>
      <family val="2"/>
    </font>
    <font>
      <sz val="11"/>
      <color rgb="FFFFC000"/>
      <name val="Calibri"/>
      <family val="2"/>
    </font>
    <font>
      <sz val="8"/>
      <color theme="1"/>
      <name val="Arial"/>
      <family val="2"/>
    </font>
    <font>
      <b/>
      <sz val="8"/>
      <color rgb="FFFF0000"/>
      <name val="Arial"/>
      <family val="2"/>
    </font>
    <font>
      <sz val="7"/>
      <color rgb="FFFF0000"/>
      <name val="Arial"/>
      <family val="2"/>
    </font>
    <font>
      <sz val="7"/>
      <color rgb="FF000000"/>
      <name val="MS Sans Serif"/>
      <family val="2"/>
    </font>
    <font>
      <sz val="7"/>
      <color rgb="FF000000"/>
      <name val="Arial"/>
      <family val="2"/>
    </font>
    <font>
      <b/>
      <sz val="7"/>
      <color rgb="FF000000"/>
      <name val="Arial"/>
      <family val="2"/>
    </font>
    <font>
      <b/>
      <sz val="8"/>
      <color rgb="FF000000"/>
      <name val="Arial"/>
      <family val="2"/>
    </font>
    <font>
      <sz val="7"/>
      <color theme="1"/>
      <name val="Arial"/>
      <family val="2"/>
    </font>
    <font>
      <sz val="8"/>
      <color indexed="8"/>
      <name val="MS Sans Serif"/>
      <family val="2"/>
    </font>
    <font>
      <sz val="8"/>
      <color theme="1"/>
      <name val="Calibri"/>
      <family val="2"/>
      <scheme val="minor"/>
    </font>
    <font>
      <sz val="8"/>
      <color rgb="FFFF0000"/>
      <name val="Arial"/>
      <family val="2"/>
    </font>
    <font>
      <sz val="10"/>
      <color rgb="FF000080"/>
      <name val="Arial"/>
      <family val="2"/>
    </font>
    <font>
      <sz val="11"/>
      <color rgb="FF1F497D"/>
      <name val="Calibri"/>
      <family val="2"/>
    </font>
    <font>
      <b/>
      <sz val="11"/>
      <color rgb="FFFF0000"/>
      <name val="Calibri"/>
      <family val="2"/>
    </font>
    <font>
      <sz val="11"/>
      <color rgb="FF00B050"/>
      <name val="Calibri"/>
      <family val="2"/>
    </font>
    <font>
      <sz val="7"/>
      <color rgb="FF1F497D"/>
      <name val="Times New Roman"/>
      <family val="1"/>
    </font>
    <font>
      <b/>
      <sz val="12"/>
      <name val="Arial"/>
      <family val="2"/>
    </font>
    <font>
      <sz val="11"/>
      <name val="Arial"/>
      <family val="2"/>
    </font>
    <font>
      <i/>
      <sz val="11"/>
      <color theme="1"/>
      <name val="Calibri"/>
      <family val="2"/>
      <scheme val="minor"/>
    </font>
    <font>
      <i/>
      <sz val="11"/>
      <color indexed="8"/>
      <name val="Calibri"/>
      <family val="2"/>
    </font>
    <font>
      <i/>
      <sz val="11"/>
      <name val="Calibri"/>
      <family val="2"/>
      <scheme val="minor"/>
    </font>
    <font>
      <sz val="8"/>
      <color indexed="8"/>
      <name val="Courier New"/>
      <family val="3"/>
    </font>
    <font>
      <sz val="11"/>
      <color rgb="FF00B050"/>
      <name val="Calibri"/>
      <family val="2"/>
      <scheme val="minor"/>
    </font>
    <font>
      <i/>
      <sz val="8"/>
      <color indexed="8"/>
      <name val="Courier New"/>
      <family val="3"/>
    </font>
    <font>
      <b/>
      <sz val="10"/>
      <color rgb="FF1F497D"/>
      <name val="Arial"/>
      <family val="2"/>
    </font>
    <font>
      <b/>
      <sz val="11"/>
      <color rgb="FF000000"/>
      <name val="Calibri"/>
      <family val="2"/>
      <scheme val="minor"/>
    </font>
    <font>
      <sz val="9"/>
      <color rgb="FF000000"/>
      <name val="Calibri"/>
      <family val="2"/>
      <scheme val="minor"/>
    </font>
    <font>
      <i/>
      <sz val="9"/>
      <color theme="1"/>
      <name val="Calibri"/>
      <family val="2"/>
      <scheme val="minor"/>
    </font>
    <font>
      <i/>
      <sz val="9"/>
      <color indexed="8"/>
      <name val="Calibri"/>
      <family val="2"/>
    </font>
    <font>
      <i/>
      <sz val="9"/>
      <name val="Calibri"/>
      <family val="2"/>
      <scheme val="minor"/>
    </font>
    <font>
      <i/>
      <sz val="9"/>
      <name val="Arial"/>
      <family val="2"/>
    </font>
    <font>
      <b/>
      <sz val="12"/>
      <name val="Calibri"/>
      <family val="2"/>
      <scheme val="minor"/>
    </font>
    <font>
      <sz val="11"/>
      <color theme="1"/>
      <name val="Arial"/>
      <family val="2"/>
    </font>
    <font>
      <sz val="10"/>
      <color indexed="8"/>
      <name val="Arial"/>
      <family val="2"/>
    </font>
    <font>
      <sz val="11"/>
      <color indexed="8"/>
      <name val="Calibri"/>
      <family val="2"/>
    </font>
    <font>
      <sz val="11"/>
      <color theme="9"/>
      <name val="Calibri"/>
      <family val="2"/>
      <scheme val="minor"/>
    </font>
    <font>
      <sz val="11"/>
      <color rgb="FFFF0000"/>
      <name val="Calibri"/>
      <family val="2"/>
    </font>
    <font>
      <b/>
      <sz val="9"/>
      <color rgb="FF000000"/>
      <name val="Calibri"/>
      <family val="2"/>
    </font>
    <font>
      <sz val="8"/>
      <color rgb="FF000000"/>
      <name val="Calibri"/>
      <family val="2"/>
    </font>
    <font>
      <sz val="8"/>
      <color rgb="FF000000"/>
      <name val="Courier New"/>
      <family val="3"/>
    </font>
    <font>
      <i/>
      <sz val="8"/>
      <color rgb="FF000000"/>
      <name val="Courier New"/>
      <family val="3"/>
    </font>
    <font>
      <b/>
      <sz val="14"/>
      <color rgb="FFFF0000"/>
      <name val="Arial"/>
      <family val="2"/>
    </font>
    <font>
      <b/>
      <sz val="12"/>
      <color rgb="FFFF0000"/>
      <name val="Arial"/>
      <family val="2"/>
    </font>
    <font>
      <b/>
      <i/>
      <sz val="12"/>
      <name val="Calibri"/>
      <family val="2"/>
      <scheme val="minor"/>
    </font>
    <font>
      <sz val="8"/>
      <name val="Calibri"/>
      <family val="2"/>
    </font>
    <font>
      <sz val="8"/>
      <name val="Calibri"/>
      <family val="2"/>
      <scheme val="minor"/>
    </font>
    <font>
      <i/>
      <sz val="8"/>
      <name val="Calibri"/>
      <family val="2"/>
    </font>
    <font>
      <sz val="8"/>
      <color theme="1"/>
      <name val="Calibri"/>
      <family val="2"/>
    </font>
    <font>
      <i/>
      <sz val="8"/>
      <name val="Calibri"/>
      <family val="2"/>
      <scheme val="minor"/>
    </font>
    <font>
      <sz val="8"/>
      <color rgb="FF000000"/>
      <name val="Calibri"/>
      <family val="2"/>
      <scheme val="minor"/>
    </font>
    <font>
      <vertAlign val="subscript"/>
      <sz val="9"/>
      <color theme="1"/>
      <name val="Calibri"/>
      <family val="2"/>
      <scheme val="minor"/>
    </font>
    <font>
      <sz val="9"/>
      <color rgb="FF00B050"/>
      <name val="Calibri"/>
      <family val="2"/>
      <scheme val="minor"/>
    </font>
    <font>
      <sz val="8"/>
      <name val="Courier New"/>
      <family val="3"/>
    </font>
    <font>
      <b/>
      <sz val="11"/>
      <name val="Arial"/>
      <family val="2"/>
    </font>
    <font>
      <i/>
      <sz val="10"/>
      <name val="Arial"/>
      <family val="2"/>
    </font>
    <font>
      <b/>
      <sz val="10"/>
      <color rgb="FFFF0000"/>
      <name val="Arial"/>
      <family val="2"/>
    </font>
    <font>
      <sz val="10"/>
      <color rgb="FF00B050"/>
      <name val="Arial"/>
      <family val="2"/>
    </font>
    <font>
      <i/>
      <sz val="11"/>
      <color rgb="FF000000"/>
      <name val="Calibri"/>
      <family val="2"/>
      <scheme val="minor"/>
    </font>
    <font>
      <i/>
      <sz val="9"/>
      <color rgb="FF000000"/>
      <name val="Calibri"/>
      <family val="2"/>
      <scheme val="minor"/>
    </font>
    <font>
      <sz val="9"/>
      <color rgb="FF000000"/>
      <name val="Calibri"/>
      <family val="2"/>
    </font>
    <font>
      <sz val="9"/>
      <color theme="1"/>
      <name val="Calibri"/>
      <family val="2"/>
    </font>
    <font>
      <i/>
      <sz val="9"/>
      <color rgb="FF000000"/>
      <name val="Calibri"/>
      <family val="2"/>
    </font>
    <font>
      <sz val="9"/>
      <color indexed="8"/>
      <name val="Calibri"/>
      <family val="2"/>
      <scheme val="minor"/>
    </font>
    <font>
      <i/>
      <sz val="9"/>
      <color indexed="8"/>
      <name val="Calibri"/>
      <family val="2"/>
      <scheme val="minor"/>
    </font>
    <font>
      <b/>
      <i/>
      <sz val="14"/>
      <name val="Calibri"/>
      <family val="2"/>
      <scheme val="minor"/>
    </font>
    <font>
      <i/>
      <sz val="11"/>
      <color rgb="FFFF0000"/>
      <name val="Calibri"/>
      <family val="2"/>
      <scheme val="minor"/>
    </font>
    <font>
      <b/>
      <sz val="9"/>
      <color theme="1"/>
      <name val="Calibri"/>
      <family val="2"/>
      <scheme val="minor"/>
    </font>
    <font>
      <sz val="11"/>
      <color rgb="FF000000"/>
      <name val="Arial"/>
      <family val="2"/>
    </font>
    <font>
      <sz val="12"/>
      <color rgb="FF000000"/>
      <name val="Calibri"/>
      <family val="2"/>
    </font>
    <font>
      <sz val="9"/>
      <color indexed="8"/>
      <name val="Courier New"/>
      <family val="3"/>
    </font>
    <font>
      <sz val="9"/>
      <name val="Courier New"/>
      <family val="3"/>
    </font>
    <font>
      <sz val="9"/>
      <color rgb="FF00B050"/>
      <name val="Arial"/>
      <family val="2"/>
    </font>
    <font>
      <b/>
      <i/>
      <sz val="9"/>
      <color rgb="FF000000"/>
      <name val="Calibri"/>
      <family val="2"/>
    </font>
    <font>
      <b/>
      <i/>
      <sz val="14"/>
      <color rgb="FFFF0000"/>
      <name val="Calibri"/>
      <family val="2"/>
      <scheme val="minor"/>
    </font>
    <font>
      <i/>
      <sz val="9"/>
      <color rgb="FFFF0000"/>
      <name val="Calibri"/>
      <family val="2"/>
      <scheme val="minor"/>
    </font>
    <font>
      <sz val="11"/>
      <color theme="1"/>
      <name val="Symbol"/>
      <family val="1"/>
      <charset val="2"/>
    </font>
    <font>
      <sz val="11"/>
      <color rgb="FF000000"/>
      <name val="Symbol"/>
      <family val="1"/>
      <charset val="2"/>
    </font>
    <font>
      <sz val="10"/>
      <color theme="1"/>
      <name val="Symbol"/>
      <family val="1"/>
      <charset val="2"/>
    </font>
    <font>
      <sz val="9"/>
      <color indexed="81"/>
      <name val="Tahoma"/>
      <family val="2"/>
    </font>
    <font>
      <b/>
      <sz val="9"/>
      <color indexed="81"/>
      <name val="Tahoma"/>
      <family val="2"/>
    </font>
    <font>
      <sz val="10"/>
      <color rgb="FF0000FF"/>
      <name val="Arial"/>
      <family val="2"/>
    </font>
    <font>
      <b/>
      <sz val="9"/>
      <color indexed="8"/>
      <name val="Arial"/>
      <family val="2"/>
    </font>
    <font>
      <i/>
      <sz val="9"/>
      <color rgb="FF00B050"/>
      <name val="Calibri"/>
      <family val="2"/>
      <scheme val="minor"/>
    </font>
    <font>
      <sz val="11"/>
      <color theme="3"/>
      <name val="Calibri"/>
      <family val="2"/>
      <scheme val="minor"/>
    </font>
    <font>
      <b/>
      <sz val="11"/>
      <color theme="1"/>
      <name val="Calibri"/>
      <family val="2"/>
    </font>
    <font>
      <sz val="7"/>
      <color theme="1"/>
      <name val="Times New Roman"/>
      <family val="1"/>
    </font>
    <font>
      <sz val="11"/>
      <color theme="1"/>
      <name val="Courier New"/>
      <family val="3"/>
    </font>
    <font>
      <sz val="9"/>
      <color rgb="FF00B0F0"/>
      <name val="Calibri"/>
      <family val="2"/>
      <scheme val="minor"/>
    </font>
    <font>
      <b/>
      <sz val="10"/>
      <color theme="1"/>
      <name val="Calibri"/>
      <family val="2"/>
      <scheme val="minor"/>
    </font>
    <font>
      <sz val="9"/>
      <color rgb="FFFF0000"/>
      <name val="Calibri"/>
      <family val="2"/>
    </font>
    <font>
      <sz val="9"/>
      <color indexed="81"/>
      <name val="Tahoma"/>
      <charset val="1"/>
    </font>
    <font>
      <b/>
      <sz val="9"/>
      <color indexed="81"/>
      <name val="Tahoma"/>
      <charset val="1"/>
    </font>
  </fonts>
  <fills count="84">
    <fill>
      <patternFill patternType="none"/>
    </fill>
    <fill>
      <patternFill patternType="gray125"/>
    </fill>
    <fill>
      <patternFill patternType="solid">
        <fgColor rgb="FFFFFF00"/>
        <bgColor indexed="64"/>
      </patternFill>
    </fill>
    <fill>
      <patternFill patternType="solid">
        <fgColor indexed="35"/>
        <bgColor indexed="64"/>
      </patternFill>
    </fill>
    <fill>
      <patternFill patternType="solid">
        <fgColor indexed="43"/>
        <bgColor indexed="0"/>
      </patternFill>
    </fill>
    <fill>
      <patternFill patternType="solid">
        <fgColor theme="0"/>
        <bgColor indexed="64"/>
      </patternFill>
    </fill>
    <fill>
      <patternFill patternType="solid">
        <fgColor theme="0"/>
        <bgColor indexed="8"/>
      </patternFill>
    </fill>
    <fill>
      <patternFill patternType="solid">
        <fgColor rgb="FFFFCC00"/>
        <bgColor indexed="64"/>
      </patternFill>
    </fill>
    <fill>
      <patternFill patternType="solid">
        <fgColor rgb="FFFFFFFF"/>
        <bgColor indexed="64"/>
      </patternFill>
    </fill>
    <fill>
      <patternFill patternType="solid">
        <fgColor rgb="FF92D050"/>
        <bgColor indexed="64"/>
      </patternFill>
    </fill>
    <fill>
      <patternFill patternType="solid">
        <fgColor rgb="FFFFC000"/>
        <bgColor indexed="0"/>
      </patternFill>
    </fill>
    <fill>
      <patternFill patternType="solid">
        <fgColor rgb="FFFFC000"/>
        <bgColor indexed="64"/>
      </patternFill>
    </fill>
    <fill>
      <patternFill patternType="solid">
        <fgColor rgb="FFD8D8D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theme="2" tint="-0.49998474074526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D7E4BC"/>
        <bgColor indexed="64"/>
      </patternFill>
    </fill>
    <fill>
      <patternFill patternType="solid">
        <fgColor rgb="FF948B54"/>
        <bgColor indexed="64"/>
      </patternFill>
    </fill>
    <fill>
      <patternFill patternType="solid">
        <fgColor rgb="FFC5D9F1"/>
        <bgColor indexed="64"/>
      </patternFill>
    </fill>
    <fill>
      <patternFill patternType="solid">
        <fgColor rgb="FF538ED5"/>
        <bgColor indexed="64"/>
      </patternFill>
    </fill>
    <fill>
      <patternFill patternType="solid">
        <fgColor rgb="FFE5E0EC"/>
        <bgColor indexed="64"/>
      </patternFill>
    </fill>
    <fill>
      <patternFill patternType="solid">
        <fgColor rgb="FFFDE9D9"/>
        <bgColor indexed="64"/>
      </patternFill>
    </fill>
    <fill>
      <patternFill patternType="solid">
        <fgColor rgb="FFDDD9C3"/>
        <bgColor indexed="64"/>
      </patternFill>
    </fill>
    <fill>
      <patternFill patternType="solid">
        <fgColor rgb="FFCCC0DA"/>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indexed="9"/>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0000"/>
        <bgColor indexed="64"/>
      </patternFill>
    </fill>
    <fill>
      <patternFill patternType="solid">
        <fgColor indexed="13"/>
        <bgColor indexed="0"/>
      </patternFill>
    </fill>
    <fill>
      <patternFill patternType="solid">
        <fgColor indexed="9"/>
        <bgColor indexed="8"/>
      </patternFill>
    </fill>
    <fill>
      <patternFill patternType="solid">
        <fgColor rgb="FFFFFF99"/>
        <bgColor indexed="64"/>
      </patternFill>
    </fill>
    <fill>
      <patternFill patternType="solid">
        <fgColor rgb="FFE0E0E0"/>
        <bgColor indexed="64"/>
      </patternFill>
    </fill>
    <fill>
      <patternFill patternType="solid">
        <fgColor theme="4" tint="0.79998168889431442"/>
        <bgColor indexed="64"/>
      </patternFill>
    </fill>
    <fill>
      <patternFill patternType="solid">
        <fgColor indexed="22"/>
        <bgColor indexed="0"/>
      </patternFill>
    </fill>
    <fill>
      <patternFill patternType="solid">
        <fgColor rgb="FFBFBFBF"/>
        <bgColor indexed="64"/>
      </patternFill>
    </fill>
    <fill>
      <patternFill patternType="solid">
        <fgColor theme="0" tint="-0.249977111117893"/>
        <bgColor indexed="64"/>
      </patternFill>
    </fill>
    <fill>
      <patternFill patternType="solid">
        <fgColor rgb="FF00FFFF"/>
        <bgColor indexed="64"/>
      </patternFill>
    </fill>
    <fill>
      <patternFill patternType="solid">
        <fgColor theme="2"/>
        <bgColor indexed="64"/>
      </patternFill>
    </fill>
  </fills>
  <borders count="20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bottom/>
      <diagonal/>
    </border>
    <border>
      <left/>
      <right/>
      <top/>
      <bottom style="medium">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hair">
        <color indexed="64"/>
      </top>
      <bottom/>
      <diagonal/>
    </border>
    <border>
      <left style="medium">
        <color indexed="64"/>
      </left>
      <right style="medium">
        <color indexed="64"/>
      </right>
      <top/>
      <bottom style="hair">
        <color indexed="64"/>
      </bottom>
      <diagonal/>
    </border>
    <border>
      <left/>
      <right style="medium">
        <color indexed="64"/>
      </right>
      <top style="hair">
        <color indexed="64"/>
      </top>
      <bottom/>
      <diagonal/>
    </border>
    <border>
      <left/>
      <right style="medium">
        <color indexed="64"/>
      </right>
      <top/>
      <bottom style="hair">
        <color indexed="64"/>
      </bottom>
      <diagonal/>
    </border>
    <border>
      <left style="medium">
        <color indexed="64"/>
      </left>
      <right style="medium">
        <color indexed="64"/>
      </right>
      <top style="hair">
        <color indexed="64"/>
      </top>
      <bottom style="thin">
        <color indexed="22"/>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top style="hair">
        <color indexed="64"/>
      </top>
      <bottom/>
      <diagonal/>
    </border>
    <border>
      <left style="medium">
        <color indexed="64"/>
      </left>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auto="1"/>
      </left>
      <right style="thin">
        <color auto="1"/>
      </right>
      <top style="medium">
        <color indexed="64"/>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medium">
        <color indexed="64"/>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8"/>
      </right>
      <top style="medium">
        <color indexed="64"/>
      </top>
      <bottom/>
      <diagonal/>
    </border>
    <border>
      <left style="medium">
        <color indexed="64"/>
      </left>
      <right/>
      <top style="medium">
        <color rgb="FF000000"/>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style="medium">
        <color indexed="64"/>
      </right>
      <top style="medium">
        <color indexed="64"/>
      </top>
      <bottom style="medium">
        <color indexed="64"/>
      </bottom>
      <diagonal/>
    </border>
    <border>
      <left style="thin">
        <color indexed="8"/>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8"/>
      </right>
      <top/>
      <bottom/>
      <diagonal/>
    </border>
    <border>
      <left style="thin">
        <color indexed="8"/>
      </left>
      <right style="medium">
        <color indexed="64"/>
      </right>
      <top/>
      <bottom/>
      <diagonal/>
    </border>
    <border>
      <left/>
      <right style="thin">
        <color indexed="8"/>
      </right>
      <top style="medium">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auto="1"/>
      </left>
      <right style="thin">
        <color auto="1"/>
      </right>
      <top style="thin">
        <color auto="1"/>
      </top>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right style="medium">
        <color indexed="64"/>
      </right>
      <top/>
      <bottom style="medium">
        <color rgb="FFC0C0C0"/>
      </bottom>
      <diagonal/>
    </border>
    <border>
      <left/>
      <right style="medium">
        <color indexed="64"/>
      </right>
      <top/>
      <bottom style="medium">
        <color rgb="FF969696"/>
      </bottom>
      <diagonal/>
    </border>
    <border>
      <left style="medium">
        <color indexed="64"/>
      </left>
      <right style="medium">
        <color rgb="FF000000"/>
      </right>
      <top style="medium">
        <color indexed="64"/>
      </top>
      <bottom/>
      <diagonal/>
    </border>
    <border>
      <left/>
      <right style="medium">
        <color rgb="FF000000"/>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auto="1"/>
      </left>
      <right style="thin">
        <color auto="1"/>
      </right>
      <top style="thin">
        <color auto="1"/>
      </top>
      <bottom/>
      <diagonal/>
    </border>
    <border>
      <left/>
      <right style="thin">
        <color auto="1"/>
      </right>
      <top style="medium">
        <color indexed="64"/>
      </top>
      <bottom/>
      <diagonal/>
    </border>
    <border>
      <left style="thin">
        <color auto="1"/>
      </left>
      <right/>
      <top style="thin">
        <color auto="1"/>
      </top>
      <bottom/>
      <diagonal/>
    </border>
    <border>
      <left style="thin">
        <color auto="1"/>
      </left>
      <right/>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style="thin">
        <color indexed="64"/>
      </top>
      <bottom/>
      <diagonal/>
    </border>
    <border>
      <left style="thin">
        <color auto="1"/>
      </left>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style="medium">
        <color indexed="64"/>
      </right>
      <top/>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auto="1"/>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auto="1"/>
      </left>
      <right/>
      <top style="thin">
        <color auto="1"/>
      </top>
      <bottom style="thin">
        <color auto="1"/>
      </bottom>
      <diagonal/>
    </border>
    <border>
      <left style="medium">
        <color indexed="64"/>
      </left>
      <right style="thin">
        <color indexed="64"/>
      </right>
      <top style="thin">
        <color indexed="64"/>
      </top>
      <bottom/>
      <diagonal/>
    </border>
    <border>
      <left style="thin">
        <color auto="1"/>
      </left>
      <right style="thin">
        <color auto="1"/>
      </right>
      <top style="thin">
        <color auto="1"/>
      </top>
      <bottom/>
      <diagonal/>
    </border>
    <border>
      <left style="thin">
        <color auto="1"/>
      </left>
      <right/>
      <top style="thin">
        <color auto="1"/>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22"/>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8"/>
      </left>
      <right style="medium">
        <color indexed="64"/>
      </right>
      <top style="medium">
        <color indexed="64"/>
      </top>
      <bottom/>
      <diagonal/>
    </border>
    <border>
      <left style="thin">
        <color indexed="8"/>
      </left>
      <right style="thin">
        <color indexed="8"/>
      </right>
      <top style="medium">
        <color indexed="64"/>
      </top>
      <bottom/>
      <diagonal/>
    </border>
    <border>
      <left style="medium">
        <color indexed="64"/>
      </left>
      <right style="medium">
        <color indexed="64"/>
      </right>
      <top style="thin">
        <color indexed="22"/>
      </top>
      <bottom style="thin">
        <color indexed="22"/>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thin">
        <color auto="1"/>
      </right>
      <top style="thin">
        <color auto="1"/>
      </top>
      <bottom/>
      <diagonal/>
    </border>
    <border>
      <left/>
      <right style="medium">
        <color rgb="FF000000"/>
      </right>
      <top/>
      <bottom style="medium">
        <color indexed="64"/>
      </bottom>
      <diagonal/>
    </border>
    <border>
      <left style="medium">
        <color indexed="64"/>
      </left>
      <right style="medium">
        <color indexed="64"/>
      </right>
      <top/>
      <bottom style="thick">
        <color indexed="64"/>
      </bottom>
      <diagonal/>
    </border>
    <border>
      <left style="medium">
        <color indexed="64"/>
      </left>
      <right style="medium">
        <color indexed="64"/>
      </right>
      <top style="thick">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auto="1"/>
      </left>
      <right style="medium">
        <color indexed="64"/>
      </right>
      <top style="medium">
        <color indexed="64"/>
      </top>
      <bottom/>
      <diagonal/>
    </border>
    <border>
      <left style="medium">
        <color indexed="64"/>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right style="thin">
        <color auto="1"/>
      </right>
      <top style="thin">
        <color auto="1"/>
      </top>
      <bottom style="medium">
        <color indexed="64"/>
      </bottom>
      <diagonal/>
    </border>
    <border>
      <left style="thin">
        <color indexed="64"/>
      </left>
      <right/>
      <top style="thin">
        <color indexed="64"/>
      </top>
      <bottom/>
      <diagonal/>
    </border>
    <border>
      <left style="thin">
        <color auto="1"/>
      </left>
      <right/>
      <top style="thin">
        <color auto="1"/>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indexed="64"/>
      </left>
      <right style="thin">
        <color indexed="64"/>
      </right>
      <top style="medium">
        <color indexed="64"/>
      </top>
      <bottom style="dashed">
        <color indexed="64"/>
      </bottom>
      <diagonal/>
    </border>
    <border>
      <left/>
      <right style="medium">
        <color indexed="64"/>
      </right>
      <top style="medium">
        <color indexed="64"/>
      </top>
      <bottom style="dashed">
        <color indexed="64"/>
      </bottom>
      <diagonal/>
    </border>
    <border>
      <left/>
      <right/>
      <top style="medium">
        <color indexed="64"/>
      </top>
      <bottom style="dashed">
        <color indexed="64"/>
      </bottom>
      <diagonal/>
    </border>
    <border>
      <left/>
      <right style="thin">
        <color indexed="64"/>
      </right>
      <top/>
      <bottom style="medium">
        <color indexed="64"/>
      </bottom>
      <diagonal/>
    </border>
    <border>
      <left/>
      <right style="thin">
        <color auto="1"/>
      </right>
      <top/>
      <bottom/>
      <diagonal/>
    </border>
  </borders>
  <cellStyleXfs count="102">
    <xf numFmtId="0" fontId="0" fillId="0" borderId="0"/>
    <xf numFmtId="0" fontId="3" fillId="0" borderId="0"/>
    <xf numFmtId="165" fontId="3" fillId="0" borderId="0" applyFont="0" applyFill="0" applyBorder="0" applyAlignment="0" applyProtection="0"/>
    <xf numFmtId="0" fontId="3" fillId="0" borderId="0"/>
    <xf numFmtId="0" fontId="3" fillId="0" borderId="0"/>
    <xf numFmtId="0" fontId="3" fillId="0" borderId="0"/>
    <xf numFmtId="0" fontId="26" fillId="0" borderId="0"/>
    <xf numFmtId="0" fontId="29" fillId="0" borderId="0"/>
    <xf numFmtId="43" fontId="30" fillId="0" borderId="0" applyFont="0" applyFill="0" applyBorder="0" applyAlignment="0" applyProtection="0"/>
    <xf numFmtId="0" fontId="5" fillId="0" borderId="0"/>
    <xf numFmtId="0" fontId="5" fillId="0" borderId="0"/>
    <xf numFmtId="0" fontId="42" fillId="0" borderId="0" applyNumberFormat="0" applyFill="0" applyBorder="0" applyAlignment="0" applyProtection="0"/>
    <xf numFmtId="0" fontId="43" fillId="0" borderId="58" applyNumberFormat="0" applyFill="0" applyAlignment="0" applyProtection="0"/>
    <xf numFmtId="0" fontId="44" fillId="0" borderId="59" applyNumberFormat="0" applyFill="0" applyAlignment="0" applyProtection="0"/>
    <xf numFmtId="0" fontId="45" fillId="0" borderId="60" applyNumberFormat="0" applyFill="0" applyAlignment="0" applyProtection="0"/>
    <xf numFmtId="0" fontId="45" fillId="0" borderId="0" applyNumberFormat="0" applyFill="0" applyBorder="0" applyAlignment="0" applyProtection="0"/>
    <xf numFmtId="0" fontId="46" fillId="13" borderId="0" applyNumberFormat="0" applyBorder="0" applyAlignment="0" applyProtection="0"/>
    <xf numFmtId="0" fontId="47" fillId="14" borderId="0" applyNumberFormat="0" applyBorder="0" applyAlignment="0" applyProtection="0"/>
    <xf numFmtId="0" fontId="48" fillId="15" borderId="0" applyNumberFormat="0" applyBorder="0" applyAlignment="0" applyProtection="0"/>
    <xf numFmtId="0" fontId="49" fillId="16" borderId="61" applyNumberFormat="0" applyAlignment="0" applyProtection="0"/>
    <xf numFmtId="0" fontId="50" fillId="17" borderId="62" applyNumberFormat="0" applyAlignment="0" applyProtection="0"/>
    <xf numFmtId="0" fontId="51" fillId="17" borderId="61" applyNumberFormat="0" applyAlignment="0" applyProtection="0"/>
    <xf numFmtId="0" fontId="52" fillId="0" borderId="63" applyNumberFormat="0" applyFill="0" applyAlignment="0" applyProtection="0"/>
    <xf numFmtId="0" fontId="53" fillId="18" borderId="64" applyNumberFormat="0" applyAlignment="0" applyProtection="0"/>
    <xf numFmtId="0" fontId="13" fillId="0" borderId="0" applyNumberFormat="0" applyFill="0" applyBorder="0" applyAlignment="0" applyProtection="0"/>
    <xf numFmtId="0" fontId="30" fillId="19" borderId="65" applyNumberFormat="0" applyFont="0" applyAlignment="0" applyProtection="0"/>
    <xf numFmtId="0" fontId="54" fillId="0" borderId="0" applyNumberFormat="0" applyFill="0" applyBorder="0" applyAlignment="0" applyProtection="0"/>
    <xf numFmtId="0" fontId="1" fillId="0" borderId="66" applyNumberFormat="0" applyFill="0" applyAlignment="0" applyProtection="0"/>
    <xf numFmtId="0" fontId="55" fillId="20"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55" fillId="23" borderId="0" applyNumberFormat="0" applyBorder="0" applyAlignment="0" applyProtection="0"/>
    <xf numFmtId="0" fontId="55" fillId="24"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55" fillId="27" borderId="0" applyNumberFormat="0" applyBorder="0" applyAlignment="0" applyProtection="0"/>
    <xf numFmtId="0" fontId="55" fillId="28"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55" fillId="31" borderId="0" applyNumberFormat="0" applyBorder="0" applyAlignment="0" applyProtection="0"/>
    <xf numFmtId="0" fontId="55"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55" fillId="35" borderId="0" applyNumberFormat="0" applyBorder="0" applyAlignment="0" applyProtection="0"/>
    <xf numFmtId="0" fontId="55" fillId="36"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55" fillId="39" borderId="0" applyNumberFormat="0" applyBorder="0" applyAlignment="0" applyProtection="0"/>
    <xf numFmtId="0" fontId="55" fillId="40"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55"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7" fillId="19" borderId="65" applyNumberFormat="0" applyFont="0" applyAlignment="0" applyProtection="0"/>
    <xf numFmtId="0" fontId="57" fillId="19" borderId="65" applyNumberFormat="0" applyFont="0" applyAlignment="0" applyProtection="0"/>
    <xf numFmtId="0" fontId="57" fillId="19" borderId="65" applyNumberFormat="0" applyFont="0" applyAlignment="0" applyProtection="0"/>
    <xf numFmtId="0" fontId="57" fillId="19" borderId="65" applyNumberFormat="0" applyFont="0" applyAlignment="0" applyProtection="0"/>
    <xf numFmtId="0" fontId="57" fillId="19" borderId="65" applyNumberFormat="0" applyFont="0" applyAlignment="0" applyProtection="0"/>
    <xf numFmtId="0" fontId="57" fillId="19" borderId="65" applyNumberFormat="0" applyFont="0" applyAlignment="0" applyProtection="0"/>
    <xf numFmtId="0" fontId="57" fillId="19" borderId="65" applyNumberFormat="0" applyFont="0" applyAlignment="0" applyProtection="0"/>
    <xf numFmtId="0" fontId="5" fillId="0" borderId="0"/>
    <xf numFmtId="0" fontId="3" fillId="0" borderId="0"/>
    <xf numFmtId="44" fontId="3" fillId="0" borderId="0" applyFont="0" applyFill="0" applyBorder="0" applyAlignment="0" applyProtection="0"/>
    <xf numFmtId="44" fontId="3" fillId="0" borderId="0" applyFont="0" applyFill="0" applyBorder="0" applyAlignment="0" applyProtection="0"/>
    <xf numFmtId="0" fontId="3" fillId="0" borderId="0"/>
    <xf numFmtId="0" fontId="30" fillId="19" borderId="65" applyNumberFormat="0" applyFont="0" applyAlignment="0" applyProtection="0"/>
    <xf numFmtId="0" fontId="110" fillId="0" borderId="0"/>
    <xf numFmtId="0" fontId="5" fillId="0" borderId="0"/>
  </cellStyleXfs>
  <cellXfs count="4532">
    <xf numFmtId="0" fontId="0" fillId="0" borderId="0" xfId="0"/>
    <xf numFmtId="0" fontId="1" fillId="0" borderId="0" xfId="0" applyFont="1"/>
    <xf numFmtId="0" fontId="0" fillId="0" borderId="6" xfId="0" applyBorder="1"/>
    <xf numFmtId="0" fontId="0" fillId="0" borderId="5" xfId="0" applyBorder="1"/>
    <xf numFmtId="2" fontId="4" fillId="4" borderId="5" xfId="0" quotePrefix="1" applyNumberFormat="1" applyFont="1" applyFill="1" applyBorder="1" applyAlignment="1">
      <alignment horizontal="center" vertical="center" wrapText="1"/>
    </xf>
    <xf numFmtId="10" fontId="0" fillId="0" borderId="0" xfId="0" applyNumberFormat="1"/>
    <xf numFmtId="0" fontId="4" fillId="4" borderId="5" xfId="1" applyFont="1" applyFill="1" applyBorder="1" applyAlignment="1">
      <alignment horizontal="center" vertical="center" wrapText="1"/>
    </xf>
    <xf numFmtId="2" fontId="4" fillId="4" borderId="5" xfId="1" quotePrefix="1" applyNumberFormat="1" applyFont="1" applyFill="1" applyBorder="1" applyAlignment="1">
      <alignment horizontal="center" vertical="center" wrapText="1"/>
    </xf>
    <xf numFmtId="1" fontId="5" fillId="0" borderId="0" xfId="0" applyNumberFormat="1" applyFont="1" applyFill="1" applyBorder="1" applyAlignment="1">
      <alignment horizontal="center" vertical="center" wrapText="1"/>
    </xf>
    <xf numFmtId="0" fontId="0" fillId="0" borderId="0" xfId="0"/>
    <xf numFmtId="0" fontId="10" fillId="4" borderId="23" xfId="1" applyFont="1" applyFill="1" applyBorder="1" applyAlignment="1">
      <alignment horizontal="center" vertical="center" wrapText="1"/>
    </xf>
    <xf numFmtId="0" fontId="0" fillId="0" borderId="0" xfId="0"/>
    <xf numFmtId="2" fontId="4" fillId="4" borderId="12" xfId="0" quotePrefix="1" applyNumberFormat="1" applyFont="1" applyFill="1" applyBorder="1" applyAlignment="1">
      <alignment horizontal="center" vertical="center" wrapText="1"/>
    </xf>
    <xf numFmtId="2" fontId="4" fillId="4" borderId="12" xfId="0" applyNumberFormat="1" applyFont="1" applyFill="1" applyBorder="1" applyAlignment="1">
      <alignment horizontal="center" vertical="center" wrapText="1"/>
    </xf>
    <xf numFmtId="0" fontId="25" fillId="0" borderId="0" xfId="0" applyFont="1"/>
    <xf numFmtId="0" fontId="23" fillId="5" borderId="6" xfId="0" applyFont="1" applyFill="1" applyBorder="1" applyAlignment="1">
      <alignment horizontal="left"/>
    </xf>
    <xf numFmtId="0" fontId="23" fillId="5" borderId="4"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applyAlignment="1">
      <alignment horizontal="center"/>
    </xf>
    <xf numFmtId="0" fontId="24" fillId="5" borderId="8" xfId="0" applyFont="1" applyFill="1" applyBorder="1" applyAlignment="1">
      <alignment horizontal="left"/>
    </xf>
    <xf numFmtId="0" fontId="23" fillId="5" borderId="8" xfId="0" applyFont="1" applyFill="1" applyBorder="1" applyAlignment="1">
      <alignment horizontal="left" wrapText="1"/>
    </xf>
    <xf numFmtId="0" fontId="0" fillId="5" borderId="12" xfId="0" applyFill="1" applyBorder="1"/>
    <xf numFmtId="0" fontId="23" fillId="5" borderId="6" xfId="0" applyFont="1" applyFill="1" applyBorder="1" applyAlignment="1">
      <alignment horizontal="left" wrapText="1"/>
    </xf>
    <xf numFmtId="1" fontId="5" fillId="5" borderId="6" xfId="0" applyNumberFormat="1" applyFont="1" applyFill="1" applyBorder="1" applyAlignment="1">
      <alignment horizontal="center" vertical="center" wrapText="1"/>
    </xf>
    <xf numFmtId="0" fontId="0" fillId="5" borderId="0" xfId="0" applyFill="1"/>
    <xf numFmtId="0" fontId="29" fillId="6" borderId="5" xfId="7" applyFont="1" applyFill="1" applyBorder="1" applyAlignment="1">
      <alignment wrapText="1"/>
    </xf>
    <xf numFmtId="0" fontId="28" fillId="5" borderId="8" xfId="6" applyFont="1" applyFill="1" applyBorder="1" applyAlignment="1">
      <alignment horizontal="center" vertical="center"/>
    </xf>
    <xf numFmtId="0" fontId="29" fillId="6" borderId="2" xfId="7" applyFont="1" applyFill="1" applyBorder="1" applyAlignment="1">
      <alignment wrapText="1"/>
    </xf>
    <xf numFmtId="0" fontId="29" fillId="6" borderId="30" xfId="7" applyFont="1" applyFill="1" applyBorder="1" applyAlignment="1">
      <alignment wrapText="1"/>
    </xf>
    <xf numFmtId="0" fontId="28" fillId="5" borderId="30" xfId="6" applyFont="1" applyFill="1" applyBorder="1" applyAlignment="1">
      <alignment horizontal="center" vertical="center"/>
    </xf>
    <xf numFmtId="0" fontId="29" fillId="6" borderId="29" xfId="7" applyFont="1" applyFill="1" applyBorder="1" applyAlignment="1">
      <alignment wrapText="1"/>
    </xf>
    <xf numFmtId="0" fontId="29" fillId="6" borderId="6" xfId="7" applyFont="1" applyFill="1" applyBorder="1" applyAlignment="1">
      <alignment wrapText="1"/>
    </xf>
    <xf numFmtId="0" fontId="28" fillId="5" borderId="31" xfId="6" applyFont="1" applyFill="1" applyBorder="1" applyAlignment="1">
      <alignment horizontal="center" vertical="center"/>
    </xf>
    <xf numFmtId="0" fontId="29" fillId="6" borderId="4" xfId="7" applyFont="1" applyFill="1" applyBorder="1" applyAlignment="1">
      <alignment wrapText="1"/>
    </xf>
    <xf numFmtId="0" fontId="28" fillId="5" borderId="36" xfId="6" applyFont="1" applyFill="1" applyBorder="1" applyAlignment="1">
      <alignment horizontal="center" vertical="center"/>
    </xf>
    <xf numFmtId="0" fontId="26" fillId="5" borderId="6" xfId="6" applyFill="1" applyBorder="1"/>
    <xf numFmtId="0" fontId="26" fillId="5" borderId="4" xfId="6" applyFill="1" applyBorder="1"/>
    <xf numFmtId="0" fontId="27" fillId="5" borderId="30" xfId="6" applyFont="1" applyFill="1" applyBorder="1" applyAlignment="1">
      <alignment horizontal="center" vertical="center"/>
    </xf>
    <xf numFmtId="0" fontId="27" fillId="5" borderId="31" xfId="6" applyFont="1" applyFill="1" applyBorder="1" applyAlignment="1">
      <alignment horizontal="center" vertical="center"/>
    </xf>
    <xf numFmtId="0" fontId="0" fillId="0" borderId="0" xfId="0" applyAlignment="1">
      <alignment horizontal="center"/>
    </xf>
    <xf numFmtId="2" fontId="0" fillId="0" borderId="0" xfId="0" applyNumberFormat="1" applyFill="1" applyBorder="1" applyAlignment="1">
      <alignment horizontal="center" vertical="center"/>
    </xf>
    <xf numFmtId="2" fontId="1" fillId="0" borderId="0" xfId="0" applyNumberFormat="1" applyFont="1" applyFill="1" applyBorder="1" applyAlignment="1">
      <alignment horizontal="center" vertical="center"/>
    </xf>
    <xf numFmtId="2" fontId="0" fillId="0" borderId="0" xfId="0" applyNumberFormat="1" applyFill="1" applyBorder="1" applyAlignment="1">
      <alignment horizontal="left" vertical="center"/>
    </xf>
    <xf numFmtId="0" fontId="9" fillId="0" borderId="0" xfId="1" applyNumberFormat="1" applyFont="1" applyFill="1" applyBorder="1" applyAlignment="1">
      <alignment horizontal="center" vertical="center" wrapText="1"/>
    </xf>
    <xf numFmtId="7" fontId="9" fillId="0" borderId="0" xfId="1" applyNumberFormat="1" applyFont="1" applyFill="1" applyBorder="1" applyAlignment="1">
      <alignment horizontal="center" vertical="center" wrapText="1"/>
    </xf>
    <xf numFmtId="10" fontId="0" fillId="0" borderId="0" xfId="0" applyNumberFormat="1" applyBorder="1"/>
    <xf numFmtId="0" fontId="23" fillId="0" borderId="8" xfId="0" applyFont="1" applyBorder="1" applyAlignment="1">
      <alignment horizontal="center"/>
    </xf>
    <xf numFmtId="2" fontId="0" fillId="0" borderId="0" xfId="0" applyNumberFormat="1"/>
    <xf numFmtId="0" fontId="0" fillId="0" borderId="0" xfId="0" applyFill="1" applyBorder="1"/>
    <xf numFmtId="0" fontId="24" fillId="0" borderId="41" xfId="0" applyFont="1" applyFill="1" applyBorder="1" applyAlignment="1">
      <alignment horizontal="left" wrapText="1"/>
    </xf>
    <xf numFmtId="0" fontId="24" fillId="0" borderId="18" xfId="0" applyFont="1" applyFill="1" applyBorder="1" applyAlignment="1">
      <alignment horizontal="left" wrapText="1"/>
    </xf>
    <xf numFmtId="0" fontId="24" fillId="0" borderId="42" xfId="0" applyFont="1" applyFill="1" applyBorder="1" applyAlignment="1">
      <alignment horizontal="left" wrapText="1"/>
    </xf>
    <xf numFmtId="0" fontId="23" fillId="0" borderId="5" xfId="0" applyFont="1" applyFill="1" applyBorder="1" applyAlignment="1">
      <alignment horizontal="center"/>
    </xf>
    <xf numFmtId="0" fontId="23" fillId="0" borderId="8" xfId="0" applyFont="1" applyFill="1" applyBorder="1" applyAlignment="1">
      <alignment horizontal="center"/>
    </xf>
    <xf numFmtId="0" fontId="23" fillId="0" borderId="28" xfId="0" applyFont="1" applyFill="1" applyBorder="1" applyAlignment="1">
      <alignment horizontal="left"/>
    </xf>
    <xf numFmtId="0" fontId="23" fillId="0" borderId="30" xfId="0" applyFont="1" applyFill="1" applyBorder="1" applyAlignment="1">
      <alignment horizontal="center"/>
    </xf>
    <xf numFmtId="0" fontId="23" fillId="0" borderId="30" xfId="0" applyFont="1" applyFill="1" applyBorder="1" applyAlignment="1">
      <alignment horizontal="left"/>
    </xf>
    <xf numFmtId="0" fontId="23" fillId="0" borderId="6" xfId="0" applyFont="1" applyFill="1" applyBorder="1" applyAlignment="1">
      <alignment horizontal="center"/>
    </xf>
    <xf numFmtId="0" fontId="24" fillId="0" borderId="1" xfId="0" applyFont="1" applyFill="1" applyBorder="1" applyAlignment="1">
      <alignment horizontal="left" wrapText="1"/>
    </xf>
    <xf numFmtId="0" fontId="24" fillId="0" borderId="3" xfId="0" applyFont="1" applyFill="1" applyBorder="1" applyAlignment="1">
      <alignment horizontal="left" wrapText="1"/>
    </xf>
    <xf numFmtId="0" fontId="24" fillId="0" borderId="0" xfId="0" applyFont="1" applyFill="1" applyBorder="1" applyAlignment="1">
      <alignment horizontal="left" wrapText="1"/>
    </xf>
    <xf numFmtId="0" fontId="24" fillId="0" borderId="28" xfId="0" applyFont="1" applyFill="1" applyBorder="1" applyAlignment="1">
      <alignment horizontal="left" wrapText="1"/>
    </xf>
    <xf numFmtId="0" fontId="23" fillId="0" borderId="29" xfId="0" applyFont="1" applyFill="1" applyBorder="1" applyAlignment="1">
      <alignment horizontal="center"/>
    </xf>
    <xf numFmtId="0" fontId="23" fillId="0" borderId="32" xfId="0" applyFont="1" applyFill="1" applyBorder="1" applyAlignment="1">
      <alignment horizontal="center"/>
    </xf>
    <xf numFmtId="0" fontId="23" fillId="0" borderId="33" xfId="0" applyFont="1" applyFill="1" applyBorder="1" applyAlignment="1">
      <alignment horizontal="center"/>
    </xf>
    <xf numFmtId="0" fontId="23" fillId="0" borderId="28" xfId="0" applyFont="1" applyFill="1" applyBorder="1" applyAlignment="1">
      <alignment horizontal="center"/>
    </xf>
    <xf numFmtId="0" fontId="23" fillId="0" borderId="40" xfId="0" applyFont="1" applyFill="1" applyBorder="1" applyAlignment="1">
      <alignment horizontal="left"/>
    </xf>
    <xf numFmtId="0" fontId="23" fillId="0" borderId="31" xfId="0" applyFont="1" applyFill="1" applyBorder="1" applyAlignment="1">
      <alignment horizontal="center"/>
    </xf>
    <xf numFmtId="0" fontId="0" fillId="0" borderId="0" xfId="0" applyFill="1"/>
    <xf numFmtId="0" fontId="31" fillId="0" borderId="0" xfId="0" applyFont="1" applyBorder="1" applyAlignment="1">
      <alignment horizontal="left" vertical="top" wrapText="1"/>
    </xf>
    <xf numFmtId="0" fontId="31" fillId="0" borderId="0" xfId="0" applyFont="1" applyFill="1" applyBorder="1" applyAlignment="1">
      <alignment horizontal="left" vertical="top" wrapText="1"/>
    </xf>
    <xf numFmtId="0" fontId="33" fillId="0" borderId="0" xfId="0" applyFont="1"/>
    <xf numFmtId="7" fontId="31" fillId="0" borderId="0" xfId="0" applyNumberFormat="1" applyFont="1" applyFill="1" applyBorder="1" applyAlignment="1">
      <alignment horizontal="center" vertical="center" wrapText="1"/>
    </xf>
    <xf numFmtId="10" fontId="33" fillId="0" borderId="0" xfId="0" applyNumberFormat="1" applyFont="1" applyBorder="1"/>
    <xf numFmtId="0" fontId="32" fillId="0" borderId="0" xfId="0" applyFont="1" applyFill="1" applyBorder="1" applyAlignment="1">
      <alignment horizontal="center" vertical="center" wrapText="1"/>
    </xf>
    <xf numFmtId="0" fontId="0" fillId="0" borderId="0" xfId="0" applyAlignment="1">
      <alignment horizontal="left"/>
    </xf>
    <xf numFmtId="0" fontId="31" fillId="11" borderId="8" xfId="0" applyFont="1" applyFill="1" applyBorder="1" applyAlignment="1">
      <alignment horizontal="center" vertical="center"/>
    </xf>
    <xf numFmtId="0" fontId="32" fillId="0" borderId="0" xfId="0" applyFont="1" applyBorder="1" applyAlignment="1">
      <alignment horizontal="center" vertical="center" wrapText="1"/>
    </xf>
    <xf numFmtId="1" fontId="32" fillId="0" borderId="0" xfId="0" applyNumberFormat="1" applyFont="1" applyFill="1" applyBorder="1" applyAlignment="1">
      <alignment horizontal="center" vertical="center" wrapText="1"/>
    </xf>
    <xf numFmtId="0" fontId="34" fillId="3" borderId="10" xfId="1" applyFont="1" applyFill="1" applyBorder="1" applyAlignment="1">
      <alignment horizontal="center" vertical="center"/>
    </xf>
    <xf numFmtId="0" fontId="34" fillId="3" borderId="11" xfId="1" applyFont="1" applyFill="1" applyBorder="1" applyAlignment="1">
      <alignment horizontal="center" vertical="center"/>
    </xf>
    <xf numFmtId="0" fontId="31" fillId="11" borderId="5" xfId="0" applyFont="1" applyFill="1" applyBorder="1" applyAlignment="1">
      <alignment horizontal="center" vertical="center"/>
    </xf>
    <xf numFmtId="0" fontId="36" fillId="0" borderId="13" xfId="1" applyNumberFormat="1" applyFont="1" applyFill="1" applyBorder="1" applyAlignment="1">
      <alignment horizontal="center" vertical="center" wrapText="1"/>
    </xf>
    <xf numFmtId="0" fontId="36" fillId="0" borderId="12" xfId="1" applyNumberFormat="1" applyFont="1" applyFill="1" applyBorder="1" applyAlignment="1">
      <alignment horizontal="center" vertical="center" wrapText="1"/>
    </xf>
    <xf numFmtId="0" fontId="33" fillId="0" borderId="0" xfId="0" applyFont="1" applyAlignment="1">
      <alignment horizontal="center" vertical="center"/>
    </xf>
    <xf numFmtId="164" fontId="34" fillId="10" borderId="5" xfId="1" applyNumberFormat="1" applyFont="1" applyFill="1" applyBorder="1" applyAlignment="1">
      <alignment horizontal="center" vertical="center" wrapText="1"/>
    </xf>
    <xf numFmtId="0" fontId="0" fillId="0" borderId="0" xfId="0" applyAlignment="1"/>
    <xf numFmtId="0" fontId="33" fillId="0" borderId="0" xfId="0" applyFont="1" applyAlignment="1"/>
    <xf numFmtId="0" fontId="39" fillId="0" borderId="26" xfId="0" applyFont="1" applyBorder="1" applyAlignment="1">
      <alignment horizontal="center" vertical="top"/>
    </xf>
    <xf numFmtId="0" fontId="39" fillId="0" borderId="27" xfId="0" applyFont="1" applyBorder="1" applyAlignment="1">
      <alignment vertical="top"/>
    </xf>
    <xf numFmtId="0" fontId="39" fillId="0" borderId="4" xfId="0" applyFont="1" applyBorder="1" applyAlignment="1">
      <alignment horizontal="center" vertical="top"/>
    </xf>
    <xf numFmtId="0" fontId="1" fillId="0" borderId="51" xfId="0" applyFont="1" applyBorder="1"/>
    <xf numFmtId="0" fontId="23" fillId="0" borderId="6" xfId="0" applyFont="1" applyBorder="1" applyAlignment="1">
      <alignment horizontal="left"/>
    </xf>
    <xf numFmtId="0" fontId="23" fillId="0" borderId="4" xfId="0" applyFont="1" applyBorder="1" applyAlignment="1">
      <alignment horizontal="left"/>
    </xf>
    <xf numFmtId="0" fontId="24" fillId="0" borderId="0" xfId="0" applyFont="1" applyAlignment="1">
      <alignment horizontal="left"/>
    </xf>
    <xf numFmtId="0" fontId="23" fillId="0" borderId="27" xfId="0" applyFont="1" applyBorder="1" applyAlignment="1">
      <alignment horizontal="left"/>
    </xf>
    <xf numFmtId="0" fontId="0" fillId="0" borderId="0" xfId="0" applyFill="1" applyBorder="1" applyAlignment="1">
      <alignment horizontal="center"/>
    </xf>
    <xf numFmtId="0" fontId="0" fillId="0" borderId="9" xfId="0" applyBorder="1"/>
    <xf numFmtId="0" fontId="2" fillId="0" borderId="0" xfId="1" applyFont="1" applyFill="1" applyBorder="1" applyAlignment="1">
      <alignment horizontal="center" vertical="center"/>
    </xf>
    <xf numFmtId="0" fontId="0" fillId="0" borderId="0" xfId="0" applyFill="1" applyBorder="1" applyAlignment="1"/>
    <xf numFmtId="0" fontId="11" fillId="0" borderId="0" xfId="1" applyFont="1" applyFill="1" applyBorder="1" applyAlignment="1">
      <alignment horizontal="right" vertical="center"/>
    </xf>
    <xf numFmtId="0" fontId="10" fillId="0" borderId="0" xfId="1" applyFont="1" applyFill="1" applyBorder="1" applyAlignment="1">
      <alignment horizontal="center" vertical="center"/>
    </xf>
    <xf numFmtId="10" fontId="0" fillId="0" borderId="0" xfId="0" applyNumberFormat="1" applyFill="1" applyBorder="1" applyAlignment="1"/>
    <xf numFmtId="0" fontId="16" fillId="0" borderId="0" xfId="0" applyFont="1" applyFill="1" applyBorder="1" applyAlignment="1">
      <alignment horizontal="center" vertical="center"/>
    </xf>
    <xf numFmtId="0" fontId="17" fillId="0" borderId="0" xfId="0" applyFont="1" applyFill="1" applyBorder="1" applyAlignment="1">
      <alignment horizontal="center" vertical="center"/>
    </xf>
    <xf numFmtId="2" fontId="14" fillId="0" borderId="0" xfId="0" applyNumberFormat="1" applyFont="1" applyFill="1" applyBorder="1" applyAlignment="1">
      <alignment horizontal="center" vertical="center"/>
    </xf>
    <xf numFmtId="2" fontId="15" fillId="0" borderId="0" xfId="0" applyNumberFormat="1" applyFont="1" applyFill="1" applyBorder="1" applyAlignment="1">
      <alignment horizontal="center" vertical="center"/>
    </xf>
    <xf numFmtId="0" fontId="18" fillId="0" borderId="0" xfId="0" applyFont="1" applyFill="1" applyBorder="1" applyAlignment="1">
      <alignment horizontal="center" vertical="center"/>
    </xf>
    <xf numFmtId="0" fontId="4" fillId="0" borderId="0" xfId="1" applyFont="1" applyFill="1" applyBorder="1" applyAlignment="1">
      <alignment horizontal="center" vertical="center"/>
    </xf>
    <xf numFmtId="2" fontId="4" fillId="0" borderId="0" xfId="1" quotePrefix="1" applyNumberFormat="1" applyFont="1" applyFill="1" applyBorder="1" applyAlignment="1">
      <alignment horizontal="center" vertical="center"/>
    </xf>
    <xf numFmtId="164" fontId="2" fillId="0" borderId="0" xfId="1" applyNumberFormat="1" applyFont="1" applyFill="1" applyBorder="1" applyAlignment="1">
      <alignment horizontal="center" vertical="center"/>
    </xf>
    <xf numFmtId="0" fontId="5" fillId="0" borderId="0" xfId="0" applyFont="1" applyFill="1" applyBorder="1" applyAlignment="1">
      <alignment horizontal="center" vertical="center"/>
    </xf>
    <xf numFmtId="1" fontId="5" fillId="0" borderId="0" xfId="0" applyNumberFormat="1" applyFont="1" applyFill="1" applyBorder="1" applyAlignment="1">
      <alignment horizontal="center" vertical="center"/>
    </xf>
    <xf numFmtId="0" fontId="9" fillId="0" borderId="0" xfId="1" applyNumberFormat="1" applyFont="1" applyFill="1" applyBorder="1" applyAlignment="1">
      <alignment horizontal="center" vertical="center"/>
    </xf>
    <xf numFmtId="7" fontId="9" fillId="0" borderId="0" xfId="1" applyNumberFormat="1" applyFont="1" applyFill="1" applyBorder="1" applyAlignment="1">
      <alignment horizontal="center" vertical="center"/>
    </xf>
    <xf numFmtId="0" fontId="24" fillId="0" borderId="0" xfId="0" applyFont="1" applyAlignment="1">
      <alignment horizontal="left" wrapText="1"/>
    </xf>
    <xf numFmtId="0" fontId="23" fillId="5" borderId="9" xfId="0" applyFont="1" applyFill="1" applyBorder="1" applyAlignment="1">
      <alignment horizontal="left"/>
    </xf>
    <xf numFmtId="0" fontId="23" fillId="5" borderId="5" xfId="0" applyFont="1" applyFill="1" applyBorder="1" applyAlignment="1">
      <alignment horizontal="left" wrapText="1"/>
    </xf>
    <xf numFmtId="1" fontId="5" fillId="5" borderId="5" xfId="0" applyNumberFormat="1" applyFont="1" applyFill="1" applyBorder="1" applyAlignment="1">
      <alignment horizontal="center" vertical="center" wrapText="1"/>
    </xf>
    <xf numFmtId="1" fontId="5" fillId="5" borderId="8" xfId="0" applyNumberFormat="1" applyFont="1" applyFill="1" applyBorder="1" applyAlignment="1">
      <alignment horizontal="center" vertical="center" wrapText="1"/>
    </xf>
    <xf numFmtId="3" fontId="39" fillId="0" borderId="26" xfId="0" applyNumberFormat="1" applyFont="1" applyBorder="1" applyAlignment="1">
      <alignment horizontal="center" vertical="top"/>
    </xf>
    <xf numFmtId="0" fontId="13" fillId="0" borderId="0" xfId="0" applyFont="1"/>
    <xf numFmtId="3" fontId="0" fillId="0" borderId="0" xfId="0" applyNumberFormat="1"/>
    <xf numFmtId="0" fontId="4" fillId="10" borderId="5" xfId="0" applyFont="1" applyFill="1" applyBorder="1" applyAlignment="1">
      <alignment horizontal="center" vertical="center" wrapText="1"/>
    </xf>
    <xf numFmtId="0" fontId="39" fillId="0" borderId="0" xfId="0" applyFont="1" applyBorder="1" applyAlignment="1">
      <alignment vertical="top"/>
    </xf>
    <xf numFmtId="0" fontId="0" fillId="0" borderId="0" xfId="0" applyAlignment="1">
      <alignment horizontal="center" vertical="center" wrapText="1"/>
    </xf>
    <xf numFmtId="0" fontId="35" fillId="10" borderId="12" xfId="9" applyFont="1" applyFill="1" applyBorder="1" applyAlignment="1">
      <alignment horizontal="center" vertical="center" wrapText="1"/>
    </xf>
    <xf numFmtId="0" fontId="31" fillId="0" borderId="1" xfId="1" applyFont="1" applyFill="1" applyBorder="1" applyAlignment="1">
      <alignment horizontal="left" vertical="top" wrapText="1"/>
    </xf>
    <xf numFmtId="0" fontId="38" fillId="0" borderId="18" xfId="0" applyFont="1" applyBorder="1" applyAlignment="1">
      <alignment vertical="top" wrapText="1"/>
    </xf>
    <xf numFmtId="0" fontId="23" fillId="0" borderId="26" xfId="0" applyFont="1" applyFill="1" applyBorder="1" applyAlignment="1">
      <alignment horizontal="center"/>
    </xf>
    <xf numFmtId="0" fontId="23" fillId="5" borderId="26" xfId="0" applyFont="1" applyFill="1" applyBorder="1" applyAlignment="1">
      <alignment horizontal="center"/>
    </xf>
    <xf numFmtId="164" fontId="2" fillId="10" borderId="5" xfId="1" applyNumberFormat="1" applyFont="1" applyFill="1" applyBorder="1" applyAlignment="1">
      <alignment horizontal="center" vertical="center" wrapText="1"/>
    </xf>
    <xf numFmtId="164" fontId="2" fillId="10" borderId="5" xfId="0" applyNumberFormat="1" applyFont="1" applyFill="1" applyBorder="1" applyAlignment="1">
      <alignment horizontal="center" vertical="center" wrapText="1"/>
    </xf>
    <xf numFmtId="2" fontId="38" fillId="0" borderId="16" xfId="0" applyNumberFormat="1" applyFont="1" applyFill="1" applyBorder="1" applyAlignment="1">
      <alignment horizontal="center"/>
    </xf>
    <xf numFmtId="2" fontId="37" fillId="0" borderId="16" xfId="0" applyNumberFormat="1" applyFont="1" applyFill="1" applyBorder="1" applyAlignment="1">
      <alignment horizontal="center" vertical="center"/>
    </xf>
    <xf numFmtId="0" fontId="32" fillId="0" borderId="14" xfId="0" applyFont="1" applyFill="1" applyBorder="1" applyAlignment="1">
      <alignment horizontal="center" vertical="center" wrapText="1"/>
    </xf>
    <xf numFmtId="1" fontId="32" fillId="0" borderId="14" xfId="0" applyNumberFormat="1" applyFont="1" applyFill="1" applyBorder="1" applyAlignment="1">
      <alignment horizontal="center" vertical="center" wrapText="1"/>
    </xf>
    <xf numFmtId="2" fontId="38" fillId="0" borderId="13" xfId="0" applyNumberFormat="1" applyFont="1" applyFill="1" applyBorder="1" applyAlignment="1">
      <alignment horizontal="center" vertical="center"/>
    </xf>
    <xf numFmtId="2" fontId="4" fillId="10" borderId="12" xfId="0" applyNumberFormat="1" applyFont="1" applyFill="1" applyBorder="1" applyAlignment="1">
      <alignment horizontal="center" vertical="center" wrapText="1"/>
    </xf>
    <xf numFmtId="1" fontId="38" fillId="0" borderId="13" xfId="0" applyNumberFormat="1" applyFont="1" applyFill="1" applyBorder="1" applyAlignment="1">
      <alignment horizontal="center"/>
    </xf>
    <xf numFmtId="2" fontId="4" fillId="4" borderId="5" xfId="1" applyNumberFormat="1" applyFont="1" applyFill="1" applyBorder="1" applyAlignment="1">
      <alignment horizontal="center" vertical="center" wrapText="1"/>
    </xf>
    <xf numFmtId="2" fontId="0" fillId="0" borderId="0" xfId="0" applyNumberFormat="1" applyAlignment="1">
      <alignment horizontal="center"/>
    </xf>
    <xf numFmtId="0" fontId="41" fillId="0" borderId="0" xfId="0" applyFont="1" applyAlignment="1">
      <alignment horizontal="center"/>
    </xf>
    <xf numFmtId="0" fontId="23" fillId="5" borderId="0" xfId="0" applyFont="1" applyFill="1" applyBorder="1" applyAlignment="1">
      <alignment horizontal="center"/>
    </xf>
    <xf numFmtId="0" fontId="0" fillId="0" borderId="0" xfId="0" applyBorder="1"/>
    <xf numFmtId="0" fontId="0" fillId="5" borderId="0" xfId="0" applyFill="1" applyAlignment="1">
      <alignment horizontal="center"/>
    </xf>
    <xf numFmtId="0" fontId="57" fillId="44" borderId="0" xfId="9" applyFont="1" applyFill="1" applyBorder="1" applyAlignment="1">
      <alignment wrapText="1"/>
    </xf>
    <xf numFmtId="0" fontId="57" fillId="45" borderId="0" xfId="9" applyFont="1" applyFill="1" applyBorder="1" applyAlignment="1">
      <alignment wrapText="1"/>
    </xf>
    <xf numFmtId="0" fontId="57" fillId="46" borderId="0" xfId="9" applyFont="1" applyFill="1" applyBorder="1" applyAlignment="1">
      <alignment wrapText="1"/>
    </xf>
    <xf numFmtId="0" fontId="57" fillId="47" borderId="0" xfId="9" applyFont="1" applyFill="1" applyBorder="1" applyAlignment="1">
      <alignment wrapText="1"/>
    </xf>
    <xf numFmtId="0" fontId="57" fillId="48" borderId="0" xfId="9" applyFont="1" applyFill="1" applyBorder="1" applyAlignment="1">
      <alignment wrapText="1"/>
    </xf>
    <xf numFmtId="0" fontId="57" fillId="49" borderId="0" xfId="9" applyFont="1" applyFill="1" applyBorder="1" applyAlignment="1">
      <alignment wrapText="1"/>
    </xf>
    <xf numFmtId="0" fontId="57" fillId="49" borderId="0" xfId="9" applyFont="1" applyFill="1" applyBorder="1" applyAlignment="1">
      <alignment horizontal="center" wrapText="1"/>
    </xf>
    <xf numFmtId="0" fontId="57" fillId="50" borderId="0" xfId="9" applyFont="1" applyFill="1" applyBorder="1" applyAlignment="1">
      <alignment wrapText="1"/>
    </xf>
    <xf numFmtId="0" fontId="57" fillId="51" borderId="0" xfId="9" applyFont="1" applyFill="1" applyBorder="1" applyAlignment="1">
      <alignment wrapText="1"/>
    </xf>
    <xf numFmtId="0" fontId="57" fillId="5" borderId="0" xfId="9" applyFont="1" applyFill="1" applyBorder="1" applyAlignment="1">
      <alignment wrapText="1"/>
    </xf>
    <xf numFmtId="0" fontId="57" fillId="5" borderId="0" xfId="9" applyFont="1" applyFill="1" applyBorder="1" applyAlignment="1">
      <alignment horizontal="center" wrapText="1"/>
    </xf>
    <xf numFmtId="0" fontId="23" fillId="0" borderId="0" xfId="0" applyFont="1" applyBorder="1" applyAlignment="1">
      <alignment horizontal="left" textRotation="90" wrapText="1"/>
    </xf>
    <xf numFmtId="0" fontId="23" fillId="8" borderId="54" xfId="0" applyFont="1" applyFill="1" applyBorder="1" applyAlignment="1">
      <alignment horizontal="center"/>
    </xf>
    <xf numFmtId="0" fontId="24" fillId="8" borderId="19" xfId="0" applyFont="1" applyFill="1" applyBorder="1" applyAlignment="1">
      <alignment horizontal="left" wrapText="1"/>
    </xf>
    <xf numFmtId="0" fontId="23" fillId="8" borderId="57" xfId="0" applyFont="1" applyFill="1" applyBorder="1" applyAlignment="1">
      <alignment horizontal="center"/>
    </xf>
    <xf numFmtId="0" fontId="24" fillId="8" borderId="20" xfId="0" applyFont="1" applyFill="1" applyBorder="1" applyAlignment="1">
      <alignment horizontal="left" wrapText="1"/>
    </xf>
    <xf numFmtId="0" fontId="24" fillId="5" borderId="20" xfId="0" applyFont="1" applyFill="1" applyBorder="1" applyAlignment="1">
      <alignment horizontal="left" wrapText="1"/>
    </xf>
    <xf numFmtId="0" fontId="23" fillId="8" borderId="20" xfId="0" applyFont="1" applyFill="1" applyBorder="1" applyAlignment="1">
      <alignment horizontal="left"/>
    </xf>
    <xf numFmtId="0" fontId="23" fillId="8" borderId="21" xfId="0" applyFont="1" applyFill="1" applyBorder="1" applyAlignment="1">
      <alignment horizontal="left"/>
    </xf>
    <xf numFmtId="0" fontId="23" fillId="8" borderId="22" xfId="0" applyFont="1" applyFill="1" applyBorder="1" applyAlignment="1">
      <alignment horizontal="center"/>
    </xf>
    <xf numFmtId="0" fontId="24" fillId="8" borderId="21" xfId="0" applyFont="1" applyFill="1" applyBorder="1" applyAlignment="1">
      <alignment horizontal="left" wrapText="1"/>
    </xf>
    <xf numFmtId="0" fontId="24" fillId="5" borderId="21" xfId="0" applyFont="1" applyFill="1" applyBorder="1" applyAlignment="1">
      <alignment horizontal="left" wrapText="1"/>
    </xf>
    <xf numFmtId="0" fontId="23" fillId="5" borderId="22" xfId="0" applyFont="1" applyFill="1" applyBorder="1" applyAlignment="1">
      <alignment horizontal="center"/>
    </xf>
    <xf numFmtId="0" fontId="23" fillId="8" borderId="43" xfId="0" applyFont="1" applyFill="1" applyBorder="1" applyAlignment="1">
      <alignment horizontal="center"/>
    </xf>
    <xf numFmtId="0" fontId="23" fillId="8" borderId="19" xfId="0" applyFont="1" applyFill="1" applyBorder="1" applyAlignment="1">
      <alignment horizontal="left"/>
    </xf>
    <xf numFmtId="0" fontId="3" fillId="8" borderId="56" xfId="0" applyFont="1" applyFill="1" applyBorder="1" applyAlignment="1">
      <alignment horizontal="center"/>
    </xf>
    <xf numFmtId="0" fontId="3" fillId="8" borderId="56" xfId="0" applyFont="1" applyFill="1" applyBorder="1" applyAlignment="1">
      <alignment horizontal="center" wrapText="1"/>
    </xf>
    <xf numFmtId="0" fontId="41" fillId="0" borderId="0" xfId="0" applyFont="1"/>
    <xf numFmtId="0" fontId="0" fillId="0" borderId="0" xfId="0" applyAlignment="1">
      <alignment wrapText="1"/>
    </xf>
    <xf numFmtId="0" fontId="0" fillId="0" borderId="0" xfId="0" applyBorder="1" applyAlignment="1">
      <alignment horizontal="center"/>
    </xf>
    <xf numFmtId="0" fontId="3" fillId="0" borderId="0" xfId="0" applyFont="1"/>
    <xf numFmtId="2" fontId="38" fillId="0" borderId="0" xfId="0" applyNumberFormat="1" applyFont="1" applyFill="1" applyBorder="1" applyAlignment="1">
      <alignment horizontal="center"/>
    </xf>
    <xf numFmtId="1" fontId="38" fillId="0" borderId="0" xfId="0" applyNumberFormat="1" applyFont="1" applyFill="1" applyBorder="1" applyAlignment="1">
      <alignment horizontal="center"/>
    </xf>
    <xf numFmtId="0" fontId="59" fillId="0" borderId="0" xfId="0" applyFont="1" applyFill="1" applyBorder="1" applyAlignment="1">
      <alignment horizontal="left" wrapText="1"/>
    </xf>
    <xf numFmtId="0" fontId="59" fillId="0" borderId="0" xfId="0" applyFont="1" applyFill="1" applyBorder="1" applyAlignment="1">
      <alignment horizontal="center" wrapText="1"/>
    </xf>
    <xf numFmtId="0" fontId="60" fillId="0" borderId="0" xfId="0" applyFont="1" applyFill="1" applyBorder="1" applyAlignment="1">
      <alignment horizontal="left" wrapText="1"/>
    </xf>
    <xf numFmtId="0" fontId="23" fillId="0" borderId="0" xfId="0" applyFont="1" applyFill="1" applyBorder="1" applyAlignment="1">
      <alignment horizontal="center" textRotation="90"/>
    </xf>
    <xf numFmtId="2" fontId="38" fillId="0" borderId="0" xfId="0" applyNumberFormat="1" applyFont="1" applyFill="1" applyBorder="1" applyAlignment="1">
      <alignment horizontal="left" vertical="center"/>
    </xf>
    <xf numFmtId="0" fontId="57" fillId="5" borderId="18" xfId="9" applyFont="1" applyFill="1" applyBorder="1" applyAlignment="1">
      <alignment horizontal="center" wrapText="1"/>
    </xf>
    <xf numFmtId="0" fontId="3" fillId="5" borderId="5" xfId="0" applyFont="1" applyFill="1" applyBorder="1" applyAlignment="1">
      <alignment horizontal="center" vertical="center" wrapText="1"/>
    </xf>
    <xf numFmtId="0" fontId="0" fillId="5" borderId="5" xfId="0" applyFill="1" applyBorder="1" applyAlignment="1">
      <alignment horizontal="center" vertical="center" wrapText="1"/>
    </xf>
    <xf numFmtId="0" fontId="59" fillId="52" borderId="2" xfId="0" applyFont="1" applyFill="1" applyBorder="1" applyAlignment="1">
      <alignment horizontal="center" wrapText="1"/>
    </xf>
    <xf numFmtId="0" fontId="59" fillId="52" borderId="26" xfId="0" applyFont="1" applyFill="1" applyBorder="1" applyAlignment="1">
      <alignment horizontal="center" wrapText="1"/>
    </xf>
    <xf numFmtId="0" fontId="59" fillId="53" borderId="26" xfId="0" applyFont="1" applyFill="1" applyBorder="1" applyAlignment="1">
      <alignment horizontal="center" wrapText="1"/>
    </xf>
    <xf numFmtId="0" fontId="59" fillId="54" borderId="26" xfId="0" applyFont="1" applyFill="1" applyBorder="1" applyAlignment="1">
      <alignment horizontal="center" wrapText="1"/>
    </xf>
    <xf numFmtId="0" fontId="59" fillId="55" borderId="26" xfId="0" applyFont="1" applyFill="1" applyBorder="1" applyAlignment="1">
      <alignment horizontal="center" wrapText="1"/>
    </xf>
    <xf numFmtId="0" fontId="59" fillId="56" borderId="26" xfId="0" applyFont="1" applyFill="1" applyBorder="1" applyAlignment="1">
      <alignment horizontal="center" wrapText="1"/>
    </xf>
    <xf numFmtId="0" fontId="59" fillId="57" borderId="26" xfId="0" applyFont="1" applyFill="1" applyBorder="1" applyAlignment="1">
      <alignment horizontal="center" wrapText="1"/>
    </xf>
    <xf numFmtId="0" fontId="59" fillId="58" borderId="26" xfId="0" applyFont="1" applyFill="1" applyBorder="1" applyAlignment="1">
      <alignment horizontal="center" wrapText="1"/>
    </xf>
    <xf numFmtId="0" fontId="59" fillId="59" borderId="26" xfId="0" applyFont="1" applyFill="1" applyBorder="1" applyAlignment="1">
      <alignment horizontal="center" wrapText="1"/>
    </xf>
    <xf numFmtId="0" fontId="59" fillId="8" borderId="26" xfId="0" applyFont="1" applyFill="1" applyBorder="1" applyAlignment="1">
      <alignment horizontal="center" wrapText="1"/>
    </xf>
    <xf numFmtId="0" fontId="59" fillId="52" borderId="5" xfId="0" applyFont="1" applyFill="1" applyBorder="1" applyAlignment="1">
      <alignment horizontal="left" wrapText="1"/>
    </xf>
    <xf numFmtId="0" fontId="59" fillId="52" borderId="8" xfId="0" applyFont="1" applyFill="1" applyBorder="1" applyAlignment="1">
      <alignment horizontal="left" wrapText="1"/>
    </xf>
    <xf numFmtId="0" fontId="59" fillId="53" borderId="8" xfId="0" applyFont="1" applyFill="1" applyBorder="1" applyAlignment="1">
      <alignment horizontal="left" wrapText="1"/>
    </xf>
    <xf numFmtId="0" fontId="59" fillId="54" borderId="8" xfId="0" applyFont="1" applyFill="1" applyBorder="1" applyAlignment="1">
      <alignment horizontal="left" wrapText="1"/>
    </xf>
    <xf numFmtId="0" fontId="59" fillId="55" borderId="8" xfId="0" applyFont="1" applyFill="1" applyBorder="1" applyAlignment="1">
      <alignment horizontal="left" wrapText="1"/>
    </xf>
    <xf numFmtId="0" fontId="59" fillId="56" borderId="8" xfId="0" applyFont="1" applyFill="1" applyBorder="1" applyAlignment="1">
      <alignment horizontal="left" wrapText="1"/>
    </xf>
    <xf numFmtId="0" fontId="59" fillId="57" borderId="8" xfId="0" applyFont="1" applyFill="1" applyBorder="1" applyAlignment="1">
      <alignment horizontal="left" wrapText="1"/>
    </xf>
    <xf numFmtId="0" fontId="59" fillId="58" borderId="8" xfId="0" applyFont="1" applyFill="1" applyBorder="1" applyAlignment="1">
      <alignment horizontal="left" wrapText="1"/>
    </xf>
    <xf numFmtId="0" fontId="59" fillId="59" borderId="8" xfId="0" applyFont="1" applyFill="1" applyBorder="1" applyAlignment="1">
      <alignment horizontal="left" wrapText="1"/>
    </xf>
    <xf numFmtId="0" fontId="59" fillId="8" borderId="8" xfId="0" applyFont="1" applyFill="1" applyBorder="1" applyAlignment="1">
      <alignment horizontal="left" wrapText="1"/>
    </xf>
    <xf numFmtId="0" fontId="60" fillId="52" borderId="5" xfId="0" applyFont="1" applyFill="1" applyBorder="1" applyAlignment="1">
      <alignment horizontal="left" wrapText="1"/>
    </xf>
    <xf numFmtId="0" fontId="60" fillId="52" borderId="8" xfId="0" applyFont="1" applyFill="1" applyBorder="1" applyAlignment="1">
      <alignment horizontal="left" wrapText="1"/>
    </xf>
    <xf numFmtId="0" fontId="60" fillId="53" borderId="8" xfId="0" applyFont="1" applyFill="1" applyBorder="1" applyAlignment="1">
      <alignment horizontal="left" wrapText="1"/>
    </xf>
    <xf numFmtId="0" fontId="60" fillId="54" borderId="8" xfId="0" applyFont="1" applyFill="1" applyBorder="1" applyAlignment="1">
      <alignment horizontal="left" wrapText="1"/>
    </xf>
    <xf numFmtId="0" fontId="60" fillId="55" borderId="8" xfId="0" applyFont="1" applyFill="1" applyBorder="1" applyAlignment="1">
      <alignment horizontal="left" wrapText="1"/>
    </xf>
    <xf numFmtId="0" fontId="60" fillId="56" borderId="8" xfId="0" applyFont="1" applyFill="1" applyBorder="1" applyAlignment="1">
      <alignment horizontal="left" wrapText="1"/>
    </xf>
    <xf numFmtId="0" fontId="60" fillId="57" borderId="8" xfId="0" applyFont="1" applyFill="1" applyBorder="1" applyAlignment="1">
      <alignment horizontal="left" wrapText="1"/>
    </xf>
    <xf numFmtId="0" fontId="60" fillId="58" borderId="8" xfId="0" applyFont="1" applyFill="1" applyBorder="1" applyAlignment="1">
      <alignment horizontal="left" wrapText="1"/>
    </xf>
    <xf numFmtId="0" fontId="60" fillId="59" borderId="8" xfId="0" applyFont="1" applyFill="1" applyBorder="1" applyAlignment="1">
      <alignment horizontal="left" wrapText="1"/>
    </xf>
    <xf numFmtId="0" fontId="60" fillId="8" borderId="8" xfId="0" applyFont="1" applyFill="1" applyBorder="1" applyAlignment="1">
      <alignment horizontal="left" wrapText="1"/>
    </xf>
    <xf numFmtId="1" fontId="32" fillId="0" borderId="54" xfId="0" applyNumberFormat="1" applyFont="1" applyFill="1" applyBorder="1" applyAlignment="1">
      <alignment horizontal="center" vertical="center" wrapText="1"/>
    </xf>
    <xf numFmtId="0" fontId="61" fillId="0" borderId="0" xfId="0" applyFont="1"/>
    <xf numFmtId="0" fontId="0" fillId="0" borderId="0" xfId="0" applyAlignment="1">
      <alignment horizontal="center" vertical="center"/>
    </xf>
    <xf numFmtId="0" fontId="1" fillId="0" borderId="55" xfId="0" applyFont="1" applyBorder="1" applyAlignment="1">
      <alignment vertical="center"/>
    </xf>
    <xf numFmtId="0" fontId="58" fillId="60" borderId="72" xfId="0" applyFont="1" applyFill="1" applyBorder="1" applyAlignment="1">
      <alignment horizontal="center" vertical="center"/>
    </xf>
    <xf numFmtId="0" fontId="62" fillId="60" borderId="73" xfId="0" applyFont="1" applyFill="1" applyBorder="1" applyAlignment="1">
      <alignment horizontal="center" vertical="center"/>
    </xf>
    <xf numFmtId="0" fontId="62" fillId="0" borderId="0" xfId="0" applyFont="1"/>
    <xf numFmtId="0" fontId="13" fillId="0" borderId="0" xfId="0" applyFont="1" applyAlignment="1">
      <alignment horizontal="center" vertical="center"/>
    </xf>
    <xf numFmtId="0" fontId="0" fillId="0" borderId="0" xfId="0" applyFont="1"/>
    <xf numFmtId="0" fontId="63" fillId="0" borderId="0" xfId="0" applyFont="1"/>
    <xf numFmtId="0" fontId="13" fillId="0" borderId="0" xfId="0" applyFont="1" applyAlignment="1">
      <alignment horizontal="center"/>
    </xf>
    <xf numFmtId="0" fontId="1" fillId="0" borderId="0" xfId="0" applyFont="1" applyAlignment="1">
      <alignment horizontal="center"/>
    </xf>
    <xf numFmtId="0" fontId="0" fillId="60" borderId="79" xfId="0" applyFill="1" applyBorder="1" applyAlignment="1">
      <alignment horizontal="center"/>
    </xf>
    <xf numFmtId="0" fontId="41" fillId="0" borderId="0" xfId="0" applyFont="1" applyBorder="1" applyAlignment="1">
      <alignment horizontal="center"/>
    </xf>
    <xf numFmtId="0" fontId="23" fillId="0" borderId="5" xfId="0" applyFont="1" applyBorder="1" applyAlignment="1">
      <alignment horizontal="center"/>
    </xf>
    <xf numFmtId="0" fontId="23" fillId="0" borderId="6" xfId="0" applyFont="1" applyBorder="1" applyAlignment="1">
      <alignment horizontal="center"/>
    </xf>
    <xf numFmtId="0" fontId="23" fillId="0" borderId="26" xfId="0" applyFont="1" applyBorder="1" applyAlignment="1">
      <alignment horizontal="center"/>
    </xf>
    <xf numFmtId="0" fontId="23" fillId="0" borderId="4" xfId="0" applyFont="1" applyBorder="1" applyAlignment="1">
      <alignment horizontal="center"/>
    </xf>
    <xf numFmtId="0" fontId="23" fillId="5" borderId="1" xfId="0" applyFont="1" applyFill="1" applyBorder="1" applyAlignment="1">
      <alignment horizontal="left" wrapText="1"/>
    </xf>
    <xf numFmtId="0" fontId="23" fillId="5" borderId="18" xfId="0" applyFont="1" applyFill="1" applyBorder="1" applyAlignment="1">
      <alignment horizontal="left" wrapText="1"/>
    </xf>
    <xf numFmtId="0" fontId="23" fillId="5" borderId="3" xfId="0" applyFont="1" applyFill="1" applyBorder="1" applyAlignment="1">
      <alignment horizontal="left" wrapText="1"/>
    </xf>
    <xf numFmtId="8" fontId="0" fillId="0" borderId="0" xfId="0" applyNumberFormat="1" applyAlignment="1">
      <alignment horizontal="center"/>
    </xf>
    <xf numFmtId="3" fontId="25" fillId="0" borderId="0" xfId="0" applyNumberFormat="1" applyFont="1"/>
    <xf numFmtId="8" fontId="0" fillId="0" borderId="0" xfId="0" applyNumberFormat="1"/>
    <xf numFmtId="2" fontId="32" fillId="0" borderId="14" xfId="0" applyNumberFormat="1" applyFont="1" applyFill="1" applyBorder="1" applyAlignment="1">
      <alignment horizontal="center" vertical="center" wrapText="1"/>
    </xf>
    <xf numFmtId="166" fontId="31" fillId="0" borderId="0" xfId="0" applyNumberFormat="1" applyFont="1" applyFill="1" applyBorder="1" applyAlignment="1">
      <alignment horizontal="center" vertical="center" wrapText="1"/>
    </xf>
    <xf numFmtId="166" fontId="0" fillId="0" borderId="0" xfId="0" applyNumberFormat="1"/>
    <xf numFmtId="2" fontId="3" fillId="0" borderId="0" xfId="52" applyNumberFormat="1" applyFont="1" applyBorder="1" applyAlignment="1">
      <alignment horizontal="center"/>
    </xf>
    <xf numFmtId="166" fontId="0" fillId="0" borderId="0" xfId="0" applyNumberFormat="1" applyBorder="1" applyAlignment="1">
      <alignment horizontal="center" vertical="center"/>
    </xf>
    <xf numFmtId="166" fontId="0" fillId="0" borderId="0" xfId="0" applyNumberFormat="1" applyAlignment="1">
      <alignment horizontal="center"/>
    </xf>
    <xf numFmtId="0" fontId="0" fillId="0" borderId="0" xfId="0" applyFont="1" applyFill="1" applyBorder="1" applyAlignment="1"/>
    <xf numFmtId="0" fontId="65" fillId="0" borderId="0" xfId="0" applyFont="1" applyFill="1" applyBorder="1" applyAlignment="1">
      <alignment horizontal="left" wrapText="1"/>
    </xf>
    <xf numFmtId="0" fontId="65" fillId="0" borderId="0" xfId="0" applyFont="1" applyFill="1" applyBorder="1" applyAlignment="1">
      <alignment horizontal="center" wrapText="1"/>
    </xf>
    <xf numFmtId="0" fontId="0" fillId="0" borderId="0" xfId="0" applyFont="1" applyFill="1" applyBorder="1" applyAlignment="1">
      <alignment horizontal="center" textRotation="90"/>
    </xf>
    <xf numFmtId="1" fontId="32" fillId="0" borderId="68" xfId="0" applyNumberFormat="1" applyFont="1" applyFill="1" applyBorder="1" applyAlignment="1">
      <alignment horizontal="center" vertical="center" wrapText="1"/>
    </xf>
    <xf numFmtId="0" fontId="32" fillId="0" borderId="19" xfId="0" applyFont="1" applyFill="1" applyBorder="1" applyAlignment="1">
      <alignment horizontal="center" vertical="center" wrapText="1"/>
    </xf>
    <xf numFmtId="2" fontId="0" fillId="0" borderId="57" xfId="0" applyNumberFormat="1" applyFill="1" applyBorder="1" applyAlignment="1">
      <alignment horizontal="center" vertical="center"/>
    </xf>
    <xf numFmtId="0" fontId="56" fillId="5" borderId="57" xfId="9" applyFont="1" applyFill="1" applyBorder="1" applyAlignment="1">
      <alignment wrapText="1"/>
    </xf>
    <xf numFmtId="1" fontId="32" fillId="0" borderId="57" xfId="0" applyNumberFormat="1" applyFont="1" applyFill="1" applyBorder="1" applyAlignment="1">
      <alignment horizontal="center" vertical="center" wrapText="1"/>
    </xf>
    <xf numFmtId="2" fontId="38" fillId="0" borderId="16" xfId="0" applyNumberFormat="1" applyFont="1" applyFill="1" applyBorder="1" applyAlignment="1">
      <alignment horizontal="left" vertical="center"/>
    </xf>
    <xf numFmtId="0" fontId="57" fillId="0" borderId="54" xfId="84" applyFont="1" applyFill="1" applyBorder="1" applyAlignment="1">
      <alignment wrapText="1"/>
    </xf>
    <xf numFmtId="0" fontId="62" fillId="0" borderId="67" xfId="0" applyFont="1" applyFill="1" applyBorder="1" applyAlignment="1">
      <alignment horizontal="center" vertical="center" wrapText="1"/>
    </xf>
    <xf numFmtId="0" fontId="24" fillId="0" borderId="20" xfId="0" applyFont="1" applyFill="1" applyBorder="1" applyAlignment="1">
      <alignment horizontal="left" wrapText="1"/>
    </xf>
    <xf numFmtId="0" fontId="23" fillId="0" borderId="54" xfId="0" applyFont="1" applyFill="1" applyBorder="1" applyAlignment="1">
      <alignment horizontal="center"/>
    </xf>
    <xf numFmtId="0" fontId="24" fillId="0" borderId="0" xfId="0" applyFont="1"/>
    <xf numFmtId="2" fontId="4" fillId="10" borderId="5" xfId="0" applyNumberFormat="1" applyFont="1" applyFill="1" applyBorder="1" applyAlignment="1">
      <alignment horizontal="center" vertical="center" wrapText="1"/>
    </xf>
    <xf numFmtId="0" fontId="23" fillId="8" borderId="69" xfId="0" applyFont="1" applyFill="1" applyBorder="1" applyAlignment="1">
      <alignment horizontal="center"/>
    </xf>
    <xf numFmtId="0" fontId="0" fillId="0" borderId="0" xfId="0" applyBorder="1" applyAlignment="1">
      <alignment horizontal="center" vertical="center"/>
    </xf>
    <xf numFmtId="167" fontId="23" fillId="0" borderId="0" xfId="0" applyNumberFormat="1" applyFont="1" applyFill="1" applyBorder="1" applyAlignment="1">
      <alignment horizontal="center" vertical="center"/>
    </xf>
    <xf numFmtId="0" fontId="12" fillId="0" borderId="0" xfId="0" applyFont="1" applyAlignment="1">
      <alignment horizontal="center" vertical="center"/>
    </xf>
    <xf numFmtId="0" fontId="23" fillId="0" borderId="0" xfId="0" applyFont="1" applyFill="1" applyBorder="1" applyAlignment="1">
      <alignment horizontal="center" vertical="center"/>
    </xf>
    <xf numFmtId="1" fontId="2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167" fontId="12" fillId="0" borderId="0" xfId="0" applyNumberFormat="1" applyFont="1" applyFill="1" applyBorder="1" applyAlignment="1">
      <alignment horizontal="center" vertical="center"/>
    </xf>
    <xf numFmtId="0" fontId="12" fillId="0" borderId="0" xfId="0" applyFont="1" applyAlignment="1">
      <alignment horizontal="center" vertical="center" wrapText="1"/>
    </xf>
    <xf numFmtId="167" fontId="12" fillId="0" borderId="0" xfId="0" applyNumberFormat="1" applyFont="1" applyAlignment="1">
      <alignment horizontal="center" vertical="center" wrapText="1"/>
    </xf>
    <xf numFmtId="0" fontId="41" fillId="0" borderId="0" xfId="0" applyFont="1" applyFill="1" applyBorder="1" applyAlignment="1">
      <alignment horizontal="center" vertical="center"/>
    </xf>
    <xf numFmtId="0" fontId="0" fillId="0" borderId="0" xfId="0" applyFill="1" applyBorder="1" applyAlignment="1">
      <alignment horizontal="center" vertical="center"/>
    </xf>
    <xf numFmtId="0" fontId="23" fillId="5" borderId="26" xfId="0" applyFont="1" applyFill="1" applyBorder="1" applyAlignment="1">
      <alignment horizontal="left"/>
    </xf>
    <xf numFmtId="0" fontId="23" fillId="5" borderId="11" xfId="0" applyFont="1" applyFill="1" applyBorder="1" applyAlignment="1">
      <alignment horizontal="left"/>
    </xf>
    <xf numFmtId="0" fontId="23" fillId="0" borderId="11" xfId="0" applyFont="1" applyFill="1" applyBorder="1" applyAlignment="1">
      <alignment horizontal="center"/>
    </xf>
    <xf numFmtId="0" fontId="23" fillId="5" borderId="12" xfId="0" applyFont="1" applyFill="1" applyBorder="1" applyAlignment="1">
      <alignment horizontal="left" wrapText="1"/>
    </xf>
    <xf numFmtId="0" fontId="31" fillId="0" borderId="9" xfId="0" applyFont="1" applyBorder="1" applyAlignment="1">
      <alignment vertical="top" wrapText="1"/>
    </xf>
    <xf numFmtId="0" fontId="39" fillId="0" borderId="11" xfId="0" applyFont="1" applyBorder="1" applyAlignment="1">
      <alignment horizontal="center" vertical="top"/>
    </xf>
    <xf numFmtId="0" fontId="39" fillId="0" borderId="10" xfId="0" applyFont="1" applyBorder="1" applyAlignment="1">
      <alignment vertical="top"/>
    </xf>
    <xf numFmtId="0" fontId="38" fillId="0" borderId="3" xfId="0" applyFont="1" applyBorder="1" applyAlignment="1">
      <alignment vertical="top" wrapText="1"/>
    </xf>
    <xf numFmtId="0" fontId="68" fillId="0" borderId="0" xfId="0" applyFont="1"/>
    <xf numFmtId="0" fontId="23" fillId="0" borderId="25" xfId="0" applyFont="1" applyBorder="1" applyAlignment="1">
      <alignment vertical="top"/>
    </xf>
    <xf numFmtId="0" fontId="23" fillId="0" borderId="2" xfId="0" applyFont="1" applyBorder="1" applyAlignment="1">
      <alignment horizontal="center" vertical="top"/>
    </xf>
    <xf numFmtId="0" fontId="23" fillId="0" borderId="3" xfId="0" applyFont="1" applyBorder="1"/>
    <xf numFmtId="0" fontId="23" fillId="0" borderId="27" xfId="0" applyFont="1" applyBorder="1" applyAlignment="1">
      <alignment vertical="top" wrapText="1"/>
    </xf>
    <xf numFmtId="0" fontId="23" fillId="0" borderId="27" xfId="0" applyFont="1" applyBorder="1" applyAlignment="1">
      <alignment vertical="top"/>
    </xf>
    <xf numFmtId="0" fontId="23" fillId="0" borderId="4" xfId="0" applyFont="1" applyBorder="1" applyAlignment="1">
      <alignment horizontal="center" vertical="top"/>
    </xf>
    <xf numFmtId="0" fontId="0" fillId="0" borderId="0" xfId="0" applyAlignment="1">
      <alignment vertical="top"/>
    </xf>
    <xf numFmtId="0" fontId="23" fillId="0" borderId="26" xfId="0" applyFont="1" applyBorder="1" applyAlignment="1">
      <alignment horizontal="center" vertical="top"/>
    </xf>
    <xf numFmtId="0" fontId="23" fillId="0" borderId="18" xfId="0" applyFont="1" applyBorder="1"/>
    <xf numFmtId="0" fontId="23" fillId="0" borderId="0" xfId="0" applyFont="1" applyAlignment="1">
      <alignment vertical="top" wrapText="1"/>
    </xf>
    <xf numFmtId="0" fontId="23" fillId="0" borderId="0" xfId="0" applyFont="1" applyAlignment="1">
      <alignment vertical="top"/>
    </xf>
    <xf numFmtId="0" fontId="22" fillId="0" borderId="0" xfId="0" applyFont="1" applyFill="1" applyBorder="1" applyAlignment="1">
      <alignment wrapText="1"/>
    </xf>
    <xf numFmtId="0" fontId="23" fillId="0" borderId="0" xfId="0" applyFont="1" applyFill="1" applyBorder="1" applyAlignment="1">
      <alignment horizontal="center" wrapText="1"/>
    </xf>
    <xf numFmtId="6" fontId="23" fillId="0" borderId="0" xfId="0" applyNumberFormat="1" applyFont="1" applyBorder="1" applyAlignment="1">
      <alignment horizontal="center"/>
    </xf>
    <xf numFmtId="8" fontId="23" fillId="0" borderId="0" xfId="0" applyNumberFormat="1" applyFont="1" applyFill="1" applyBorder="1" applyAlignment="1">
      <alignment horizontal="center" wrapText="1"/>
    </xf>
    <xf numFmtId="0" fontId="23" fillId="0" borderId="0" xfId="0" applyFont="1" applyFill="1" applyBorder="1" applyAlignment="1">
      <alignment wrapText="1"/>
    </xf>
    <xf numFmtId="3" fontId="23" fillId="0" borderId="0" xfId="0" applyNumberFormat="1" applyFont="1" applyFill="1" applyBorder="1" applyAlignment="1">
      <alignment horizontal="center" wrapText="1"/>
    </xf>
    <xf numFmtId="3" fontId="0" fillId="0" borderId="0" xfId="0" applyNumberFormat="1" applyAlignment="1">
      <alignment horizontal="center"/>
    </xf>
    <xf numFmtId="0" fontId="38" fillId="0" borderId="0" xfId="0" applyFont="1" applyAlignment="1">
      <alignment wrapText="1"/>
    </xf>
    <xf numFmtId="167" fontId="0" fillId="0" borderId="0" xfId="0" applyNumberFormat="1" applyAlignment="1">
      <alignment horizontal="center"/>
    </xf>
    <xf numFmtId="0" fontId="69" fillId="0" borderId="0" xfId="0" applyFont="1"/>
    <xf numFmtId="0" fontId="0" fillId="0" borderId="0" xfId="0" applyAlignment="1">
      <alignment wrapText="1"/>
    </xf>
    <xf numFmtId="0" fontId="31" fillId="0" borderId="79" xfId="0" applyFont="1" applyBorder="1" applyAlignment="1">
      <alignment horizontal="left" vertical="top" wrapText="1"/>
    </xf>
    <xf numFmtId="49" fontId="31" fillId="0" borderId="12" xfId="1" applyNumberFormat="1" applyFont="1" applyBorder="1" applyAlignment="1">
      <alignment horizontal="center" vertical="center" textRotation="90" wrapText="1"/>
    </xf>
    <xf numFmtId="49" fontId="38" fillId="0" borderId="8" xfId="0" applyNumberFormat="1" applyFont="1" applyBorder="1" applyAlignment="1">
      <alignment horizontal="center" wrapText="1"/>
    </xf>
    <xf numFmtId="49" fontId="38" fillId="0" borderId="12" xfId="0" applyNumberFormat="1" applyFont="1" applyBorder="1" applyAlignment="1">
      <alignment horizontal="center" wrapText="1"/>
    </xf>
    <xf numFmtId="0" fontId="34" fillId="3" borderId="9" xfId="1" applyFont="1" applyFill="1" applyBorder="1" applyAlignment="1">
      <alignment horizontal="left" vertical="center"/>
    </xf>
    <xf numFmtId="0" fontId="35" fillId="10" borderId="48" xfId="9" applyFont="1" applyFill="1" applyBorder="1" applyAlignment="1">
      <alignment horizontal="left"/>
    </xf>
    <xf numFmtId="0" fontId="35" fillId="10" borderId="16" xfId="9" applyFont="1" applyFill="1" applyBorder="1" applyAlignment="1">
      <alignment horizontal="left"/>
    </xf>
    <xf numFmtId="0" fontId="0" fillId="5" borderId="5" xfId="0" applyFill="1" applyBorder="1" applyAlignment="1">
      <alignment horizontal="center" vertical="center" textRotation="90"/>
    </xf>
    <xf numFmtId="0" fontId="0" fillId="5" borderId="6" xfId="0" applyFill="1" applyBorder="1" applyAlignment="1">
      <alignment horizontal="center" vertical="center" textRotation="90"/>
    </xf>
    <xf numFmtId="0" fontId="56" fillId="10" borderId="18" xfId="9" applyFont="1" applyFill="1" applyBorder="1" applyAlignment="1">
      <alignment horizontal="center" vertical="center" wrapText="1"/>
    </xf>
    <xf numFmtId="0" fontId="56" fillId="10" borderId="87" xfId="9" applyFont="1" applyFill="1" applyBorder="1" applyAlignment="1">
      <alignment horizontal="center" vertical="center" wrapText="1"/>
    </xf>
    <xf numFmtId="0" fontId="3" fillId="11" borderId="8" xfId="0" applyFont="1" applyFill="1" applyBorder="1" applyAlignment="1">
      <alignment horizontal="center" vertical="center" wrapText="1"/>
    </xf>
    <xf numFmtId="0" fontId="56" fillId="10" borderId="88" xfId="9" applyFont="1" applyFill="1" applyBorder="1" applyAlignment="1">
      <alignment horizontal="center" vertical="center" wrapText="1"/>
    </xf>
    <xf numFmtId="0" fontId="56" fillId="10" borderId="8" xfId="9" applyFont="1" applyFill="1" applyBorder="1" applyAlignment="1">
      <alignment horizontal="center" vertical="center" wrapText="1"/>
    </xf>
    <xf numFmtId="0" fontId="57" fillId="49" borderId="1" xfId="9" applyFont="1" applyFill="1" applyBorder="1" applyAlignment="1">
      <alignment wrapText="1"/>
    </xf>
    <xf numFmtId="0" fontId="57" fillId="49" borderId="25" xfId="9" applyFont="1" applyFill="1" applyBorder="1" applyAlignment="1">
      <alignment horizontal="center" wrapText="1"/>
    </xf>
    <xf numFmtId="0" fontId="57" fillId="49" borderId="2" xfId="9" applyFont="1" applyFill="1" applyBorder="1" applyAlignment="1">
      <alignment wrapText="1"/>
    </xf>
    <xf numFmtId="0" fontId="57" fillId="49" borderId="18" xfId="9" applyFont="1" applyFill="1" applyBorder="1" applyAlignment="1">
      <alignment wrapText="1"/>
    </xf>
    <xf numFmtId="0" fontId="57" fillId="49" borderId="26" xfId="9" applyFont="1" applyFill="1" applyBorder="1" applyAlignment="1">
      <alignment wrapText="1"/>
    </xf>
    <xf numFmtId="0" fontId="57" fillId="62" borderId="18" xfId="9" applyFont="1" applyFill="1" applyBorder="1" applyAlignment="1">
      <alignment wrapText="1"/>
    </xf>
    <xf numFmtId="0" fontId="57" fillId="62" borderId="26" xfId="9" applyFont="1" applyFill="1" applyBorder="1" applyAlignment="1">
      <alignment wrapText="1"/>
    </xf>
    <xf numFmtId="0" fontId="57" fillId="63" borderId="18" xfId="9" applyFont="1" applyFill="1" applyBorder="1" applyAlignment="1">
      <alignment wrapText="1"/>
    </xf>
    <xf numFmtId="0" fontId="57" fillId="63" borderId="0" xfId="9" applyFont="1" applyFill="1" applyBorder="1" applyAlignment="1">
      <alignment horizontal="center" wrapText="1"/>
    </xf>
    <xf numFmtId="0" fontId="57" fillId="63" borderId="26" xfId="9" applyFont="1" applyFill="1" applyBorder="1" applyAlignment="1">
      <alignment wrapText="1"/>
    </xf>
    <xf numFmtId="0" fontId="57" fillId="64" borderId="18" xfId="9" applyFont="1" applyFill="1" applyBorder="1" applyAlignment="1">
      <alignment wrapText="1"/>
    </xf>
    <xf numFmtId="0" fontId="57" fillId="64" borderId="0" xfId="9" applyFont="1" applyFill="1" applyBorder="1" applyAlignment="1">
      <alignment horizontal="center" wrapText="1"/>
    </xf>
    <xf numFmtId="0" fontId="57" fillId="64" borderId="26" xfId="9" applyFont="1" applyFill="1" applyBorder="1" applyAlignment="1">
      <alignment wrapText="1"/>
    </xf>
    <xf numFmtId="0" fontId="57" fillId="65" borderId="18" xfId="9" applyFont="1" applyFill="1" applyBorder="1" applyAlignment="1">
      <alignment wrapText="1"/>
    </xf>
    <xf numFmtId="0" fontId="57" fillId="65" borderId="0" xfId="9" applyFont="1" applyFill="1" applyBorder="1" applyAlignment="1">
      <alignment horizontal="center" wrapText="1"/>
    </xf>
    <xf numFmtId="0" fontId="57" fillId="65" borderId="26" xfId="9" applyFont="1" applyFill="1" applyBorder="1" applyAlignment="1">
      <alignment wrapText="1"/>
    </xf>
    <xf numFmtId="0" fontId="57" fillId="66" borderId="18" xfId="9" applyFont="1" applyFill="1" applyBorder="1" applyAlignment="1">
      <alignment wrapText="1"/>
    </xf>
    <xf numFmtId="0" fontId="57" fillId="66" borderId="0" xfId="9" applyFont="1" applyFill="1" applyBorder="1" applyAlignment="1">
      <alignment horizontal="center" wrapText="1"/>
    </xf>
    <xf numFmtId="0" fontId="57" fillId="66" borderId="26" xfId="9" applyFont="1" applyFill="1" applyBorder="1" applyAlignment="1">
      <alignment wrapText="1"/>
    </xf>
    <xf numFmtId="0" fontId="57" fillId="67" borderId="18" xfId="9" applyFont="1" applyFill="1" applyBorder="1" applyAlignment="1">
      <alignment wrapText="1"/>
    </xf>
    <xf numFmtId="0" fontId="57" fillId="67" borderId="0" xfId="9" applyFont="1" applyFill="1" applyBorder="1" applyAlignment="1">
      <alignment horizontal="center" wrapText="1"/>
    </xf>
    <xf numFmtId="0" fontId="57" fillId="67" borderId="26" xfId="9" applyFont="1" applyFill="1" applyBorder="1" applyAlignment="1">
      <alignment wrapText="1"/>
    </xf>
    <xf numFmtId="0" fontId="57" fillId="68" borderId="18" xfId="9" applyFont="1" applyFill="1" applyBorder="1" applyAlignment="1">
      <alignment wrapText="1"/>
    </xf>
    <xf numFmtId="0" fontId="57" fillId="68" borderId="0" xfId="9" applyFont="1" applyFill="1" applyBorder="1" applyAlignment="1">
      <alignment horizontal="center" wrapText="1"/>
    </xf>
    <xf numFmtId="0" fontId="57" fillId="68" borderId="26" xfId="9" applyFont="1" applyFill="1" applyBorder="1" applyAlignment="1">
      <alignment wrapText="1"/>
    </xf>
    <xf numFmtId="0" fontId="57" fillId="5" borderId="1" xfId="9" applyFont="1" applyFill="1" applyBorder="1" applyAlignment="1">
      <alignment wrapText="1"/>
    </xf>
    <xf numFmtId="0" fontId="57" fillId="5" borderId="25" xfId="9" applyFont="1" applyFill="1" applyBorder="1" applyAlignment="1">
      <alignment horizontal="center" wrapText="1"/>
    </xf>
    <xf numFmtId="0" fontId="57" fillId="5" borderId="2" xfId="9" applyFont="1" applyFill="1" applyBorder="1" applyAlignment="1">
      <alignment wrapText="1"/>
    </xf>
    <xf numFmtId="0" fontId="57" fillId="5" borderId="18" xfId="9" applyFont="1" applyFill="1" applyBorder="1" applyAlignment="1">
      <alignment wrapText="1"/>
    </xf>
    <xf numFmtId="0" fontId="57" fillId="5" borderId="26" xfId="9" applyFont="1" applyFill="1" applyBorder="1" applyAlignment="1">
      <alignment wrapText="1"/>
    </xf>
    <xf numFmtId="0" fontId="57" fillId="5" borderId="18" xfId="9" applyFont="1" applyFill="1" applyBorder="1" applyAlignment="1">
      <alignment horizontal="left" wrapText="1"/>
    </xf>
    <xf numFmtId="0" fontId="57" fillId="5" borderId="3" xfId="9" applyFont="1" applyFill="1" applyBorder="1" applyAlignment="1">
      <alignment wrapText="1"/>
    </xf>
    <xf numFmtId="0" fontId="57" fillId="5" borderId="27" xfId="9" applyFont="1" applyFill="1" applyBorder="1" applyAlignment="1">
      <alignment horizontal="center" wrapText="1"/>
    </xf>
    <xf numFmtId="0" fontId="57" fillId="5" borderId="27" xfId="9" applyFont="1" applyFill="1" applyBorder="1" applyAlignment="1">
      <alignment wrapText="1"/>
    </xf>
    <xf numFmtId="0" fontId="0" fillId="5" borderId="3" xfId="0" applyFill="1" applyBorder="1" applyAlignment="1">
      <alignment horizontal="center" vertical="center" textRotation="90" wrapText="1"/>
    </xf>
    <xf numFmtId="0" fontId="33" fillId="0" borderId="0" xfId="0" applyFont="1" applyBorder="1" applyAlignment="1"/>
    <xf numFmtId="0" fontId="3" fillId="0" borderId="0" xfId="0" applyFont="1" applyFill="1" applyBorder="1"/>
    <xf numFmtId="0" fontId="57" fillId="0" borderId="0" xfId="9" applyNumberFormat="1" applyFont="1" applyFill="1" applyBorder="1" applyAlignment="1">
      <alignment horizontal="center" wrapText="1"/>
    </xf>
    <xf numFmtId="0" fontId="57" fillId="49" borderId="26" xfId="9" applyFont="1" applyFill="1" applyBorder="1" applyAlignment="1">
      <alignment horizontal="left" wrapText="1"/>
    </xf>
    <xf numFmtId="0" fontId="57" fillId="69" borderId="18" xfId="9" applyFont="1" applyFill="1" applyBorder="1" applyAlignment="1">
      <alignment wrapText="1"/>
    </xf>
    <xf numFmtId="0" fontId="57" fillId="69" borderId="0" xfId="9" applyFont="1" applyFill="1" applyBorder="1" applyAlignment="1">
      <alignment horizontal="center" wrapText="1"/>
    </xf>
    <xf numFmtId="0" fontId="57" fillId="69" borderId="26" xfId="9" applyFont="1" applyFill="1" applyBorder="1" applyAlignment="1">
      <alignment wrapText="1"/>
    </xf>
    <xf numFmtId="0" fontId="57" fillId="69" borderId="26" xfId="85" applyFont="1" applyFill="1" applyBorder="1" applyAlignment="1">
      <alignment wrapText="1"/>
    </xf>
    <xf numFmtId="0" fontId="57" fillId="65" borderId="26" xfId="85" applyFont="1" applyFill="1" applyBorder="1" applyAlignment="1">
      <alignment wrapText="1"/>
    </xf>
    <xf numFmtId="0" fontId="57" fillId="67" borderId="26" xfId="85" applyFont="1" applyFill="1" applyBorder="1" applyAlignment="1">
      <alignment wrapText="1"/>
    </xf>
    <xf numFmtId="0" fontId="57" fillId="49" borderId="0" xfId="9" applyNumberFormat="1" applyFont="1" applyFill="1" applyBorder="1" applyAlignment="1">
      <alignment horizontal="center" wrapText="1"/>
    </xf>
    <xf numFmtId="0" fontId="57" fillId="62" borderId="0" xfId="9" applyNumberFormat="1" applyFont="1" applyFill="1" applyBorder="1" applyAlignment="1">
      <alignment horizontal="center" wrapText="1"/>
    </xf>
    <xf numFmtId="0" fontId="57" fillId="5" borderId="18" xfId="9" applyNumberFormat="1" applyFont="1" applyFill="1" applyBorder="1" applyAlignment="1">
      <alignment horizontal="center" wrapText="1"/>
    </xf>
    <xf numFmtId="0" fontId="57" fillId="5" borderId="3" xfId="9" applyNumberFormat="1" applyFont="1" applyFill="1" applyBorder="1" applyAlignment="1">
      <alignment horizontal="center" wrapText="1"/>
    </xf>
    <xf numFmtId="0" fontId="56" fillId="5" borderId="18" xfId="9" applyFont="1" applyFill="1" applyBorder="1" applyAlignment="1">
      <alignment horizontal="left" wrapText="1"/>
    </xf>
    <xf numFmtId="0" fontId="41" fillId="0" borderId="0" xfId="0" applyFont="1" applyAlignment="1">
      <alignment wrapText="1"/>
    </xf>
    <xf numFmtId="0" fontId="0" fillId="5" borderId="12" xfId="0" applyFill="1" applyBorder="1" applyAlignment="1">
      <alignment horizontal="center" vertical="center" textRotation="90"/>
    </xf>
    <xf numFmtId="0" fontId="71" fillId="0" borderId="0" xfId="0" applyFont="1" applyAlignment="1">
      <alignment horizontal="left"/>
    </xf>
    <xf numFmtId="2" fontId="12" fillId="0" borderId="0" xfId="0" applyNumberFormat="1" applyFont="1" applyFill="1" applyAlignment="1">
      <alignment horizontal="center" vertical="center"/>
    </xf>
    <xf numFmtId="0" fontId="57" fillId="5" borderId="50" xfId="9" applyFont="1" applyFill="1" applyBorder="1" applyAlignment="1">
      <alignment horizontal="center" wrapText="1"/>
    </xf>
    <xf numFmtId="0" fontId="23" fillId="0" borderId="0" xfId="0" applyFont="1" applyFill="1" applyAlignment="1">
      <alignment horizontal="center"/>
    </xf>
    <xf numFmtId="0" fontId="23" fillId="0" borderId="0" xfId="0" applyFont="1" applyBorder="1" applyAlignment="1">
      <alignment horizontal="center"/>
    </xf>
    <xf numFmtId="0" fontId="23" fillId="0" borderId="0" xfId="0" applyFont="1" applyAlignment="1">
      <alignment horizontal="center"/>
    </xf>
    <xf numFmtId="0" fontId="0" fillId="0" borderId="27" xfId="0" applyBorder="1"/>
    <xf numFmtId="0" fontId="23" fillId="8" borderId="9" xfId="0" applyFont="1" applyFill="1" applyBorder="1" applyAlignment="1">
      <alignment horizontal="center" textRotation="90"/>
    </xf>
    <xf numFmtId="0" fontId="23" fillId="8" borderId="56" xfId="0" applyFont="1" applyFill="1" applyBorder="1" applyAlignment="1">
      <alignment horizontal="center"/>
    </xf>
    <xf numFmtId="167" fontId="0" fillId="5" borderId="0" xfId="0" applyNumberFormat="1" applyFill="1" applyBorder="1" applyAlignment="1">
      <alignment horizontal="center"/>
    </xf>
    <xf numFmtId="167" fontId="0" fillId="0" borderId="26" xfId="0" applyNumberFormat="1" applyBorder="1" applyAlignment="1">
      <alignment horizontal="center"/>
    </xf>
    <xf numFmtId="167" fontId="0" fillId="0" borderId="4" xfId="0" applyNumberFormat="1" applyBorder="1" applyAlignment="1">
      <alignment horizontal="center"/>
    </xf>
    <xf numFmtId="0" fontId="34" fillId="3" borderId="0" xfId="0" applyFont="1" applyFill="1" applyBorder="1" applyAlignment="1">
      <alignment horizontal="center" vertical="center"/>
    </xf>
    <xf numFmtId="0" fontId="57" fillId="70" borderId="8" xfId="9" applyFont="1" applyFill="1" applyBorder="1" applyAlignment="1">
      <alignment wrapText="1"/>
    </xf>
    <xf numFmtId="0" fontId="2" fillId="3" borderId="9" xfId="1" applyFont="1" applyFill="1" applyBorder="1" applyAlignment="1">
      <alignment vertical="center"/>
    </xf>
    <xf numFmtId="0" fontId="2" fillId="11" borderId="1" xfId="0" applyFont="1" applyFill="1" applyBorder="1" applyAlignment="1">
      <alignment horizontal="center" vertical="center"/>
    </xf>
    <xf numFmtId="0" fontId="64" fillId="10" borderId="2" xfId="9" applyFont="1" applyFill="1" applyBorder="1" applyAlignment="1">
      <alignment horizontal="center" vertical="center" wrapText="1"/>
    </xf>
    <xf numFmtId="0" fontId="64" fillId="10" borderId="5" xfId="9" applyFont="1" applyFill="1" applyBorder="1" applyAlignment="1">
      <alignment horizontal="center" vertical="center"/>
    </xf>
    <xf numFmtId="0" fontId="1" fillId="5" borderId="0" xfId="0" applyFont="1" applyFill="1" applyAlignment="1">
      <alignment horizontal="center" vertical="center"/>
    </xf>
    <xf numFmtId="0" fontId="1" fillId="0" borderId="0" xfId="0" applyFont="1" applyAlignment="1">
      <alignment horizontal="center" vertical="center"/>
    </xf>
    <xf numFmtId="0" fontId="64" fillId="10" borderId="77" xfId="9" applyFont="1" applyFill="1" applyBorder="1" applyAlignment="1">
      <alignment horizontal="center" vertical="center" wrapText="1"/>
    </xf>
    <xf numFmtId="0" fontId="2" fillId="11" borderId="5" xfId="0" applyFont="1" applyFill="1" applyBorder="1" applyAlignment="1">
      <alignment horizontal="center" vertical="center" wrapText="1"/>
    </xf>
    <xf numFmtId="0" fontId="1" fillId="0" borderId="0" xfId="0" applyFont="1" applyAlignment="1">
      <alignment horizontal="center" vertical="center" wrapText="1"/>
    </xf>
    <xf numFmtId="0" fontId="72" fillId="7" borderId="27" xfId="0" applyFont="1" applyFill="1" applyBorder="1" applyAlignment="1">
      <alignment horizontal="center" vertical="center" wrapText="1"/>
    </xf>
    <xf numFmtId="0" fontId="72" fillId="7" borderId="91" xfId="0" applyFont="1" applyFill="1" applyBorder="1" applyAlignment="1">
      <alignment horizontal="center" vertical="center" wrapText="1"/>
    </xf>
    <xf numFmtId="0" fontId="72" fillId="0" borderId="0" xfId="0" applyFont="1" applyAlignment="1">
      <alignment horizontal="center" vertical="center"/>
    </xf>
    <xf numFmtId="0" fontId="57" fillId="5" borderId="26" xfId="9" applyFont="1" applyFill="1" applyBorder="1" applyAlignment="1">
      <alignment horizontal="center" wrapText="1"/>
    </xf>
    <xf numFmtId="0" fontId="57" fillId="5" borderId="4" xfId="9" applyFont="1" applyFill="1" applyBorder="1" applyAlignment="1">
      <alignment horizontal="center" wrapText="1"/>
    </xf>
    <xf numFmtId="0" fontId="24" fillId="0" borderId="27" xfId="0" applyFont="1" applyBorder="1" applyAlignment="1">
      <alignment horizontal="left" wrapText="1"/>
    </xf>
    <xf numFmtId="0" fontId="0" fillId="0" borderId="18" xfId="0" applyBorder="1"/>
    <xf numFmtId="0" fontId="4" fillId="0" borderId="0" xfId="0" applyFont="1" applyFill="1" applyBorder="1" applyAlignment="1">
      <alignment horizontal="center" vertical="center" wrapText="1"/>
    </xf>
    <xf numFmtId="0" fontId="23" fillId="8" borderId="92" xfId="0" applyFont="1" applyFill="1" applyBorder="1" applyAlignment="1">
      <alignment horizontal="center"/>
    </xf>
    <xf numFmtId="1" fontId="31" fillId="0" borderId="13" xfId="1" applyNumberFormat="1" applyFont="1" applyFill="1" applyBorder="1" applyAlignment="1">
      <alignment horizontal="center" vertical="center" wrapText="1"/>
    </xf>
    <xf numFmtId="1" fontId="3" fillId="0" borderId="0" xfId="1" applyNumberFormat="1" applyFont="1" applyFill="1" applyBorder="1" applyAlignment="1">
      <alignment horizontal="center" vertical="center" wrapText="1"/>
    </xf>
    <xf numFmtId="164" fontId="2" fillId="10" borderId="12" xfId="1" applyNumberFormat="1" applyFont="1" applyFill="1" applyBorder="1" applyAlignment="1">
      <alignment horizontal="center" vertical="center" wrapText="1"/>
    </xf>
    <xf numFmtId="0" fontId="11" fillId="3" borderId="10" xfId="1" applyFont="1" applyFill="1" applyBorder="1" applyAlignment="1">
      <alignment horizontal="center" vertical="center" wrapText="1"/>
    </xf>
    <xf numFmtId="2" fontId="38" fillId="0" borderId="0" xfId="0" applyNumberFormat="1" applyFont="1" applyFill="1" applyBorder="1" applyAlignment="1">
      <alignment horizontal="center" vertical="center"/>
    </xf>
    <xf numFmtId="167" fontId="0" fillId="0" borderId="0" xfId="0" applyNumberFormat="1"/>
    <xf numFmtId="0" fontId="23" fillId="0" borderId="0" xfId="0" applyFont="1"/>
    <xf numFmtId="1" fontId="23" fillId="0" borderId="9" xfId="0" applyNumberFormat="1" applyFont="1" applyFill="1" applyBorder="1" applyAlignment="1">
      <alignment horizontal="left" vertical="center"/>
    </xf>
    <xf numFmtId="0" fontId="0" fillId="5" borderId="0" xfId="0" applyFill="1" applyAlignment="1">
      <alignment horizontal="left"/>
    </xf>
    <xf numFmtId="0" fontId="23" fillId="8" borderId="5" xfId="0" applyFont="1" applyFill="1" applyBorder="1" applyAlignment="1">
      <alignment horizontal="left" vertical="center"/>
    </xf>
    <xf numFmtId="0" fontId="23" fillId="8" borderId="8" xfId="0" applyFont="1" applyFill="1" applyBorder="1" applyAlignment="1">
      <alignment horizontal="left" vertical="center"/>
    </xf>
    <xf numFmtId="0" fontId="23" fillId="8" borderId="37" xfId="0" applyFont="1" applyFill="1" applyBorder="1" applyAlignment="1">
      <alignment horizontal="left" vertical="center"/>
    </xf>
    <xf numFmtId="0" fontId="23" fillId="8" borderId="71" xfId="0" applyFont="1" applyFill="1" applyBorder="1" applyAlignment="1">
      <alignment horizontal="left" vertical="center"/>
    </xf>
    <xf numFmtId="0" fontId="23" fillId="8" borderId="18" xfId="0" applyFont="1" applyFill="1" applyBorder="1" applyAlignment="1">
      <alignment horizontal="left" vertical="center"/>
    </xf>
    <xf numFmtId="0" fontId="23" fillId="0" borderId="5" xfId="0" applyFont="1" applyBorder="1" applyAlignment="1">
      <alignment horizontal="left" vertical="center" wrapText="1"/>
    </xf>
    <xf numFmtId="0" fontId="23" fillId="0" borderId="8" xfId="0" applyFont="1" applyBorder="1" applyAlignment="1">
      <alignment horizontal="left" vertical="center" wrapText="1"/>
    </xf>
    <xf numFmtId="0" fontId="23" fillId="0" borderId="6" xfId="0" applyFont="1" applyBorder="1" applyAlignment="1">
      <alignment horizontal="left" vertical="center" wrapText="1"/>
    </xf>
    <xf numFmtId="0" fontId="59" fillId="8" borderId="8" xfId="0" applyFont="1" applyFill="1" applyBorder="1" applyAlignment="1">
      <alignment horizontal="center" vertical="center" wrapText="1"/>
    </xf>
    <xf numFmtId="0" fontId="59" fillId="8" borderId="26" xfId="0" applyFont="1" applyFill="1" applyBorder="1" applyAlignment="1">
      <alignment horizontal="center" vertical="center" wrapText="1"/>
    </xf>
    <xf numFmtId="0" fontId="60" fillId="8" borderId="8" xfId="0" applyFont="1" applyFill="1" applyBorder="1" applyAlignment="1">
      <alignment horizontal="left" vertical="center" wrapText="1"/>
    </xf>
    <xf numFmtId="0" fontId="24" fillId="8" borderId="47" xfId="0" applyFont="1" applyFill="1" applyBorder="1" applyAlignment="1">
      <alignment horizontal="left" wrapText="1"/>
    </xf>
    <xf numFmtId="0" fontId="23" fillId="8" borderId="82" xfId="0" applyFont="1" applyFill="1" applyBorder="1" applyAlignment="1">
      <alignment horizontal="left"/>
    </xf>
    <xf numFmtId="0" fontId="23" fillId="0" borderId="54" xfId="0" applyFont="1" applyBorder="1" applyAlignment="1">
      <alignment horizontal="center"/>
    </xf>
    <xf numFmtId="0" fontId="24" fillId="8" borderId="55" xfId="0" applyFont="1" applyFill="1" applyBorder="1" applyAlignment="1">
      <alignment wrapText="1"/>
    </xf>
    <xf numFmtId="0" fontId="3" fillId="8" borderId="55" xfId="0" applyFont="1" applyFill="1" applyBorder="1" applyAlignment="1">
      <alignment wrapText="1"/>
    </xf>
    <xf numFmtId="0" fontId="0" fillId="0" borderId="12" xfId="0" applyBorder="1"/>
    <xf numFmtId="0" fontId="1" fillId="0" borderId="19" xfId="0" applyFont="1" applyBorder="1" applyAlignment="1">
      <alignment horizontal="center" vertical="center"/>
    </xf>
    <xf numFmtId="0" fontId="23" fillId="0" borderId="6" xfId="0" applyFont="1" applyBorder="1" applyAlignment="1">
      <alignment horizontal="center" vertical="center"/>
    </xf>
    <xf numFmtId="0" fontId="23" fillId="0" borderId="5" xfId="0" applyFont="1" applyBorder="1" applyAlignment="1">
      <alignment horizontal="center" vertical="center"/>
    </xf>
    <xf numFmtId="0" fontId="40" fillId="0" borderId="6" xfId="0" applyFont="1" applyBorder="1" applyAlignment="1">
      <alignment horizontal="center" vertical="center"/>
    </xf>
    <xf numFmtId="0" fontId="22" fillId="11" borderId="9" xfId="0" applyFont="1" applyFill="1" applyBorder="1" applyAlignment="1">
      <alignment horizontal="center" vertical="center" wrapText="1"/>
    </xf>
    <xf numFmtId="0" fontId="22" fillId="11" borderId="11" xfId="0" applyFont="1" applyFill="1" applyBorder="1" applyAlignment="1">
      <alignment horizontal="center" vertical="center" wrapText="1"/>
    </xf>
    <xf numFmtId="0" fontId="0" fillId="5" borderId="8" xfId="0" applyFill="1" applyBorder="1" applyAlignment="1">
      <alignment wrapText="1"/>
    </xf>
    <xf numFmtId="0" fontId="0" fillId="0" borderId="0" xfId="0" applyAlignment="1">
      <alignment horizontal="center"/>
    </xf>
    <xf numFmtId="0" fontId="23" fillId="8" borderId="38" xfId="0" applyFont="1" applyFill="1" applyBorder="1" applyAlignment="1">
      <alignment horizontal="left" vertical="center"/>
    </xf>
    <xf numFmtId="0" fontId="23" fillId="0" borderId="8" xfId="0" applyFont="1" applyBorder="1" applyAlignment="1">
      <alignment horizontal="left"/>
    </xf>
    <xf numFmtId="1" fontId="23" fillId="0" borderId="12" xfId="0" applyNumberFormat="1" applyFont="1" applyFill="1" applyBorder="1" applyAlignment="1">
      <alignment horizontal="left" vertical="center"/>
    </xf>
    <xf numFmtId="0" fontId="23" fillId="8" borderId="1" xfId="0" applyFont="1" applyFill="1" applyBorder="1" applyAlignment="1">
      <alignment horizontal="justify" wrapText="1"/>
    </xf>
    <xf numFmtId="0" fontId="23" fillId="8" borderId="18" xfId="0" applyFont="1" applyFill="1" applyBorder="1" applyAlignment="1">
      <alignment horizontal="justify" wrapText="1"/>
    </xf>
    <xf numFmtId="0" fontId="3" fillId="8" borderId="18" xfId="0" applyFont="1" applyFill="1" applyBorder="1" applyAlignment="1">
      <alignment horizontal="justify" wrapText="1"/>
    </xf>
    <xf numFmtId="0" fontId="23" fillId="8" borderId="3" xfId="0" applyFont="1" applyFill="1" applyBorder="1" applyAlignment="1">
      <alignment horizontal="justify" wrapText="1"/>
    </xf>
    <xf numFmtId="0" fontId="23" fillId="8" borderId="90" xfId="0" applyFont="1" applyFill="1" applyBorder="1" applyAlignment="1">
      <alignment horizontal="justify" wrapText="1"/>
    </xf>
    <xf numFmtId="0" fontId="23" fillId="0" borderId="55" xfId="0" applyFont="1" applyBorder="1" applyAlignment="1">
      <alignment horizontal="justify" wrapText="1"/>
    </xf>
    <xf numFmtId="0" fontId="23" fillId="8" borderId="78" xfId="0" applyFont="1" applyFill="1" applyBorder="1" applyAlignment="1">
      <alignment horizontal="justify" wrapText="1"/>
    </xf>
    <xf numFmtId="0" fontId="23" fillId="8" borderId="56" xfId="0" applyFont="1" applyFill="1" applyBorder="1" applyAlignment="1">
      <alignment horizontal="justify" wrapText="1"/>
    </xf>
    <xf numFmtId="0" fontId="23" fillId="0" borderId="0" xfId="0" applyFont="1" applyAlignment="1">
      <alignment horizontal="justify" wrapText="1"/>
    </xf>
    <xf numFmtId="0" fontId="12" fillId="0" borderId="0" xfId="0" applyFont="1" applyAlignment="1">
      <alignment wrapText="1"/>
    </xf>
    <xf numFmtId="0" fontId="23" fillId="0" borderId="84" xfId="0" applyFont="1" applyBorder="1" applyAlignment="1">
      <alignment horizontal="justify" wrapText="1"/>
    </xf>
    <xf numFmtId="0" fontId="23" fillId="8" borderId="85" xfId="0" applyFont="1" applyFill="1" applyBorder="1" applyAlignment="1">
      <alignment horizontal="justify" wrapText="1"/>
    </xf>
    <xf numFmtId="0" fontId="2" fillId="3" borderId="9" xfId="1" applyFont="1" applyFill="1" applyBorder="1" applyAlignment="1">
      <alignment horizontal="center" vertical="center" wrapText="1"/>
    </xf>
    <xf numFmtId="2" fontId="4" fillId="10" borderId="9" xfId="0" applyNumberFormat="1" applyFont="1" applyFill="1" applyBorder="1" applyAlignment="1">
      <alignment horizontal="center" vertical="center" wrapText="1"/>
    </xf>
    <xf numFmtId="0" fontId="32" fillId="0" borderId="1" xfId="0" applyFont="1" applyFill="1" applyBorder="1" applyAlignment="1">
      <alignment horizontal="center" vertical="center" wrapText="1"/>
    </xf>
    <xf numFmtId="0" fontId="32" fillId="0" borderId="3" xfId="0" applyFont="1" applyFill="1" applyBorder="1" applyAlignment="1">
      <alignment horizontal="center" vertical="center" wrapText="1"/>
    </xf>
    <xf numFmtId="0" fontId="24" fillId="0" borderId="5" xfId="0" applyFont="1" applyBorder="1" applyAlignment="1">
      <alignment horizontal="left" wrapText="1"/>
    </xf>
    <xf numFmtId="0" fontId="24" fillId="0" borderId="6" xfId="0" applyFont="1" applyBorder="1" applyAlignment="1">
      <alignment horizontal="left" wrapText="1"/>
    </xf>
    <xf numFmtId="0" fontId="23" fillId="5" borderId="5" xfId="0" applyFont="1" applyFill="1" applyBorder="1" applyAlignment="1">
      <alignment horizontal="left"/>
    </xf>
    <xf numFmtId="0" fontId="24" fillId="5" borderId="5" xfId="0" applyFont="1" applyFill="1" applyBorder="1" applyAlignment="1">
      <alignment horizontal="left" wrapText="1"/>
    </xf>
    <xf numFmtId="0" fontId="24" fillId="5" borderId="6" xfId="0" applyFont="1" applyFill="1" applyBorder="1" applyAlignment="1">
      <alignment horizontal="left" wrapText="1"/>
    </xf>
    <xf numFmtId="0" fontId="0" fillId="60" borderId="69" xfId="0" applyFill="1" applyBorder="1"/>
    <xf numFmtId="0" fontId="0" fillId="60" borderId="79" xfId="0" applyFill="1" applyBorder="1"/>
    <xf numFmtId="0" fontId="75" fillId="0" borderId="19" xfId="0" applyFont="1" applyBorder="1" applyAlignment="1">
      <alignment vertical="top"/>
    </xf>
    <xf numFmtId="0" fontId="75" fillId="0" borderId="84" xfId="0" applyFont="1" applyBorder="1" applyAlignment="1">
      <alignment vertical="top"/>
    </xf>
    <xf numFmtId="0" fontId="75" fillId="0" borderId="0" xfId="0" applyFont="1" applyFill="1" applyBorder="1" applyAlignment="1">
      <alignment vertical="top"/>
    </xf>
    <xf numFmtId="0" fontId="23" fillId="0" borderId="8" xfId="0" applyFont="1" applyBorder="1" applyAlignment="1">
      <alignment horizontal="center" vertical="center"/>
    </xf>
    <xf numFmtId="0" fontId="23" fillId="0" borderId="26" xfId="0" applyFont="1" applyBorder="1" applyAlignment="1">
      <alignment horizontal="left"/>
    </xf>
    <xf numFmtId="0" fontId="23" fillId="0" borderId="11" xfId="0" applyFont="1" applyBorder="1" applyAlignment="1">
      <alignment horizontal="left"/>
    </xf>
    <xf numFmtId="0" fontId="23" fillId="0" borderId="2" xfId="0" applyFont="1" applyBorder="1" applyAlignment="1">
      <alignment horizontal="center"/>
    </xf>
    <xf numFmtId="0" fontId="23" fillId="5" borderId="12" xfId="0" applyFont="1" applyFill="1" applyBorder="1" applyAlignment="1">
      <alignment horizontal="left"/>
    </xf>
    <xf numFmtId="0" fontId="23" fillId="0" borderId="2" xfId="0" applyFont="1" applyFill="1" applyBorder="1" applyAlignment="1">
      <alignment horizontal="center"/>
    </xf>
    <xf numFmtId="0" fontId="24" fillId="0" borderId="2" xfId="0" applyFont="1" applyBorder="1" applyAlignment="1">
      <alignment horizontal="left" wrapText="1"/>
    </xf>
    <xf numFmtId="0" fontId="23" fillId="0" borderId="4" xfId="0" applyFont="1" applyFill="1" applyBorder="1" applyAlignment="1">
      <alignment horizontal="center"/>
    </xf>
    <xf numFmtId="0" fontId="24" fillId="0" borderId="4" xfId="0" applyFont="1" applyBorder="1" applyAlignment="1">
      <alignment horizontal="left" wrapText="1"/>
    </xf>
    <xf numFmtId="0" fontId="24" fillId="0" borderId="8" xfId="0" applyFont="1" applyBorder="1" applyAlignment="1">
      <alignment horizontal="left"/>
    </xf>
    <xf numFmtId="0" fontId="38" fillId="0" borderId="1" xfId="0" applyFont="1" applyBorder="1" applyAlignment="1">
      <alignment vertical="top" wrapText="1"/>
    </xf>
    <xf numFmtId="0" fontId="39" fillId="0" borderId="2" xfId="0" applyFont="1" applyBorder="1" applyAlignment="1">
      <alignment horizontal="center" vertical="top"/>
    </xf>
    <xf numFmtId="0" fontId="39" fillId="0" borderId="25" xfId="0" applyFont="1" applyBorder="1" applyAlignment="1">
      <alignment vertical="top"/>
    </xf>
    <xf numFmtId="3" fontId="39" fillId="0" borderId="2" xfId="0" applyNumberFormat="1" applyFont="1" applyBorder="1" applyAlignment="1">
      <alignment horizontal="center" vertical="top"/>
    </xf>
    <xf numFmtId="3" fontId="39" fillId="0" borderId="4" xfId="0" applyNumberFormat="1" applyFont="1" applyBorder="1" applyAlignment="1">
      <alignment horizontal="center" vertical="top"/>
    </xf>
    <xf numFmtId="0" fontId="23" fillId="5" borderId="2" xfId="0" applyFont="1" applyFill="1" applyBorder="1" applyAlignment="1">
      <alignment horizontal="center"/>
    </xf>
    <xf numFmtId="0" fontId="23" fillId="5" borderId="1" xfId="0" applyFont="1" applyFill="1" applyBorder="1" applyAlignment="1">
      <alignment horizontal="left"/>
    </xf>
    <xf numFmtId="0" fontId="23" fillId="5" borderId="18" xfId="0" applyFont="1" applyFill="1" applyBorder="1" applyAlignment="1">
      <alignment horizontal="left"/>
    </xf>
    <xf numFmtId="0" fontId="23" fillId="5" borderId="3" xfId="0" applyFont="1" applyFill="1" applyBorder="1" applyAlignment="1">
      <alignment horizontal="left"/>
    </xf>
    <xf numFmtId="0" fontId="5" fillId="0" borderId="25" xfId="10" applyFont="1" applyFill="1" applyBorder="1" applyAlignment="1"/>
    <xf numFmtId="0" fontId="23" fillId="5" borderId="25" xfId="0" applyFont="1" applyFill="1" applyBorder="1" applyAlignment="1">
      <alignment horizontal="left" wrapText="1"/>
    </xf>
    <xf numFmtId="0" fontId="23" fillId="5" borderId="0" xfId="0" applyFont="1" applyFill="1" applyBorder="1" applyAlignment="1">
      <alignment horizontal="left" wrapText="1"/>
    </xf>
    <xf numFmtId="0" fontId="39" fillId="0" borderId="5" xfId="0" applyFont="1" applyBorder="1" applyAlignment="1">
      <alignment horizontal="center" vertical="top"/>
    </xf>
    <xf numFmtId="0" fontId="39" fillId="0" borderId="6" xfId="0" applyFont="1" applyBorder="1" applyAlignment="1">
      <alignment horizontal="center" vertical="top"/>
    </xf>
    <xf numFmtId="0" fontId="39" fillId="0" borderId="8" xfId="0" applyFont="1" applyBorder="1" applyAlignment="1">
      <alignment horizontal="center" vertical="top"/>
    </xf>
    <xf numFmtId="0" fontId="39" fillId="0" borderId="12" xfId="0" applyFont="1" applyBorder="1" applyAlignment="1">
      <alignment horizontal="center" vertical="top"/>
    </xf>
    <xf numFmtId="0" fontId="0" fillId="0" borderId="0" xfId="0" applyFill="1" applyAlignment="1">
      <alignment horizontal="center"/>
    </xf>
    <xf numFmtId="0" fontId="31" fillId="0" borderId="23" xfId="0" applyFont="1" applyBorder="1" applyAlignment="1">
      <alignment horizontal="center" vertical="center" textRotation="90" wrapText="1"/>
    </xf>
    <xf numFmtId="0" fontId="31" fillId="0" borderId="96" xfId="0" applyFont="1" applyFill="1" applyBorder="1" applyAlignment="1">
      <alignment horizontal="center" wrapText="1"/>
    </xf>
    <xf numFmtId="0" fontId="31" fillId="0" borderId="72" xfId="0" applyFont="1" applyFill="1" applyBorder="1" applyAlignment="1">
      <alignment horizontal="center" wrapText="1"/>
    </xf>
    <xf numFmtId="0" fontId="31" fillId="0" borderId="1" xfId="10" applyFont="1" applyFill="1" applyBorder="1" applyAlignment="1"/>
    <xf numFmtId="0" fontId="11" fillId="0" borderId="9" xfId="1" applyFont="1" applyFill="1" applyBorder="1" applyAlignment="1">
      <alignment horizontal="right" vertical="center" wrapText="1"/>
    </xf>
    <xf numFmtId="0" fontId="4" fillId="0" borderId="5" xfId="1" applyFont="1" applyFill="1" applyBorder="1" applyAlignment="1">
      <alignment horizontal="center" vertical="center" wrapText="1"/>
    </xf>
    <xf numFmtId="0" fontId="0" fillId="0" borderId="0" xfId="0" applyFill="1" applyAlignment="1">
      <alignment wrapText="1"/>
    </xf>
    <xf numFmtId="0" fontId="64" fillId="0" borderId="1" xfId="9" applyFont="1" applyFill="1" applyBorder="1" applyAlignment="1">
      <alignment horizontal="center" vertical="center" wrapText="1"/>
    </xf>
    <xf numFmtId="0" fontId="0" fillId="0" borderId="8" xfId="0" applyFill="1" applyBorder="1" applyAlignment="1">
      <alignment horizontal="center" vertical="center" wrapText="1"/>
    </xf>
    <xf numFmtId="0" fontId="0" fillId="0" borderId="6" xfId="0" applyFill="1" applyBorder="1" applyAlignment="1">
      <alignment horizontal="center" vertical="center" wrapText="1"/>
    </xf>
    <xf numFmtId="0" fontId="13" fillId="0" borderId="8" xfId="0" applyFont="1" applyFill="1" applyBorder="1" applyAlignment="1">
      <alignment horizontal="center" vertical="center" wrapText="1"/>
    </xf>
    <xf numFmtId="0" fontId="2" fillId="0" borderId="9" xfId="1" applyFont="1" applyFill="1" applyBorder="1" applyAlignment="1">
      <alignment horizontal="center" vertical="center" wrapText="1"/>
    </xf>
    <xf numFmtId="0" fontId="11" fillId="3" borderId="10" xfId="1" applyFont="1" applyFill="1" applyBorder="1" applyAlignment="1">
      <alignment horizontal="center" vertical="center" wrapText="1"/>
    </xf>
    <xf numFmtId="2" fontId="4" fillId="10" borderId="9" xfId="0" applyNumberFormat="1" applyFont="1" applyFill="1" applyBorder="1" applyAlignment="1">
      <alignment horizontal="center" vertical="center" wrapText="1"/>
    </xf>
    <xf numFmtId="0" fontId="23" fillId="8" borderId="1" xfId="0" applyFont="1" applyFill="1" applyBorder="1" applyAlignment="1">
      <alignment horizontal="left" vertical="center"/>
    </xf>
    <xf numFmtId="0" fontId="57" fillId="70" borderId="18" xfId="9" applyFont="1" applyFill="1" applyBorder="1" applyAlignment="1">
      <alignment wrapText="1"/>
    </xf>
    <xf numFmtId="0" fontId="23" fillId="0" borderId="1" xfId="0" applyFont="1" applyBorder="1" applyAlignment="1">
      <alignment horizontal="left" vertical="center" wrapText="1"/>
    </xf>
    <xf numFmtId="0" fontId="23" fillId="0" borderId="18" xfId="0" applyFont="1" applyBorder="1" applyAlignment="1">
      <alignment horizontal="left" vertical="center" wrapText="1"/>
    </xf>
    <xf numFmtId="0" fontId="23" fillId="0" borderId="3" xfId="0" applyFont="1" applyBorder="1" applyAlignment="1">
      <alignment horizontal="left" vertical="center" wrapText="1"/>
    </xf>
    <xf numFmtId="1" fontId="23" fillId="0" borderId="1" xfId="0" applyNumberFormat="1" applyFont="1" applyFill="1" applyBorder="1" applyAlignment="1">
      <alignment horizontal="left" vertical="center"/>
    </xf>
    <xf numFmtId="0" fontId="59" fillId="8" borderId="18" xfId="0" applyFont="1" applyFill="1" applyBorder="1" applyAlignment="1">
      <alignment horizontal="left" wrapText="1"/>
    </xf>
    <xf numFmtId="0" fontId="23" fillId="8" borderId="82" xfId="0" applyFont="1" applyFill="1" applyBorder="1" applyAlignment="1">
      <alignment horizontal="center"/>
    </xf>
    <xf numFmtId="0" fontId="23" fillId="8" borderId="74" xfId="0" applyFont="1" applyFill="1" applyBorder="1" applyAlignment="1">
      <alignment horizontal="left"/>
    </xf>
    <xf numFmtId="0" fontId="23" fillId="8" borderId="84" xfId="0" applyFont="1" applyFill="1" applyBorder="1" applyAlignment="1">
      <alignment horizontal="left"/>
    </xf>
    <xf numFmtId="1" fontId="23" fillId="8" borderId="85" xfId="0" applyNumberFormat="1" applyFont="1" applyFill="1" applyBorder="1" applyAlignment="1">
      <alignment horizontal="center"/>
    </xf>
    <xf numFmtId="0" fontId="23" fillId="0" borderId="5" xfId="0" applyFont="1" applyBorder="1" applyAlignment="1">
      <alignment horizontal="center" vertical="center" wrapText="1"/>
    </xf>
    <xf numFmtId="0" fontId="24" fillId="8" borderId="82" xfId="0" applyFont="1" applyFill="1" applyBorder="1" applyAlignment="1">
      <alignment horizontal="center" wrapText="1"/>
    </xf>
    <xf numFmtId="0" fontId="24" fillId="8" borderId="72" xfId="0" applyFont="1" applyFill="1" applyBorder="1" applyAlignment="1">
      <alignment horizontal="left" wrapText="1"/>
    </xf>
    <xf numFmtId="0" fontId="23" fillId="8" borderId="6" xfId="0" applyFont="1" applyFill="1" applyBorder="1" applyAlignment="1">
      <alignment horizontal="left" vertical="center"/>
    </xf>
    <xf numFmtId="0" fontId="23" fillId="0" borderId="83" xfId="0" applyFont="1" applyFill="1" applyBorder="1" applyAlignment="1">
      <alignment horizontal="center"/>
    </xf>
    <xf numFmtId="0" fontId="24" fillId="0" borderId="82" xfId="0" applyFont="1" applyFill="1" applyBorder="1" applyAlignment="1">
      <alignment horizontal="center" wrapText="1"/>
    </xf>
    <xf numFmtId="0" fontId="23" fillId="8" borderId="27" xfId="0" applyFont="1" applyFill="1" applyBorder="1" applyAlignment="1">
      <alignment horizontal="left" wrapText="1"/>
    </xf>
    <xf numFmtId="0" fontId="3" fillId="8" borderId="82" xfId="0" applyFont="1" applyFill="1" applyBorder="1" applyAlignment="1">
      <alignment horizontal="center" wrapText="1"/>
    </xf>
    <xf numFmtId="0" fontId="24" fillId="8" borderId="23" xfId="0" applyFont="1" applyFill="1" applyBorder="1" applyAlignment="1">
      <alignment horizontal="left" wrapText="1"/>
    </xf>
    <xf numFmtId="1" fontId="23" fillId="0" borderId="12" xfId="0" applyNumberFormat="1" applyFont="1" applyFill="1" applyBorder="1" applyAlignment="1">
      <alignment horizontal="center" vertical="center"/>
    </xf>
    <xf numFmtId="0" fontId="23" fillId="8" borderId="5" xfId="0" applyFont="1" applyFill="1" applyBorder="1" applyAlignment="1">
      <alignment vertical="center" wrapText="1"/>
    </xf>
    <xf numFmtId="0" fontId="23" fillId="8" borderId="8" xfId="0" applyFont="1" applyFill="1" applyBorder="1" applyAlignment="1">
      <alignment vertical="center" wrapText="1"/>
    </xf>
    <xf numFmtId="0" fontId="23" fillId="8" borderId="6" xfId="0" applyFont="1" applyFill="1" applyBorder="1" applyAlignment="1">
      <alignment vertical="center" wrapText="1"/>
    </xf>
    <xf numFmtId="0" fontId="24" fillId="8" borderId="74" xfId="0" applyFont="1" applyFill="1" applyBorder="1" applyAlignment="1">
      <alignment horizontal="left" wrapText="1"/>
    </xf>
    <xf numFmtId="0" fontId="24" fillId="8" borderId="93" xfId="0" applyFont="1" applyFill="1" applyBorder="1" applyAlignment="1">
      <alignment horizontal="center" wrapText="1"/>
    </xf>
    <xf numFmtId="0" fontId="24" fillId="0" borderId="19" xfId="0" applyFont="1" applyFill="1" applyBorder="1" applyAlignment="1">
      <alignment horizontal="left" wrapText="1"/>
    </xf>
    <xf numFmtId="0" fontId="23" fillId="0" borderId="27" xfId="0" applyFont="1" applyBorder="1" applyAlignment="1">
      <alignment horizontal="center"/>
    </xf>
    <xf numFmtId="0" fontId="23" fillId="8" borderId="26" xfId="0" applyFont="1" applyFill="1" applyBorder="1" applyAlignment="1">
      <alignment horizontal="left" vertical="center"/>
    </xf>
    <xf numFmtId="0" fontId="23" fillId="8" borderId="2" xfId="0" applyFont="1" applyFill="1" applyBorder="1" applyAlignment="1">
      <alignment horizontal="left" vertical="center"/>
    </xf>
    <xf numFmtId="0" fontId="23" fillId="0" borderId="2" xfId="0" applyFont="1" applyBorder="1" applyAlignment="1">
      <alignment horizontal="left" vertical="center" wrapText="1"/>
    </xf>
    <xf numFmtId="0" fontId="23" fillId="0" borderId="4" xfId="0" applyFont="1" applyBorder="1" applyAlignment="1">
      <alignment horizontal="left" vertical="center" wrapText="1"/>
    </xf>
    <xf numFmtId="0" fontId="23" fillId="0" borderId="26" xfId="0" applyFont="1" applyBorder="1" applyAlignment="1">
      <alignment horizontal="left" vertical="center" wrapText="1"/>
    </xf>
    <xf numFmtId="0" fontId="23" fillId="8" borderId="67" xfId="0" applyFont="1" applyFill="1" applyBorder="1" applyAlignment="1">
      <alignment horizontal="center"/>
    </xf>
    <xf numFmtId="0" fontId="23" fillId="8" borderId="49" xfId="0" applyFont="1" applyFill="1" applyBorder="1" applyAlignment="1">
      <alignment horizontal="center"/>
    </xf>
    <xf numFmtId="0" fontId="23" fillId="8" borderId="24" xfId="0" applyFont="1" applyFill="1" applyBorder="1" applyAlignment="1">
      <alignment horizontal="center"/>
    </xf>
    <xf numFmtId="0" fontId="23" fillId="0" borderId="57" xfId="0" applyFont="1" applyFill="1" applyBorder="1" applyAlignment="1">
      <alignment horizontal="center"/>
    </xf>
    <xf numFmtId="0" fontId="24" fillId="0" borderId="51" xfId="0" applyFont="1" applyFill="1" applyBorder="1" applyAlignment="1">
      <alignment horizontal="left" wrapText="1"/>
    </xf>
    <xf numFmtId="0" fontId="24" fillId="0" borderId="0" xfId="0" applyFont="1" applyBorder="1"/>
    <xf numFmtId="0" fontId="24" fillId="8" borderId="80" xfId="0" applyFont="1" applyFill="1" applyBorder="1" applyAlignment="1">
      <alignment horizontal="left" wrapText="1"/>
    </xf>
    <xf numFmtId="0" fontId="24" fillId="0" borderId="99" xfId="0" applyFont="1" applyBorder="1" applyAlignment="1">
      <alignment horizontal="left" wrapText="1"/>
    </xf>
    <xf numFmtId="0" fontId="24" fillId="8" borderId="79" xfId="0" applyFont="1" applyFill="1" applyBorder="1" applyAlignment="1">
      <alignment horizontal="left" wrapText="1"/>
    </xf>
    <xf numFmtId="0" fontId="3" fillId="8" borderId="19" xfId="0" applyFont="1" applyFill="1" applyBorder="1" applyAlignment="1">
      <alignment horizontal="center" wrapText="1"/>
    </xf>
    <xf numFmtId="0" fontId="24" fillId="8" borderId="20" xfId="0" applyFont="1" applyFill="1" applyBorder="1" applyAlignment="1">
      <alignment horizontal="center" wrapText="1"/>
    </xf>
    <xf numFmtId="0" fontId="23" fillId="8" borderId="20" xfId="0" applyFont="1" applyFill="1" applyBorder="1" applyAlignment="1">
      <alignment horizontal="center"/>
    </xf>
    <xf numFmtId="0" fontId="3" fillId="8" borderId="20" xfId="0" applyFont="1" applyFill="1" applyBorder="1" applyAlignment="1">
      <alignment horizontal="center" wrapText="1"/>
    </xf>
    <xf numFmtId="0" fontId="23" fillId="0" borderId="92" xfId="0" applyFont="1" applyBorder="1" applyAlignment="1">
      <alignment horizontal="center"/>
    </xf>
    <xf numFmtId="0" fontId="0" fillId="0" borderId="0" xfId="0" applyAlignment="1">
      <alignment horizontal="right"/>
    </xf>
    <xf numFmtId="0" fontId="0" fillId="0" borderId="9" xfId="0" applyBorder="1" applyAlignment="1">
      <alignment horizontal="center" vertical="center" textRotation="90"/>
    </xf>
    <xf numFmtId="1" fontId="23" fillId="0" borderId="11" xfId="0" applyNumberFormat="1" applyFont="1" applyFill="1" applyBorder="1" applyAlignment="1">
      <alignment horizontal="left" vertical="center"/>
    </xf>
    <xf numFmtId="0" fontId="23" fillId="8" borderId="14" xfId="0" applyFont="1" applyFill="1" applyBorder="1" applyAlignment="1">
      <alignment horizontal="left" vertical="center"/>
    </xf>
    <xf numFmtId="0" fontId="23" fillId="8" borderId="11" xfId="0" applyFont="1" applyFill="1" applyBorder="1" applyAlignment="1">
      <alignment horizontal="center"/>
    </xf>
    <xf numFmtId="0" fontId="24" fillId="8" borderId="19" xfId="0" applyFont="1" applyFill="1" applyBorder="1" applyAlignment="1">
      <alignment horizontal="center" wrapText="1"/>
    </xf>
    <xf numFmtId="0" fontId="23" fillId="0" borderId="22" xfId="0" applyFont="1" applyBorder="1" applyAlignment="1">
      <alignment horizontal="center"/>
    </xf>
    <xf numFmtId="0" fontId="23" fillId="0" borderId="21" xfId="0" applyFont="1" applyBorder="1" applyAlignment="1">
      <alignment horizontal="center"/>
    </xf>
    <xf numFmtId="0" fontId="23" fillId="8" borderId="55" xfId="0" applyFont="1" applyFill="1" applyBorder="1" applyAlignment="1">
      <alignment horizontal="center"/>
    </xf>
    <xf numFmtId="0" fontId="24" fillId="8" borderId="47" xfId="0" applyFont="1" applyFill="1" applyBorder="1" applyAlignment="1">
      <alignment horizontal="center" wrapText="1"/>
    </xf>
    <xf numFmtId="0" fontId="24" fillId="8" borderId="67" xfId="0" applyFont="1" applyFill="1" applyBorder="1" applyAlignment="1">
      <alignment horizontal="center" wrapText="1"/>
    </xf>
    <xf numFmtId="0" fontId="3" fillId="0" borderId="0" xfId="0" applyFont="1" applyAlignment="1">
      <alignment wrapText="1"/>
    </xf>
    <xf numFmtId="166" fontId="3" fillId="0" borderId="0" xfId="0" applyNumberFormat="1" applyFont="1" applyBorder="1" applyAlignment="1">
      <alignment horizontal="center" vertical="center"/>
    </xf>
    <xf numFmtId="0" fontId="16" fillId="0" borderId="0" xfId="0" applyFont="1" applyFill="1" applyBorder="1" applyAlignment="1">
      <alignment horizontal="center" vertical="center" wrapText="1"/>
    </xf>
    <xf numFmtId="0" fontId="23" fillId="0" borderId="69" xfId="0" applyFont="1" applyBorder="1" applyAlignment="1">
      <alignment horizontal="center"/>
    </xf>
    <xf numFmtId="0" fontId="23" fillId="8" borderId="8" xfId="0" applyFont="1" applyFill="1" applyBorder="1" applyAlignment="1">
      <alignment textRotation="90"/>
    </xf>
    <xf numFmtId="0" fontId="23" fillId="8" borderId="6" xfId="0" applyFont="1" applyFill="1" applyBorder="1" applyAlignment="1">
      <alignment textRotation="90"/>
    </xf>
    <xf numFmtId="0" fontId="0" fillId="0" borderId="18" xfId="0" applyFill="1" applyBorder="1" applyAlignment="1">
      <alignment horizontal="center" vertical="center" wrapText="1"/>
    </xf>
    <xf numFmtId="0" fontId="0" fillId="0" borderId="5" xfId="0" applyFill="1" applyBorder="1" applyAlignment="1">
      <alignment horizontal="center" vertical="center" wrapText="1"/>
    </xf>
    <xf numFmtId="0" fontId="57" fillId="5" borderId="8" xfId="9" applyFont="1" applyFill="1" applyBorder="1" applyAlignment="1">
      <alignment horizontal="center" wrapText="1"/>
    </xf>
    <xf numFmtId="0" fontId="23" fillId="8" borderId="38" xfId="0" applyFont="1" applyFill="1" applyBorder="1" applyAlignment="1">
      <alignment textRotation="90"/>
    </xf>
    <xf numFmtId="0" fontId="59" fillId="52" borderId="1" xfId="0" applyFont="1" applyFill="1" applyBorder="1" applyAlignment="1">
      <alignment horizontal="left" wrapText="1"/>
    </xf>
    <xf numFmtId="0" fontId="59" fillId="52" borderId="18" xfId="0" applyFont="1" applyFill="1" applyBorder="1" applyAlignment="1">
      <alignment horizontal="left" wrapText="1"/>
    </xf>
    <xf numFmtId="0" fontId="59" fillId="53" borderId="18" xfId="0" applyFont="1" applyFill="1" applyBorder="1" applyAlignment="1">
      <alignment horizontal="left" wrapText="1"/>
    </xf>
    <xf numFmtId="0" fontId="59" fillId="54" borderId="18" xfId="0" applyFont="1" applyFill="1" applyBorder="1" applyAlignment="1">
      <alignment horizontal="left" wrapText="1"/>
    </xf>
    <xf numFmtId="0" fontId="59" fillId="55" borderId="18" xfId="0" applyFont="1" applyFill="1" applyBorder="1" applyAlignment="1">
      <alignment horizontal="left" wrapText="1"/>
    </xf>
    <xf numFmtId="0" fontId="59" fillId="56" borderId="18" xfId="0" applyFont="1" applyFill="1" applyBorder="1" applyAlignment="1">
      <alignment horizontal="left" wrapText="1"/>
    </xf>
    <xf numFmtId="0" fontId="59" fillId="57" borderId="18" xfId="0" applyFont="1" applyFill="1" applyBorder="1" applyAlignment="1">
      <alignment horizontal="left" wrapText="1"/>
    </xf>
    <xf numFmtId="0" fontId="59" fillId="58" borderId="18" xfId="0" applyFont="1" applyFill="1" applyBorder="1" applyAlignment="1">
      <alignment horizontal="left" wrapText="1"/>
    </xf>
    <xf numFmtId="0" fontId="59" fillId="59" borderId="18" xfId="0" applyFont="1" applyFill="1" applyBorder="1" applyAlignment="1">
      <alignment horizontal="left" wrapText="1"/>
    </xf>
    <xf numFmtId="0" fontId="59" fillId="8" borderId="18" xfId="0" applyFont="1" applyFill="1" applyBorder="1" applyAlignment="1">
      <alignment horizontal="center" vertical="center" wrapText="1"/>
    </xf>
    <xf numFmtId="0" fontId="59" fillId="52" borderId="5" xfId="0" applyFont="1" applyFill="1" applyBorder="1" applyAlignment="1">
      <alignment horizontal="center" wrapText="1"/>
    </xf>
    <xf numFmtId="0" fontId="59" fillId="52" borderId="8" xfId="0" applyFont="1" applyFill="1" applyBorder="1" applyAlignment="1">
      <alignment horizontal="center" wrapText="1"/>
    </xf>
    <xf numFmtId="0" fontId="59" fillId="53" borderId="8" xfId="0" applyFont="1" applyFill="1" applyBorder="1" applyAlignment="1">
      <alignment horizontal="center" wrapText="1"/>
    </xf>
    <xf numFmtId="0" fontId="59" fillId="54" borderId="8" xfId="0" applyFont="1" applyFill="1" applyBorder="1" applyAlignment="1">
      <alignment horizontal="center" wrapText="1"/>
    </xf>
    <xf numFmtId="0" fontId="59" fillId="55" borderId="8" xfId="0" applyFont="1" applyFill="1" applyBorder="1" applyAlignment="1">
      <alignment horizontal="center" wrapText="1"/>
    </xf>
    <xf numFmtId="0" fontId="59" fillId="56" borderId="8" xfId="0" applyFont="1" applyFill="1" applyBorder="1" applyAlignment="1">
      <alignment horizontal="center" wrapText="1"/>
    </xf>
    <xf numFmtId="0" fontId="59" fillId="57" borderId="8" xfId="0" applyFont="1" applyFill="1" applyBorder="1" applyAlignment="1">
      <alignment horizontal="center" wrapText="1"/>
    </xf>
    <xf numFmtId="0" fontId="59" fillId="58" borderId="8" xfId="0" applyFont="1" applyFill="1" applyBorder="1" applyAlignment="1">
      <alignment horizontal="center" wrapText="1"/>
    </xf>
    <xf numFmtId="0" fontId="59" fillId="59" borderId="8" xfId="0" applyFont="1" applyFill="1" applyBorder="1" applyAlignment="1">
      <alignment horizontal="center" wrapText="1"/>
    </xf>
    <xf numFmtId="0" fontId="59" fillId="8" borderId="8" xfId="0" applyFont="1" applyFill="1" applyBorder="1" applyAlignment="1">
      <alignment horizontal="center" wrapText="1"/>
    </xf>
    <xf numFmtId="1" fontId="57" fillId="5" borderId="8" xfId="9" applyNumberFormat="1" applyFont="1" applyFill="1" applyBorder="1" applyAlignment="1">
      <alignment horizontal="center" wrapText="1"/>
    </xf>
    <xf numFmtId="0" fontId="59" fillId="8" borderId="6" xfId="0" applyFont="1" applyFill="1" applyBorder="1" applyAlignment="1">
      <alignment horizontal="center" wrapText="1"/>
    </xf>
    <xf numFmtId="1" fontId="57" fillId="5" borderId="0" xfId="9" applyNumberFormat="1" applyFont="1" applyFill="1" applyBorder="1" applyAlignment="1">
      <alignment horizontal="center" wrapText="1"/>
    </xf>
    <xf numFmtId="0" fontId="57" fillId="5" borderId="3" xfId="9" applyFont="1" applyFill="1" applyBorder="1" applyAlignment="1">
      <alignment vertical="center" wrapText="1"/>
    </xf>
    <xf numFmtId="0" fontId="57" fillId="5" borderId="27" xfId="9" applyFont="1" applyFill="1" applyBorder="1" applyAlignment="1">
      <alignment horizontal="center" vertical="center" wrapText="1"/>
    </xf>
    <xf numFmtId="0" fontId="56" fillId="5" borderId="18" xfId="9" applyFont="1" applyFill="1" applyBorder="1" applyAlignment="1">
      <alignment wrapText="1"/>
    </xf>
    <xf numFmtId="0" fontId="57" fillId="5" borderId="44" xfId="9" applyFont="1" applyFill="1" applyBorder="1" applyAlignment="1">
      <alignment horizontal="center" wrapText="1"/>
    </xf>
    <xf numFmtId="0" fontId="0" fillId="0" borderId="44" xfId="0" applyBorder="1"/>
    <xf numFmtId="0" fontId="23" fillId="0" borderId="8" xfId="0" applyFont="1" applyFill="1" applyBorder="1" applyAlignment="1">
      <alignment horizontal="center" vertical="center" wrapText="1"/>
    </xf>
    <xf numFmtId="0" fontId="5" fillId="5" borderId="18" xfId="9" applyFont="1" applyFill="1" applyBorder="1" applyAlignment="1">
      <alignment horizontal="center" wrapText="1"/>
    </xf>
    <xf numFmtId="1" fontId="5" fillId="5" borderId="44" xfId="9" applyNumberFormat="1" applyFont="1" applyFill="1" applyBorder="1" applyAlignment="1">
      <alignment horizontal="center" wrapText="1"/>
    </xf>
    <xf numFmtId="0" fontId="23" fillId="8" borderId="25" xfId="0" applyFont="1" applyFill="1" applyBorder="1" applyAlignment="1">
      <alignment horizontal="left" vertical="center"/>
    </xf>
    <xf numFmtId="0" fontId="23" fillId="8" borderId="0" xfId="0" applyFont="1" applyFill="1" applyBorder="1" applyAlignment="1">
      <alignment horizontal="left" vertical="center"/>
    </xf>
    <xf numFmtId="0" fontId="23" fillId="0" borderId="0" xfId="0" applyFont="1" applyBorder="1" applyAlignment="1">
      <alignment horizontal="left" vertical="center" wrapText="1"/>
    </xf>
    <xf numFmtId="0" fontId="75" fillId="0" borderId="0" xfId="0" applyFont="1" applyBorder="1" applyAlignment="1">
      <alignment vertical="top"/>
    </xf>
    <xf numFmtId="0" fontId="59" fillId="0" borderId="0" xfId="0" applyFont="1" applyBorder="1" applyAlignment="1">
      <alignment horizontal="left" vertical="top"/>
    </xf>
    <xf numFmtId="0" fontId="23" fillId="0" borderId="8" xfId="0" applyFont="1" applyBorder="1" applyAlignment="1">
      <alignment horizontal="center" vertical="center" wrapText="1"/>
    </xf>
    <xf numFmtId="0" fontId="0" fillId="0" borderId="0" xfId="0" applyAlignment="1">
      <alignment horizontal="center" vertical="center"/>
    </xf>
    <xf numFmtId="0" fontId="24" fillId="8" borderId="48" xfId="0" applyFont="1" applyFill="1" applyBorder="1" applyAlignment="1">
      <alignment horizontal="left" wrapText="1"/>
    </xf>
    <xf numFmtId="0" fontId="24" fillId="8" borderId="94" xfId="0" applyFont="1" applyFill="1" applyBorder="1" applyAlignment="1">
      <alignment horizontal="left" wrapText="1"/>
    </xf>
    <xf numFmtId="0" fontId="23" fillId="0" borderId="25" xfId="0" applyFont="1" applyBorder="1" applyAlignment="1">
      <alignment horizontal="center" vertical="center"/>
    </xf>
    <xf numFmtId="0" fontId="3" fillId="8" borderId="92" xfId="0" applyFont="1" applyFill="1" applyBorder="1" applyAlignment="1">
      <alignment horizontal="center"/>
    </xf>
    <xf numFmtId="0" fontId="23" fillId="8" borderId="23" xfId="0" applyFont="1" applyFill="1" applyBorder="1" applyAlignment="1">
      <alignment horizontal="left" vertical="center"/>
    </xf>
    <xf numFmtId="0" fontId="3" fillId="8" borderId="100" xfId="0" applyFont="1" applyFill="1" applyBorder="1" applyAlignment="1">
      <alignment horizontal="center"/>
    </xf>
    <xf numFmtId="0" fontId="5" fillId="5" borderId="3" xfId="9" applyFont="1" applyFill="1" applyBorder="1" applyAlignment="1">
      <alignment horizontal="center" wrapText="1"/>
    </xf>
    <xf numFmtId="0" fontId="23" fillId="8" borderId="19" xfId="0" applyFont="1" applyFill="1" applyBorder="1" applyAlignment="1">
      <alignment horizontal="center"/>
    </xf>
    <xf numFmtId="0" fontId="23" fillId="0" borderId="6" xfId="0" applyFont="1" applyBorder="1"/>
    <xf numFmtId="0" fontId="23" fillId="0" borderId="0" xfId="0" applyFont="1" applyBorder="1"/>
    <xf numFmtId="0" fontId="28" fillId="5" borderId="26" xfId="6" applyFont="1" applyFill="1" applyBorder="1" applyAlignment="1">
      <alignment horizontal="center" vertical="center"/>
    </xf>
    <xf numFmtId="0" fontId="27" fillId="5" borderId="29" xfId="6" applyFont="1" applyFill="1" applyBorder="1" applyAlignment="1">
      <alignment horizontal="center" vertical="center"/>
    </xf>
    <xf numFmtId="0" fontId="28" fillId="5" borderId="29" xfId="6" applyFont="1" applyFill="1" applyBorder="1" applyAlignment="1">
      <alignment horizontal="center" vertical="center"/>
    </xf>
    <xf numFmtId="0" fontId="27" fillId="5" borderId="4" xfId="6" applyFont="1" applyFill="1" applyBorder="1" applyAlignment="1">
      <alignment horizontal="center" vertical="center"/>
    </xf>
    <xf numFmtId="0" fontId="28" fillId="5" borderId="4" xfId="6" applyFont="1" applyFill="1" applyBorder="1" applyAlignment="1">
      <alignment horizontal="center" vertical="center"/>
    </xf>
    <xf numFmtId="0" fontId="28" fillId="5" borderId="34" xfId="6" applyFont="1" applyFill="1" applyBorder="1" applyAlignment="1">
      <alignment horizontal="center" vertical="center"/>
    </xf>
    <xf numFmtId="0" fontId="28" fillId="5" borderId="35" xfId="6" applyFont="1" applyFill="1" applyBorder="1" applyAlignment="1">
      <alignment horizontal="center" vertical="center"/>
    </xf>
    <xf numFmtId="0" fontId="23" fillId="5" borderId="4" xfId="0" applyFont="1" applyFill="1" applyBorder="1" applyAlignment="1">
      <alignment horizontal="center"/>
    </xf>
    <xf numFmtId="0" fontId="29" fillId="6" borderId="29" xfId="7" applyFont="1" applyFill="1" applyBorder="1" applyAlignment="1"/>
    <xf numFmtId="167" fontId="23" fillId="0" borderId="0" xfId="0" applyNumberFormat="1" applyFont="1" applyFill="1" applyBorder="1" applyAlignment="1">
      <alignment horizontal="center" wrapText="1"/>
    </xf>
    <xf numFmtId="0" fontId="29" fillId="6" borderId="54" xfId="7" applyFont="1" applyFill="1" applyBorder="1" applyAlignment="1">
      <alignment wrapText="1"/>
    </xf>
    <xf numFmtId="0" fontId="28" fillId="5" borderId="54" xfId="6" applyFont="1" applyFill="1" applyBorder="1" applyAlignment="1">
      <alignment horizontal="center" vertical="center"/>
    </xf>
    <xf numFmtId="0" fontId="5" fillId="6" borderId="54" xfId="7" applyFont="1" applyFill="1" applyBorder="1" applyAlignment="1">
      <alignment wrapText="1"/>
    </xf>
    <xf numFmtId="0" fontId="15" fillId="5" borderId="54" xfId="6" applyFont="1" applyFill="1" applyBorder="1" applyAlignment="1">
      <alignment horizontal="center" vertical="center"/>
    </xf>
    <xf numFmtId="0" fontId="29" fillId="6" borderId="19" xfId="7" applyFont="1" applyFill="1" applyBorder="1" applyAlignment="1">
      <alignment wrapText="1"/>
    </xf>
    <xf numFmtId="0" fontId="28" fillId="5" borderId="57" xfId="6" applyFont="1" applyFill="1" applyBorder="1" applyAlignment="1">
      <alignment horizontal="center" vertical="center"/>
    </xf>
    <xf numFmtId="0" fontId="23" fillId="0" borderId="57" xfId="0" applyFont="1" applyBorder="1" applyAlignment="1">
      <alignment horizontal="center"/>
    </xf>
    <xf numFmtId="0" fontId="29" fillId="6" borderId="57" xfId="7" applyFont="1" applyFill="1" applyBorder="1" applyAlignment="1">
      <alignment wrapText="1"/>
    </xf>
    <xf numFmtId="0" fontId="5" fillId="6" borderId="20" xfId="7" applyFont="1" applyFill="1" applyBorder="1" applyAlignment="1">
      <alignment wrapText="1"/>
    </xf>
    <xf numFmtId="2" fontId="4" fillId="4" borderId="5" xfId="0" applyNumberFormat="1" applyFont="1" applyFill="1" applyBorder="1" applyAlignment="1">
      <alignment horizontal="center" vertical="center" wrapText="1"/>
    </xf>
    <xf numFmtId="0" fontId="27" fillId="5" borderId="54" xfId="6" applyFont="1" applyFill="1" applyBorder="1" applyAlignment="1">
      <alignment horizontal="center" vertical="center"/>
    </xf>
    <xf numFmtId="0" fontId="24" fillId="8" borderId="54" xfId="0" applyFont="1" applyFill="1" applyBorder="1" applyAlignment="1">
      <alignment horizontal="left" wrapText="1"/>
    </xf>
    <xf numFmtId="0" fontId="24" fillId="0" borderId="54" xfId="0" applyFont="1" applyFill="1" applyBorder="1" applyAlignment="1">
      <alignment horizontal="left" wrapText="1"/>
    </xf>
    <xf numFmtId="1" fontId="5" fillId="5" borderId="54" xfId="9" applyNumberFormat="1" applyFont="1" applyFill="1" applyBorder="1" applyAlignment="1">
      <alignment horizontal="center" wrapText="1"/>
    </xf>
    <xf numFmtId="0" fontId="23" fillId="0" borderId="54" xfId="0" applyFont="1" applyBorder="1"/>
    <xf numFmtId="0" fontId="5" fillId="6" borderId="51" xfId="7" applyFont="1" applyFill="1" applyBorder="1" applyAlignment="1">
      <alignment horizontal="center" wrapText="1"/>
    </xf>
    <xf numFmtId="0" fontId="5" fillId="6" borderId="53" xfId="7" applyFont="1" applyFill="1" applyBorder="1" applyAlignment="1">
      <alignment horizontal="center" wrapText="1"/>
    </xf>
    <xf numFmtId="0" fontId="29" fillId="6" borderId="20" xfId="7" applyFont="1" applyFill="1" applyBorder="1" applyAlignment="1">
      <alignment wrapText="1"/>
    </xf>
    <xf numFmtId="0" fontId="29" fillId="6" borderId="74" xfId="7" applyFont="1" applyFill="1" applyBorder="1" applyAlignment="1">
      <alignment wrapText="1"/>
    </xf>
    <xf numFmtId="0" fontId="27" fillId="5" borderId="92" xfId="6" applyFont="1" applyFill="1" applyBorder="1" applyAlignment="1">
      <alignment horizontal="center" vertical="center"/>
    </xf>
    <xf numFmtId="0" fontId="29" fillId="6" borderId="92" xfId="7" applyFont="1" applyFill="1" applyBorder="1" applyAlignment="1">
      <alignment wrapText="1"/>
    </xf>
    <xf numFmtId="0" fontId="5" fillId="6" borderId="75" xfId="7" applyFont="1" applyFill="1" applyBorder="1" applyAlignment="1">
      <alignment horizontal="center" wrapText="1"/>
    </xf>
    <xf numFmtId="0" fontId="29" fillId="6" borderId="72" xfId="7" applyFont="1" applyFill="1" applyBorder="1" applyAlignment="1">
      <alignment wrapText="1"/>
    </xf>
    <xf numFmtId="0" fontId="28" fillId="5" borderId="69" xfId="6" applyFont="1" applyFill="1" applyBorder="1" applyAlignment="1">
      <alignment horizontal="center" vertical="center"/>
    </xf>
    <xf numFmtId="0" fontId="29" fillId="6" borderId="69" xfId="7" applyFont="1" applyFill="1" applyBorder="1" applyAlignment="1">
      <alignment wrapText="1"/>
    </xf>
    <xf numFmtId="0" fontId="24" fillId="0" borderId="57" xfId="0" applyFont="1" applyFill="1" applyBorder="1" applyAlignment="1">
      <alignment horizontal="left" wrapText="1"/>
    </xf>
    <xf numFmtId="0" fontId="24" fillId="8" borderId="51" xfId="0" applyFont="1" applyFill="1" applyBorder="1" applyAlignment="1">
      <alignment horizontal="center" wrapText="1"/>
    </xf>
    <xf numFmtId="0" fontId="24" fillId="8" borderId="53" xfId="0" applyFont="1" applyFill="1" applyBorder="1" applyAlignment="1">
      <alignment horizontal="center" wrapText="1"/>
    </xf>
    <xf numFmtId="0" fontId="3" fillId="8" borderId="22" xfId="0" applyFont="1" applyFill="1" applyBorder="1" applyAlignment="1">
      <alignment horizontal="center"/>
    </xf>
    <xf numFmtId="0" fontId="24" fillId="8" borderId="22" xfId="0" applyFont="1" applyFill="1" applyBorder="1" applyAlignment="1">
      <alignment horizontal="left" wrapText="1"/>
    </xf>
    <xf numFmtId="0" fontId="15" fillId="5" borderId="92" xfId="6" applyFont="1" applyFill="1" applyBorder="1" applyAlignment="1">
      <alignment horizontal="center" vertical="center"/>
    </xf>
    <xf numFmtId="0" fontId="23" fillId="8" borderId="54" xfId="0" applyFont="1" applyFill="1" applyBorder="1" applyAlignment="1">
      <alignment horizontal="left"/>
    </xf>
    <xf numFmtId="0" fontId="23" fillId="8" borderId="53" xfId="0" applyFont="1" applyFill="1" applyBorder="1" applyAlignment="1">
      <alignment horizontal="center"/>
    </xf>
    <xf numFmtId="0" fontId="26" fillId="5" borderId="21" xfId="6" applyFill="1" applyBorder="1"/>
    <xf numFmtId="0" fontId="28" fillId="5" borderId="22" xfId="6" applyFont="1" applyFill="1" applyBorder="1" applyAlignment="1">
      <alignment horizontal="center" vertical="center"/>
    </xf>
    <xf numFmtId="0" fontId="26" fillId="5" borderId="22" xfId="6" applyFill="1" applyBorder="1"/>
    <xf numFmtId="0" fontId="3" fillId="5" borderId="52" xfId="6" applyFont="1" applyFill="1" applyBorder="1" applyAlignment="1">
      <alignment horizontal="center"/>
    </xf>
    <xf numFmtId="0" fontId="24" fillId="8" borderId="92" xfId="0" applyFont="1" applyFill="1" applyBorder="1" applyAlignment="1">
      <alignment horizontal="left" wrapText="1"/>
    </xf>
    <xf numFmtId="0" fontId="24" fillId="8" borderId="75" xfId="0" applyFont="1" applyFill="1" applyBorder="1" applyAlignment="1">
      <alignment horizontal="center" wrapText="1"/>
    </xf>
    <xf numFmtId="0" fontId="5" fillId="6" borderId="53" xfId="7" applyFont="1" applyFill="1" applyBorder="1" applyAlignment="1">
      <alignment horizontal="center" vertical="center" wrapText="1"/>
    </xf>
    <xf numFmtId="0" fontId="26" fillId="5" borderId="0" xfId="6" applyFill="1" applyBorder="1" applyAlignment="1">
      <alignment horizontal="center" vertical="center" textRotation="90"/>
    </xf>
    <xf numFmtId="0" fontId="26" fillId="5" borderId="0" xfId="6" applyFill="1" applyBorder="1"/>
    <xf numFmtId="0" fontId="28" fillId="5" borderId="27" xfId="6" applyFont="1" applyFill="1" applyBorder="1" applyAlignment="1">
      <alignment horizontal="center" vertical="center"/>
    </xf>
    <xf numFmtId="0" fontId="26" fillId="5" borderId="27" xfId="6" applyFill="1" applyBorder="1"/>
    <xf numFmtId="0" fontId="23" fillId="0" borderId="0" xfId="0" applyFont="1" applyFill="1" applyBorder="1" applyAlignment="1">
      <alignment horizontal="center"/>
    </xf>
    <xf numFmtId="0" fontId="28" fillId="5" borderId="0" xfId="6" applyFont="1" applyFill="1" applyBorder="1" applyAlignment="1">
      <alignment horizontal="center" vertical="center"/>
    </xf>
    <xf numFmtId="0" fontId="3" fillId="8" borderId="75" xfId="0" applyFont="1" applyFill="1" applyBorder="1" applyAlignment="1">
      <alignment horizontal="center"/>
    </xf>
    <xf numFmtId="0" fontId="29" fillId="6" borderId="55" xfId="7" applyFont="1" applyFill="1" applyBorder="1" applyAlignment="1">
      <alignment wrapText="1"/>
    </xf>
    <xf numFmtId="0" fontId="23" fillId="0" borderId="56" xfId="0" applyFont="1" applyBorder="1" applyAlignment="1">
      <alignment horizontal="center"/>
    </xf>
    <xf numFmtId="0" fontId="29" fillId="6" borderId="56" xfId="7" applyFont="1" applyFill="1" applyBorder="1" applyAlignment="1">
      <alignment wrapText="1"/>
    </xf>
    <xf numFmtId="0" fontId="5" fillId="6" borderId="76" xfId="7" applyFont="1" applyFill="1" applyBorder="1" applyAlignment="1">
      <alignment horizontal="center" wrapText="1"/>
    </xf>
    <xf numFmtId="0" fontId="0" fillId="0" borderId="0" xfId="0" applyAlignment="1">
      <alignment horizontal="center"/>
    </xf>
    <xf numFmtId="0" fontId="23" fillId="0" borderId="69" xfId="0" applyFont="1" applyBorder="1" applyAlignment="1">
      <alignment horizontal="left"/>
    </xf>
    <xf numFmtId="0" fontId="0" fillId="0" borderId="0" xfId="0" applyAlignment="1">
      <alignment horizontal="center"/>
    </xf>
    <xf numFmtId="3" fontId="69" fillId="0" borderId="0" xfId="0" applyNumberFormat="1" applyFont="1"/>
    <xf numFmtId="0" fontId="23" fillId="8" borderId="55" xfId="0" applyFont="1" applyFill="1" applyBorder="1" applyAlignment="1">
      <alignment horizontal="center" vertical="center"/>
    </xf>
    <xf numFmtId="0" fontId="23" fillId="0" borderId="0" xfId="0" applyFont="1" applyBorder="1" applyAlignment="1">
      <alignment horizontal="left"/>
    </xf>
    <xf numFmtId="0" fontId="24" fillId="0" borderId="0" xfId="0" applyFont="1" applyBorder="1" applyAlignment="1">
      <alignment horizontal="center" wrapText="1"/>
    </xf>
    <xf numFmtId="167" fontId="0" fillId="0" borderId="0" xfId="0" applyNumberFormat="1" applyBorder="1" applyAlignment="1">
      <alignment horizontal="center"/>
    </xf>
    <xf numFmtId="0" fontId="64" fillId="10" borderId="1" xfId="9" applyFont="1" applyFill="1" applyBorder="1" applyAlignment="1">
      <alignment horizontal="center" vertical="center" wrapText="1"/>
    </xf>
    <xf numFmtId="8" fontId="23" fillId="0" borderId="54" xfId="0" applyNumberFormat="1" applyFont="1" applyFill="1" applyBorder="1" applyAlignment="1">
      <alignment horizontal="center" wrapText="1"/>
    </xf>
    <xf numFmtId="0" fontId="23" fillId="8" borderId="74" xfId="0" applyFont="1" applyFill="1" applyBorder="1" applyAlignment="1">
      <alignment horizontal="center"/>
    </xf>
    <xf numFmtId="0" fontId="3" fillId="11" borderId="5" xfId="0" applyFont="1" applyFill="1" applyBorder="1" applyAlignment="1">
      <alignment horizontal="center" vertical="center"/>
    </xf>
    <xf numFmtId="0" fontId="57" fillId="44" borderId="25" xfId="9" applyFont="1" applyFill="1" applyBorder="1" applyAlignment="1">
      <alignment wrapText="1"/>
    </xf>
    <xf numFmtId="0" fontId="57" fillId="45" borderId="8" xfId="9" applyNumberFormat="1" applyFont="1" applyFill="1" applyBorder="1" applyAlignment="1">
      <alignment horizontal="center" wrapText="1"/>
    </xf>
    <xf numFmtId="0" fontId="57" fillId="46" borderId="8" xfId="9" applyNumberFormat="1" applyFont="1" applyFill="1" applyBorder="1" applyAlignment="1">
      <alignment horizontal="center" wrapText="1"/>
    </xf>
    <xf numFmtId="0" fontId="57" fillId="48" borderId="8" xfId="9" applyNumberFormat="1" applyFont="1" applyFill="1" applyBorder="1" applyAlignment="1">
      <alignment horizontal="center" wrapText="1"/>
    </xf>
    <xf numFmtId="0" fontId="57" fillId="49" borderId="8" xfId="9" applyNumberFormat="1" applyFont="1" applyFill="1" applyBorder="1" applyAlignment="1">
      <alignment horizontal="center" wrapText="1"/>
    </xf>
    <xf numFmtId="0" fontId="57" fillId="50" borderId="8" xfId="9" applyNumberFormat="1" applyFont="1" applyFill="1" applyBorder="1" applyAlignment="1">
      <alignment horizontal="center" wrapText="1"/>
    </xf>
    <xf numFmtId="0" fontId="57" fillId="51" borderId="8" xfId="9" applyNumberFormat="1" applyFont="1" applyFill="1" applyBorder="1" applyAlignment="1">
      <alignment horizontal="center" wrapText="1"/>
    </xf>
    <xf numFmtId="0" fontId="57" fillId="5" borderId="8" xfId="9" applyNumberFormat="1" applyFont="1" applyFill="1" applyBorder="1" applyAlignment="1">
      <alignment horizontal="center" wrapText="1"/>
    </xf>
    <xf numFmtId="0" fontId="57" fillId="5" borderId="6" xfId="9" applyNumberFormat="1" applyFont="1" applyFill="1" applyBorder="1" applyAlignment="1">
      <alignment horizontal="center" wrapText="1"/>
    </xf>
    <xf numFmtId="0" fontId="57" fillId="49" borderId="5" xfId="9" applyNumberFormat="1" applyFont="1" applyFill="1" applyBorder="1" applyAlignment="1">
      <alignment horizontal="center" wrapText="1"/>
    </xf>
    <xf numFmtId="0" fontId="57" fillId="62" borderId="8" xfId="9" applyNumberFormat="1" applyFont="1" applyFill="1" applyBorder="1" applyAlignment="1">
      <alignment horizontal="center" wrapText="1"/>
    </xf>
    <xf numFmtId="0" fontId="57" fillId="63" borderId="8" xfId="9" applyNumberFormat="1" applyFont="1" applyFill="1" applyBorder="1" applyAlignment="1">
      <alignment horizontal="center" wrapText="1"/>
    </xf>
    <xf numFmtId="0" fontId="57" fillId="64" borderId="8" xfId="9" applyNumberFormat="1" applyFont="1" applyFill="1" applyBorder="1" applyAlignment="1">
      <alignment horizontal="center" wrapText="1"/>
    </xf>
    <xf numFmtId="0" fontId="57" fillId="65" borderId="8" xfId="9" applyNumberFormat="1" applyFont="1" applyFill="1" applyBorder="1" applyAlignment="1">
      <alignment horizontal="center" wrapText="1"/>
    </xf>
    <xf numFmtId="0" fontId="57" fillId="66" borderId="8" xfId="9" applyNumberFormat="1" applyFont="1" applyFill="1" applyBorder="1" applyAlignment="1">
      <alignment horizontal="center" wrapText="1"/>
    </xf>
    <xf numFmtId="0" fontId="57" fillId="50" borderId="18" xfId="9" applyFont="1" applyFill="1" applyBorder="1" applyAlignment="1">
      <alignment wrapText="1"/>
    </xf>
    <xf numFmtId="0" fontId="57" fillId="50" borderId="26" xfId="9" applyFont="1" applyFill="1" applyBorder="1" applyAlignment="1">
      <alignment wrapText="1"/>
    </xf>
    <xf numFmtId="0" fontId="57" fillId="72" borderId="18" xfId="9" applyFont="1" applyFill="1" applyBorder="1" applyAlignment="1">
      <alignment wrapText="1"/>
    </xf>
    <xf numFmtId="0" fontId="57" fillId="72" borderId="8" xfId="9" applyNumberFormat="1" applyFont="1" applyFill="1" applyBorder="1" applyAlignment="1">
      <alignment horizontal="center" wrapText="1"/>
    </xf>
    <xf numFmtId="0" fontId="57" fillId="5" borderId="4" xfId="9" applyFont="1" applyFill="1" applyBorder="1" applyAlignment="1">
      <alignment wrapText="1"/>
    </xf>
    <xf numFmtId="0" fontId="57" fillId="49" borderId="5" xfId="9" applyFont="1" applyFill="1" applyBorder="1" applyAlignment="1">
      <alignment horizontal="center" wrapText="1"/>
    </xf>
    <xf numFmtId="0" fontId="57" fillId="49" borderId="8" xfId="9" applyFont="1" applyFill="1" applyBorder="1" applyAlignment="1">
      <alignment horizontal="center" wrapText="1"/>
    </xf>
    <xf numFmtId="0" fontId="57" fillId="62" borderId="8" xfId="9" applyFont="1" applyFill="1" applyBorder="1" applyAlignment="1">
      <alignment horizontal="center" wrapText="1"/>
    </xf>
    <xf numFmtId="0" fontId="57" fillId="63" borderId="8" xfId="9" applyFont="1" applyFill="1" applyBorder="1" applyAlignment="1">
      <alignment horizontal="center" wrapText="1"/>
    </xf>
    <xf numFmtId="0" fontId="57" fillId="64" borderId="8" xfId="9" applyFont="1" applyFill="1" applyBorder="1" applyAlignment="1">
      <alignment horizontal="center" wrapText="1"/>
    </xf>
    <xf numFmtId="0" fontId="57" fillId="69" borderId="8" xfId="9" applyFont="1" applyFill="1" applyBorder="1" applyAlignment="1">
      <alignment horizontal="center" wrapText="1"/>
    </xf>
    <xf numFmtId="0" fontId="57" fillId="65" borderId="8" xfId="9" applyFont="1" applyFill="1" applyBorder="1" applyAlignment="1">
      <alignment horizontal="center" wrapText="1"/>
    </xf>
    <xf numFmtId="0" fontId="57" fillId="66" borderId="8" xfId="9" applyFont="1" applyFill="1" applyBorder="1" applyAlignment="1">
      <alignment horizontal="center" wrapText="1"/>
    </xf>
    <xf numFmtId="0" fontId="57" fillId="67" borderId="8" xfId="9" applyNumberFormat="1" applyFont="1" applyFill="1" applyBorder="1" applyAlignment="1">
      <alignment horizontal="center" wrapText="1"/>
    </xf>
    <xf numFmtId="0" fontId="57" fillId="67" borderId="8" xfId="9" applyFont="1" applyFill="1" applyBorder="1" applyAlignment="1">
      <alignment horizontal="center" wrapText="1"/>
    </xf>
    <xf numFmtId="0" fontId="57" fillId="68" borderId="8" xfId="9" applyNumberFormat="1" applyFont="1" applyFill="1" applyBorder="1" applyAlignment="1">
      <alignment horizontal="center" wrapText="1"/>
    </xf>
    <xf numFmtId="0" fontId="57" fillId="68" borderId="8" xfId="9" applyFont="1" applyFill="1" applyBorder="1" applyAlignment="1">
      <alignment horizontal="center" wrapText="1"/>
    </xf>
    <xf numFmtId="0" fontId="57" fillId="5" borderId="6" xfId="9" applyFont="1" applyFill="1" applyBorder="1" applyAlignment="1">
      <alignment horizontal="center" wrapText="1"/>
    </xf>
    <xf numFmtId="0" fontId="11" fillId="3" borderId="11" xfId="1" applyFont="1" applyFill="1" applyBorder="1" applyAlignment="1">
      <alignment vertical="center" wrapText="1"/>
    </xf>
    <xf numFmtId="0" fontId="57" fillId="73" borderId="25" xfId="9" applyFont="1" applyFill="1" applyBorder="1" applyAlignment="1">
      <alignment wrapText="1"/>
    </xf>
    <xf numFmtId="0" fontId="57" fillId="73" borderId="5" xfId="9" applyNumberFormat="1" applyFont="1" applyFill="1" applyBorder="1" applyAlignment="1">
      <alignment horizontal="center" wrapText="1"/>
    </xf>
    <xf numFmtId="0" fontId="57" fillId="73" borderId="5" xfId="9" applyFont="1" applyFill="1" applyBorder="1" applyAlignment="1">
      <alignment horizontal="center" wrapText="1"/>
    </xf>
    <xf numFmtId="0" fontId="57" fillId="73" borderId="0" xfId="9" applyFont="1" applyFill="1" applyBorder="1" applyAlignment="1">
      <alignment wrapText="1"/>
    </xf>
    <xf numFmtId="0" fontId="57" fillId="73" borderId="8" xfId="9" applyNumberFormat="1" applyFont="1" applyFill="1" applyBorder="1" applyAlignment="1">
      <alignment horizontal="center" wrapText="1"/>
    </xf>
    <xf numFmtId="0" fontId="57" fillId="73" borderId="8" xfId="9" applyFont="1" applyFill="1" applyBorder="1" applyAlignment="1">
      <alignment horizontal="center" wrapText="1"/>
    </xf>
    <xf numFmtId="0" fontId="57" fillId="73" borderId="6" xfId="9" applyFont="1" applyFill="1" applyBorder="1" applyAlignment="1">
      <alignment horizontal="center" wrapText="1"/>
    </xf>
    <xf numFmtId="0" fontId="76" fillId="73" borderId="9" xfId="9" applyFont="1" applyFill="1" applyBorder="1" applyAlignment="1">
      <alignment wrapText="1"/>
    </xf>
    <xf numFmtId="0" fontId="57" fillId="50" borderId="1" xfId="9" applyFont="1" applyFill="1" applyBorder="1" applyAlignment="1">
      <alignment wrapText="1"/>
    </xf>
    <xf numFmtId="0" fontId="57" fillId="50" borderId="5" xfId="9" applyNumberFormat="1" applyFont="1" applyFill="1" applyBorder="1" applyAlignment="1">
      <alignment horizontal="center" wrapText="1"/>
    </xf>
    <xf numFmtId="0" fontId="57" fillId="50" borderId="2" xfId="9" applyFont="1" applyFill="1" applyBorder="1" applyAlignment="1">
      <alignment wrapText="1"/>
    </xf>
    <xf numFmtId="0" fontId="57" fillId="45" borderId="18" xfId="9" applyFont="1" applyFill="1" applyBorder="1" applyAlignment="1">
      <alignment wrapText="1"/>
    </xf>
    <xf numFmtId="0" fontId="57" fillId="45" borderId="26" xfId="9" applyFont="1" applyFill="1" applyBorder="1" applyAlignment="1">
      <alignment wrapText="1"/>
    </xf>
    <xf numFmtId="0" fontId="57" fillId="46" borderId="18" xfId="9" applyFont="1" applyFill="1" applyBorder="1" applyAlignment="1">
      <alignment wrapText="1"/>
    </xf>
    <xf numFmtId="0" fontId="57" fillId="46" borderId="26" xfId="9" applyFont="1" applyFill="1" applyBorder="1" applyAlignment="1">
      <alignment wrapText="1"/>
    </xf>
    <xf numFmtId="0" fontId="57" fillId="51" borderId="18" xfId="9" applyFont="1" applyFill="1" applyBorder="1" applyAlignment="1">
      <alignment wrapText="1"/>
    </xf>
    <xf numFmtId="0" fontId="57" fillId="51" borderId="26" xfId="9" applyFont="1" applyFill="1" applyBorder="1" applyAlignment="1">
      <alignment wrapText="1"/>
    </xf>
    <xf numFmtId="0" fontId="0" fillId="0" borderId="0" xfId="0" applyAlignment="1">
      <alignment horizontal="center" vertical="center"/>
    </xf>
    <xf numFmtId="0" fontId="0" fillId="0" borderId="0" xfId="0" applyAlignment="1">
      <alignment horizontal="center"/>
    </xf>
    <xf numFmtId="0" fontId="41" fillId="0" borderId="0" xfId="0" applyFont="1" applyAlignment="1">
      <alignment horizontal="center" vertical="center"/>
    </xf>
    <xf numFmtId="0" fontId="0" fillId="0" borderId="54" xfId="0" applyBorder="1" applyAlignment="1">
      <alignment horizontal="center"/>
    </xf>
    <xf numFmtId="3" fontId="23" fillId="0" borderId="0" xfId="0" applyNumberFormat="1" applyFont="1" applyBorder="1" applyAlignment="1">
      <alignment horizontal="center"/>
    </xf>
    <xf numFmtId="0" fontId="0" fillId="0" borderId="101" xfId="0" applyBorder="1"/>
    <xf numFmtId="0" fontId="0" fillId="0" borderId="44" xfId="0" applyFill="1" applyBorder="1"/>
    <xf numFmtId="0" fontId="0" fillId="0" borderId="69" xfId="0" applyFill="1" applyBorder="1"/>
    <xf numFmtId="0" fontId="41" fillId="0" borderId="54" xfId="0" applyFont="1" applyBorder="1" applyAlignment="1">
      <alignment horizontal="center" vertical="center"/>
    </xf>
    <xf numFmtId="0" fontId="0" fillId="0" borderId="54" xfId="0" applyBorder="1" applyAlignment="1">
      <alignment horizontal="center" vertical="center"/>
    </xf>
    <xf numFmtId="0" fontId="0" fillId="0" borderId="103" xfId="0" applyBorder="1"/>
    <xf numFmtId="0" fontId="0" fillId="0" borderId="47" xfId="0" applyBorder="1"/>
    <xf numFmtId="0" fontId="0" fillId="0" borderId="104" xfId="0" applyBorder="1" applyAlignment="1">
      <alignment wrapText="1"/>
    </xf>
    <xf numFmtId="0" fontId="0" fillId="0" borderId="0" xfId="0" applyAlignment="1">
      <alignment horizontal="center" vertical="center"/>
    </xf>
    <xf numFmtId="3" fontId="25" fillId="0" borderId="0" xfId="0" applyNumberFormat="1" applyFont="1" applyAlignment="1">
      <alignment horizontal="center"/>
    </xf>
    <xf numFmtId="0" fontId="0" fillId="0" borderId="0" xfId="0" applyAlignment="1">
      <alignment horizontal="center" vertical="center"/>
    </xf>
    <xf numFmtId="0" fontId="77" fillId="0" borderId="0" xfId="0" applyFont="1"/>
    <xf numFmtId="3" fontId="23" fillId="0" borderId="0" xfId="0" applyNumberFormat="1" applyFont="1"/>
    <xf numFmtId="0" fontId="24" fillId="0" borderId="25" xfId="0" applyFont="1" applyBorder="1" applyAlignment="1">
      <alignment horizontal="left"/>
    </xf>
    <xf numFmtId="0" fontId="24" fillId="0" borderId="27" xfId="0" applyFont="1" applyBorder="1" applyAlignment="1">
      <alignment horizontal="left"/>
    </xf>
    <xf numFmtId="0" fontId="24" fillId="0" borderId="1" xfId="0" applyFont="1" applyBorder="1" applyAlignment="1">
      <alignment horizontal="left"/>
    </xf>
    <xf numFmtId="0" fontId="24" fillId="0" borderId="3" xfId="0" applyFont="1" applyBorder="1" applyAlignment="1">
      <alignment horizontal="left"/>
    </xf>
    <xf numFmtId="0" fontId="24" fillId="0" borderId="18" xfId="0" applyFont="1" applyBorder="1" applyAlignment="1">
      <alignment horizontal="left"/>
    </xf>
    <xf numFmtId="0" fontId="23" fillId="0" borderId="3" xfId="0" applyFont="1" applyBorder="1" applyAlignment="1">
      <alignment horizontal="left"/>
    </xf>
    <xf numFmtId="0" fontId="0" fillId="0" borderId="25" xfId="0" applyBorder="1"/>
    <xf numFmtId="0" fontId="40" fillId="0" borderId="1" xfId="0" applyFont="1" applyBorder="1" applyAlignment="1">
      <alignment horizontal="center" vertical="center"/>
    </xf>
    <xf numFmtId="0" fontId="40" fillId="0" borderId="18" xfId="0" applyFont="1" applyBorder="1" applyAlignment="1">
      <alignment horizontal="center" vertical="center"/>
    </xf>
    <xf numFmtId="0" fontId="40" fillId="0" borderId="3" xfId="0" applyFont="1" applyBorder="1" applyAlignment="1">
      <alignment horizontal="center" vertical="center"/>
    </xf>
    <xf numFmtId="0" fontId="23" fillId="0" borderId="5" xfId="0" applyFont="1" applyBorder="1" applyAlignment="1">
      <alignment horizontal="left"/>
    </xf>
    <xf numFmtId="0" fontId="0" fillId="5" borderId="18" xfId="0" applyFill="1" applyBorder="1" applyAlignment="1">
      <alignment wrapText="1"/>
    </xf>
    <xf numFmtId="0" fontId="23" fillId="0" borderId="18" xfId="0" applyFont="1" applyBorder="1" applyAlignment="1">
      <alignment horizontal="left"/>
    </xf>
    <xf numFmtId="0" fontId="57" fillId="5" borderId="3" xfId="9" applyFont="1" applyFill="1" applyBorder="1" applyAlignment="1">
      <alignment horizontal="center" wrapText="1"/>
    </xf>
    <xf numFmtId="0" fontId="23" fillId="0" borderId="1" xfId="0" applyFont="1" applyFill="1" applyBorder="1" applyAlignment="1">
      <alignment horizontal="center"/>
    </xf>
    <xf numFmtId="0" fontId="23" fillId="0" borderId="18" xfId="0" applyFont="1" applyFill="1" applyBorder="1" applyAlignment="1">
      <alignment horizontal="center"/>
    </xf>
    <xf numFmtId="1" fontId="57" fillId="5" borderId="3" xfId="9" applyNumberFormat="1" applyFont="1" applyFill="1" applyBorder="1" applyAlignment="1">
      <alignment horizontal="center" wrapText="1"/>
    </xf>
    <xf numFmtId="0" fontId="24" fillId="0" borderId="8" xfId="0" applyFont="1" applyBorder="1" applyAlignment="1">
      <alignment horizontal="left" wrapText="1"/>
    </xf>
    <xf numFmtId="0" fontId="24" fillId="5" borderId="8" xfId="0" applyFont="1" applyFill="1" applyBorder="1" applyAlignment="1">
      <alignment wrapText="1"/>
    </xf>
    <xf numFmtId="0" fontId="5" fillId="0" borderId="19" xfId="0" applyFont="1" applyFill="1" applyBorder="1" applyAlignment="1">
      <alignment horizontal="center" vertical="center" wrapText="1"/>
    </xf>
    <xf numFmtId="2" fontId="1" fillId="0" borderId="57" xfId="0" applyNumberFormat="1" applyFont="1" applyFill="1" applyBorder="1" applyAlignment="1">
      <alignment horizontal="center" vertical="center"/>
    </xf>
    <xf numFmtId="3" fontId="21" fillId="5" borderId="57" xfId="0" applyNumberFormat="1" applyFont="1" applyFill="1" applyBorder="1" applyAlignment="1">
      <alignment horizontal="center" vertical="center" wrapText="1"/>
    </xf>
    <xf numFmtId="1" fontId="5" fillId="0" borderId="57" xfId="0" applyNumberFormat="1" applyFont="1" applyFill="1" applyBorder="1" applyAlignment="1">
      <alignment horizontal="center" vertical="center" wrapText="1"/>
    </xf>
    <xf numFmtId="2" fontId="1" fillId="0" borderId="22" xfId="0" applyNumberFormat="1" applyFont="1" applyFill="1" applyBorder="1" applyAlignment="1">
      <alignment horizontal="center" vertical="center"/>
    </xf>
    <xf numFmtId="3" fontId="21" fillId="5" borderId="22" xfId="0" applyNumberFormat="1" applyFont="1" applyFill="1" applyBorder="1" applyAlignment="1">
      <alignment horizontal="center" vertical="center" wrapText="1"/>
    </xf>
    <xf numFmtId="2" fontId="0" fillId="0" borderId="22" xfId="0" applyNumberFormat="1" applyFill="1" applyBorder="1" applyAlignment="1">
      <alignment horizontal="center" vertical="center"/>
    </xf>
    <xf numFmtId="1" fontId="5" fillId="0" borderId="22" xfId="0" applyNumberFormat="1" applyFont="1" applyFill="1" applyBorder="1" applyAlignment="1">
      <alignment horizontal="center" vertical="center" wrapText="1"/>
    </xf>
    <xf numFmtId="0" fontId="0" fillId="0" borderId="0" xfId="0" applyAlignment="1">
      <alignment vertical="center"/>
    </xf>
    <xf numFmtId="49" fontId="38" fillId="0" borderId="8" xfId="0" applyNumberFormat="1" applyFont="1" applyBorder="1" applyAlignment="1">
      <alignment horizontal="center" vertical="center" wrapText="1"/>
    </xf>
    <xf numFmtId="0" fontId="38" fillId="0" borderId="18" xfId="0" applyFont="1" applyBorder="1" applyAlignment="1">
      <alignment vertical="center" wrapText="1"/>
    </xf>
    <xf numFmtId="0" fontId="39" fillId="0" borderId="26" xfId="0" applyFont="1" applyBorder="1" applyAlignment="1">
      <alignment horizontal="center" vertical="center"/>
    </xf>
    <xf numFmtId="0" fontId="39" fillId="0" borderId="0" xfId="0" applyFont="1" applyBorder="1" applyAlignment="1">
      <alignment vertical="center"/>
    </xf>
    <xf numFmtId="0" fontId="39" fillId="0" borderId="8" xfId="0" applyFont="1" applyBorder="1" applyAlignment="1">
      <alignment horizontal="center" vertical="center"/>
    </xf>
    <xf numFmtId="0" fontId="59" fillId="52" borderId="25" xfId="0" applyFont="1" applyFill="1" applyBorder="1" applyAlignment="1">
      <alignment horizontal="left" wrapText="1"/>
    </xf>
    <xf numFmtId="0" fontId="60" fillId="52" borderId="25" xfId="0" applyFont="1" applyFill="1" applyBorder="1" applyAlignment="1">
      <alignment horizontal="left" wrapText="1"/>
    </xf>
    <xf numFmtId="0" fontId="59" fillId="52" borderId="0" xfId="0" applyFont="1" applyFill="1" applyAlignment="1">
      <alignment horizontal="left" wrapText="1"/>
    </xf>
    <xf numFmtId="0" fontId="60" fillId="52" borderId="0" xfId="0" applyFont="1" applyFill="1" applyAlignment="1">
      <alignment horizontal="left" wrapText="1"/>
    </xf>
    <xf numFmtId="0" fontId="59" fillId="53" borderId="0" xfId="0" applyFont="1" applyFill="1" applyAlignment="1">
      <alignment horizontal="left" wrapText="1"/>
    </xf>
    <xf numFmtId="0" fontId="60" fillId="53" borderId="0" xfId="0" applyFont="1" applyFill="1" applyAlignment="1">
      <alignment horizontal="left" wrapText="1"/>
    </xf>
    <xf numFmtId="0" fontId="59" fillId="54" borderId="0" xfId="0" applyFont="1" applyFill="1" applyAlignment="1">
      <alignment horizontal="left" wrapText="1"/>
    </xf>
    <xf numFmtId="0" fontId="60" fillId="54" borderId="0" xfId="0" applyFont="1" applyFill="1" applyAlignment="1">
      <alignment horizontal="left" wrapText="1"/>
    </xf>
    <xf numFmtId="0" fontId="59" fillId="55" borderId="0" xfId="0" applyFont="1" applyFill="1" applyAlignment="1">
      <alignment horizontal="left" wrapText="1"/>
    </xf>
    <xf numFmtId="0" fontId="60" fillId="55" borderId="0" xfId="0" applyFont="1" applyFill="1" applyAlignment="1">
      <alignment horizontal="left" wrapText="1"/>
    </xf>
    <xf numFmtId="0" fontId="59" fillId="56" borderId="0" xfId="0" applyFont="1" applyFill="1" applyAlignment="1">
      <alignment horizontal="left" wrapText="1"/>
    </xf>
    <xf numFmtId="0" fontId="60" fillId="56" borderId="0" xfId="0" applyFont="1" applyFill="1" applyAlignment="1">
      <alignment horizontal="left" wrapText="1"/>
    </xf>
    <xf numFmtId="0" fontId="59" fillId="57" borderId="0" xfId="0" applyFont="1" applyFill="1" applyAlignment="1">
      <alignment horizontal="left" wrapText="1"/>
    </xf>
    <xf numFmtId="0" fontId="60" fillId="57" borderId="0" xfId="0" applyFont="1" applyFill="1" applyAlignment="1">
      <alignment horizontal="left" wrapText="1"/>
    </xf>
    <xf numFmtId="0" fontId="59" fillId="58" borderId="0" xfId="0" applyFont="1" applyFill="1" applyAlignment="1">
      <alignment horizontal="left" wrapText="1"/>
    </xf>
    <xf numFmtId="0" fontId="60" fillId="58" borderId="0" xfId="0" applyFont="1" applyFill="1" applyAlignment="1">
      <alignment horizontal="left" wrapText="1"/>
    </xf>
    <xf numFmtId="0" fontId="59" fillId="59" borderId="0" xfId="0" applyFont="1" applyFill="1" applyAlignment="1">
      <alignment horizontal="left" wrapText="1"/>
    </xf>
    <xf numFmtId="0" fontId="60" fillId="59" borderId="0" xfId="0" applyFont="1" applyFill="1" applyAlignment="1">
      <alignment horizontal="left" wrapText="1"/>
    </xf>
    <xf numFmtId="0" fontId="59" fillId="8" borderId="0" xfId="0" applyFont="1" applyFill="1" applyAlignment="1">
      <alignment horizontal="left" wrapText="1"/>
    </xf>
    <xf numFmtId="0" fontId="60" fillId="8" borderId="0" xfId="0" applyFont="1" applyFill="1" applyAlignment="1">
      <alignment horizontal="left" wrapText="1"/>
    </xf>
    <xf numFmtId="0" fontId="59" fillId="8" borderId="27" xfId="0" applyFont="1" applyFill="1" applyBorder="1" applyAlignment="1">
      <alignment horizontal="left" wrapText="1"/>
    </xf>
    <xf numFmtId="0" fontId="60" fillId="8" borderId="27" xfId="0" applyFont="1" applyFill="1" applyBorder="1" applyAlignment="1">
      <alignment horizontal="left" wrapText="1"/>
    </xf>
    <xf numFmtId="0" fontId="0" fillId="70" borderId="5" xfId="0" applyFill="1" applyBorder="1"/>
    <xf numFmtId="0" fontId="0" fillId="70" borderId="8" xfId="0" applyFill="1" applyBorder="1"/>
    <xf numFmtId="0" fontId="0" fillId="70" borderId="0" xfId="0" applyFill="1" applyBorder="1" applyAlignment="1"/>
    <xf numFmtId="0" fontId="0" fillId="70" borderId="0" xfId="0" applyFill="1" applyBorder="1" applyAlignment="1">
      <alignment horizontal="center"/>
    </xf>
    <xf numFmtId="0" fontId="0" fillId="70" borderId="26" xfId="0" applyFill="1" applyBorder="1"/>
    <xf numFmtId="0" fontId="0" fillId="70" borderId="6" xfId="0" applyFill="1" applyBorder="1"/>
    <xf numFmtId="0" fontId="0" fillId="70" borderId="27" xfId="0" applyFill="1" applyBorder="1" applyAlignment="1"/>
    <xf numFmtId="0" fontId="0" fillId="70" borderId="27" xfId="0" applyFill="1" applyBorder="1" applyAlignment="1">
      <alignment horizontal="center"/>
    </xf>
    <xf numFmtId="0" fontId="0" fillId="70" borderId="4" xfId="0" applyFill="1" applyBorder="1"/>
    <xf numFmtId="0" fontId="23" fillId="0" borderId="12" xfId="0" applyFont="1" applyBorder="1" applyAlignment="1">
      <alignment horizontal="justify"/>
    </xf>
    <xf numFmtId="0" fontId="23" fillId="0" borderId="11" xfId="0" applyFont="1" applyBorder="1" applyAlignment="1">
      <alignment horizontal="center"/>
    </xf>
    <xf numFmtId="0" fontId="23" fillId="0" borderId="11" xfId="0" applyFont="1" applyBorder="1" applyAlignment="1">
      <alignment horizontal="justify"/>
    </xf>
    <xf numFmtId="0" fontId="23" fillId="0" borderId="6" xfId="0" applyFont="1" applyBorder="1" applyAlignment="1">
      <alignment horizontal="justify"/>
    </xf>
    <xf numFmtId="0" fontId="23" fillId="0" borderId="4" xfId="0" applyFont="1" applyBorder="1" applyAlignment="1">
      <alignment horizontal="justify"/>
    </xf>
    <xf numFmtId="0" fontId="24" fillId="0" borderId="6" xfId="0" applyFont="1" applyBorder="1" applyAlignment="1">
      <alignment horizontal="justify" wrapText="1"/>
    </xf>
    <xf numFmtId="0" fontId="24" fillId="0" borderId="4" xfId="0" applyFont="1" applyBorder="1" applyAlignment="1">
      <alignment horizontal="justify" wrapText="1"/>
    </xf>
    <xf numFmtId="0" fontId="71" fillId="76" borderId="12" xfId="0" applyFont="1" applyFill="1" applyBorder="1" applyAlignment="1">
      <alignment horizontal="center" wrapText="1"/>
    </xf>
    <xf numFmtId="0" fontId="71" fillId="76" borderId="4" xfId="0" applyFont="1" applyFill="1" applyBorder="1" applyAlignment="1">
      <alignment horizontal="justify" wrapText="1"/>
    </xf>
    <xf numFmtId="0" fontId="71" fillId="76" borderId="4" xfId="0" applyFont="1" applyFill="1" applyBorder="1" applyAlignment="1">
      <alignment horizontal="center" wrapText="1"/>
    </xf>
    <xf numFmtId="0" fontId="80" fillId="0" borderId="8" xfId="0" applyFont="1" applyBorder="1" applyAlignment="1">
      <alignment horizontal="center" wrapText="1"/>
    </xf>
    <xf numFmtId="0" fontId="81" fillId="0" borderId="106" xfId="0" applyFont="1" applyBorder="1" applyAlignment="1">
      <alignment horizontal="justify" wrapText="1"/>
    </xf>
    <xf numFmtId="0" fontId="81" fillId="0" borderId="106" xfId="0" applyFont="1" applyBorder="1" applyAlignment="1">
      <alignment horizontal="center" wrapText="1"/>
    </xf>
    <xf numFmtId="0" fontId="71" fillId="0" borderId="106" xfId="0" applyFont="1" applyBorder="1" applyAlignment="1">
      <alignment horizontal="center" wrapText="1"/>
    </xf>
    <xf numFmtId="0" fontId="80" fillId="0" borderId="6" xfId="0" applyFont="1" applyBorder="1" applyAlignment="1">
      <alignment horizontal="center" wrapText="1"/>
    </xf>
    <xf numFmtId="0" fontId="81" fillId="0" borderId="4" xfId="0" applyFont="1" applyBorder="1" applyAlignment="1">
      <alignment horizontal="justify" wrapText="1"/>
    </xf>
    <xf numFmtId="0" fontId="81" fillId="0" borderId="4" xfId="0" applyFont="1" applyBorder="1" applyAlignment="1">
      <alignment horizontal="center" wrapText="1"/>
    </xf>
    <xf numFmtId="0" fontId="71" fillId="0" borderId="4" xfId="0" applyFont="1" applyBorder="1" applyAlignment="1">
      <alignment horizontal="center" wrapText="1"/>
    </xf>
    <xf numFmtId="0" fontId="82" fillId="0" borderId="106" xfId="0" applyFont="1" applyBorder="1" applyAlignment="1">
      <alignment horizontal="center" wrapText="1"/>
    </xf>
    <xf numFmtId="0" fontId="81" fillId="0" borderId="26" xfId="0" applyFont="1" applyBorder="1" applyAlignment="1">
      <alignment horizontal="justify" wrapText="1"/>
    </xf>
    <xf numFmtId="0" fontId="81" fillId="0" borderId="26" xfId="0" applyFont="1" applyBorder="1" applyAlignment="1">
      <alignment horizontal="center" wrapText="1"/>
    </xf>
    <xf numFmtId="0" fontId="71" fillId="0" borderId="26" xfId="0" applyFont="1" applyBorder="1" applyAlignment="1">
      <alignment horizontal="center" wrapText="1"/>
    </xf>
    <xf numFmtId="0" fontId="81" fillId="0" borderId="107" xfId="0" applyFont="1" applyBorder="1" applyAlignment="1">
      <alignment horizontal="justify" wrapText="1"/>
    </xf>
    <xf numFmtId="0" fontId="81" fillId="0" borderId="107" xfId="0" applyFont="1" applyBorder="1" applyAlignment="1">
      <alignment horizontal="center" wrapText="1"/>
    </xf>
    <xf numFmtId="0" fontId="71" fillId="0" borderId="107" xfId="0" applyFont="1" applyBorder="1" applyAlignment="1">
      <alignment horizontal="center" wrapText="1"/>
    </xf>
    <xf numFmtId="0" fontId="23" fillId="0" borderId="26" xfId="0" applyFont="1" applyBorder="1" applyAlignment="1">
      <alignment horizontal="justify"/>
    </xf>
    <xf numFmtId="0" fontId="0" fillId="0" borderId="0" xfId="0" applyAlignment="1">
      <alignment horizontal="center" vertical="center"/>
    </xf>
    <xf numFmtId="0" fontId="37" fillId="12" borderId="2" xfId="0" applyFont="1" applyFill="1" applyBorder="1" applyAlignment="1">
      <alignment horizontal="center" vertical="top"/>
    </xf>
    <xf numFmtId="0" fontId="37" fillId="12" borderId="2" xfId="0" applyFont="1" applyFill="1" applyBorder="1" applyAlignment="1">
      <alignment vertical="top"/>
    </xf>
    <xf numFmtId="0" fontId="38" fillId="0" borderId="25" xfId="0" applyFont="1" applyBorder="1" applyAlignment="1">
      <alignment vertical="top" wrapText="1"/>
    </xf>
    <xf numFmtId="0" fontId="38" fillId="0" borderId="27" xfId="0" applyFont="1" applyBorder="1" applyAlignment="1">
      <alignment vertical="top" wrapText="1"/>
    </xf>
    <xf numFmtId="0" fontId="38" fillId="0" borderId="0" xfId="0" applyFont="1" applyBorder="1" applyAlignment="1">
      <alignment vertical="top" wrapText="1"/>
    </xf>
    <xf numFmtId="0" fontId="0" fillId="0" borderId="6" xfId="0" applyBorder="1" applyAlignment="1">
      <alignment wrapText="1"/>
    </xf>
    <xf numFmtId="0" fontId="23" fillId="0" borderId="12" xfId="0" applyFont="1" applyBorder="1"/>
    <xf numFmtId="0" fontId="23" fillId="0" borderId="11" xfId="0" applyFont="1" applyBorder="1"/>
    <xf numFmtId="0" fontId="23" fillId="0" borderId="4" xfId="0" applyFont="1" applyBorder="1"/>
    <xf numFmtId="0" fontId="24" fillId="0" borderId="6" xfId="0" applyFont="1" applyBorder="1" applyAlignment="1">
      <alignment wrapText="1"/>
    </xf>
    <xf numFmtId="0" fontId="24" fillId="0" borderId="4" xfId="0" applyFont="1" applyBorder="1" applyAlignment="1">
      <alignment wrapText="1"/>
    </xf>
    <xf numFmtId="0" fontId="24" fillId="0" borderId="6" xfId="0" applyFont="1" applyBorder="1" applyAlignment="1">
      <alignment vertical="top" wrapText="1"/>
    </xf>
    <xf numFmtId="0" fontId="23" fillId="0" borderId="4" xfId="0" applyFont="1" applyBorder="1" applyAlignment="1">
      <alignment horizontal="justify" wrapText="1"/>
    </xf>
    <xf numFmtId="0" fontId="83" fillId="76" borderId="12" xfId="0" applyFont="1" applyFill="1" applyBorder="1" applyAlignment="1">
      <alignment horizontal="center" wrapText="1"/>
    </xf>
    <xf numFmtId="0" fontId="83" fillId="76" borderId="11" xfId="0" applyFont="1" applyFill="1" applyBorder="1" applyAlignment="1">
      <alignment horizontal="center" wrapText="1"/>
    </xf>
    <xf numFmtId="0" fontId="81" fillId="0" borderId="6" xfId="0" applyFont="1" applyBorder="1" applyAlignment="1">
      <alignment horizontal="center" wrapText="1"/>
    </xf>
    <xf numFmtId="0" fontId="84" fillId="0" borderId="4" xfId="0" applyFont="1" applyBorder="1" applyAlignment="1">
      <alignment horizontal="center" wrapText="1"/>
    </xf>
    <xf numFmtId="0" fontId="84" fillId="0" borderId="6" xfId="0" applyFont="1" applyBorder="1" applyAlignment="1">
      <alignment horizontal="center" wrapText="1"/>
    </xf>
    <xf numFmtId="0" fontId="18" fillId="5" borderId="19" xfId="0" applyFont="1" applyFill="1" applyBorder="1" applyAlignment="1">
      <alignment horizontal="center" vertical="center" wrapText="1"/>
    </xf>
    <xf numFmtId="0" fontId="19" fillId="5" borderId="57" xfId="0" applyFont="1" applyFill="1" applyBorder="1" applyAlignment="1">
      <alignment horizontal="center" vertical="center" wrapText="1"/>
    </xf>
    <xf numFmtId="3" fontId="79" fillId="5" borderId="57" xfId="0" applyNumberFormat="1" applyFont="1" applyFill="1" applyBorder="1" applyAlignment="1">
      <alignment horizontal="center" vertical="center" wrapText="1"/>
    </xf>
    <xf numFmtId="0" fontId="20" fillId="5" borderId="57" xfId="0" applyFont="1" applyFill="1" applyBorder="1" applyAlignment="1">
      <alignment horizontal="center" vertical="center" wrapText="1"/>
    </xf>
    <xf numFmtId="1" fontId="85" fillId="5" borderId="57" xfId="0" applyNumberFormat="1" applyFont="1" applyFill="1" applyBorder="1" applyAlignment="1">
      <alignment horizontal="center" vertical="center" wrapText="1"/>
    </xf>
    <xf numFmtId="0" fontId="21" fillId="5" borderId="22" xfId="0" applyFont="1" applyFill="1" applyBorder="1" applyAlignment="1">
      <alignment horizontal="center" vertical="center" wrapText="1"/>
    </xf>
    <xf numFmtId="0" fontId="17" fillId="5" borderId="22" xfId="0" applyFont="1" applyFill="1" applyBorder="1" applyAlignment="1">
      <alignment horizontal="center" vertical="center" wrapText="1"/>
    </xf>
    <xf numFmtId="1" fontId="14" fillId="5" borderId="22" xfId="0" applyNumberFormat="1" applyFont="1" applyFill="1" applyBorder="1" applyAlignment="1">
      <alignment horizontal="center" vertical="center" wrapText="1"/>
    </xf>
    <xf numFmtId="0" fontId="16" fillId="5" borderId="72" xfId="0" applyFont="1" applyFill="1" applyBorder="1" applyAlignment="1">
      <alignment horizontal="center" vertical="center" wrapText="1"/>
    </xf>
    <xf numFmtId="0" fontId="17" fillId="5" borderId="69" xfId="0" applyFont="1" applyFill="1" applyBorder="1" applyAlignment="1">
      <alignment horizontal="center" vertical="center" wrapText="1"/>
    </xf>
    <xf numFmtId="3" fontId="21" fillId="5" borderId="69" xfId="0" applyNumberFormat="1" applyFont="1" applyFill="1" applyBorder="1" applyAlignment="1">
      <alignment horizontal="center" vertical="center" wrapText="1"/>
    </xf>
    <xf numFmtId="1" fontId="14" fillId="5" borderId="69" xfId="0" applyNumberFormat="1" applyFont="1" applyFill="1" applyBorder="1" applyAlignment="1">
      <alignment horizontal="center" vertical="center" wrapText="1"/>
    </xf>
    <xf numFmtId="3" fontId="17" fillId="5" borderId="22" xfId="0" applyNumberFormat="1" applyFont="1" applyFill="1" applyBorder="1" applyAlignment="1">
      <alignment horizontal="center" vertical="center" wrapText="1"/>
    </xf>
    <xf numFmtId="0" fontId="16" fillId="5" borderId="55" xfId="0" applyFont="1" applyFill="1" applyBorder="1" applyAlignment="1">
      <alignment horizontal="center" vertical="center" wrapText="1"/>
    </xf>
    <xf numFmtId="0" fontId="87" fillId="0" borderId="0" xfId="0" applyFont="1" applyAlignment="1"/>
    <xf numFmtId="0" fontId="0" fillId="0" borderId="0" xfId="0" applyAlignment="1">
      <alignment horizontal="center" vertical="center"/>
    </xf>
    <xf numFmtId="0" fontId="65" fillId="0" borderId="0" xfId="0" applyFont="1"/>
    <xf numFmtId="0" fontId="22" fillId="0" borderId="0" xfId="0" applyFont="1" applyFill="1" applyBorder="1" applyAlignment="1"/>
    <xf numFmtId="8" fontId="23" fillId="0" borderId="0" xfId="0" applyNumberFormat="1" applyFont="1" applyBorder="1" applyAlignment="1">
      <alignment horizontal="center"/>
    </xf>
    <xf numFmtId="0" fontId="23" fillId="0" borderId="0" xfId="0" applyFont="1" applyBorder="1" applyAlignment="1">
      <alignment vertical="top"/>
    </xf>
    <xf numFmtId="0" fontId="23" fillId="0" borderId="0" xfId="0" applyFont="1" applyBorder="1" applyAlignment="1">
      <alignment vertical="top" wrapText="1"/>
    </xf>
    <xf numFmtId="0" fontId="0" fillId="0" borderId="0" xfId="0" applyAlignment="1">
      <alignment horizontal="center"/>
    </xf>
    <xf numFmtId="0" fontId="23" fillId="0" borderId="12" xfId="0" applyFont="1" applyBorder="1" applyAlignment="1">
      <alignment horizontal="left"/>
    </xf>
    <xf numFmtId="0" fontId="24" fillId="0" borderId="25" xfId="0" applyFont="1" applyBorder="1" applyAlignment="1">
      <alignment horizontal="left" wrapText="1"/>
    </xf>
    <xf numFmtId="0" fontId="23" fillId="0" borderId="0" xfId="0" applyFont="1" applyBorder="1" applyAlignment="1">
      <alignment horizontal="left" wrapText="1"/>
    </xf>
    <xf numFmtId="0" fontId="24" fillId="0" borderId="0" xfId="0" applyFont="1" applyBorder="1" applyAlignment="1">
      <alignment horizontal="left" wrapText="1"/>
    </xf>
    <xf numFmtId="0" fontId="0" fillId="0" borderId="0" xfId="0" applyAlignment="1">
      <alignment horizontal="center" vertical="center"/>
    </xf>
    <xf numFmtId="0" fontId="0" fillId="0" borderId="0" xfId="0" applyAlignment="1">
      <alignment horizontal="center" vertical="center"/>
    </xf>
    <xf numFmtId="0" fontId="31" fillId="11" borderId="8" xfId="0" applyFont="1" applyFill="1" applyBorder="1" applyAlignment="1">
      <alignment horizontal="center" vertical="center" wrapText="1"/>
    </xf>
    <xf numFmtId="0" fontId="24" fillId="0" borderId="0" xfId="0" applyFont="1" applyFill="1" applyBorder="1" applyAlignment="1">
      <alignment horizontal="center" wrapText="1"/>
    </xf>
    <xf numFmtId="6" fontId="23" fillId="0" borderId="0" xfId="0" applyNumberFormat="1" applyFont="1" applyBorder="1" applyAlignment="1">
      <alignment horizontal="left"/>
    </xf>
    <xf numFmtId="0" fontId="88" fillId="0" borderId="0" xfId="0" applyFont="1"/>
    <xf numFmtId="0" fontId="37" fillId="77" borderId="108" xfId="0" applyFont="1" applyFill="1" applyBorder="1" applyAlignment="1">
      <alignment horizontal="center" wrapText="1"/>
    </xf>
    <xf numFmtId="0" fontId="37" fillId="11" borderId="109" xfId="0" applyFont="1" applyFill="1" applyBorder="1" applyAlignment="1">
      <alignment horizontal="center" wrapText="1"/>
    </xf>
    <xf numFmtId="0" fontId="37" fillId="77" borderId="109" xfId="0" applyFont="1" applyFill="1" applyBorder="1" applyAlignment="1">
      <alignment horizontal="center" wrapText="1"/>
    </xf>
    <xf numFmtId="0" fontId="38" fillId="0" borderId="19" xfId="0" applyFont="1" applyBorder="1" applyAlignment="1">
      <alignment wrapText="1"/>
    </xf>
    <xf numFmtId="3" fontId="3" fillId="0" borderId="57" xfId="1" applyNumberFormat="1" applyFont="1" applyFill="1" applyBorder="1" applyAlignment="1">
      <alignment horizontal="center" vertical="center" wrapText="1"/>
    </xf>
    <xf numFmtId="0" fontId="38" fillId="0" borderId="57" xfId="0" applyFont="1" applyBorder="1" applyAlignment="1">
      <alignment horizontal="center" wrapText="1"/>
    </xf>
    <xf numFmtId="0" fontId="38" fillId="0" borderId="57" xfId="0" applyFont="1" applyBorder="1" applyAlignment="1">
      <alignment wrapText="1"/>
    </xf>
    <xf numFmtId="0" fontId="73" fillId="0" borderId="22" xfId="0" applyFont="1" applyBorder="1" applyAlignment="1">
      <alignment wrapText="1"/>
    </xf>
    <xf numFmtId="3" fontId="8" fillId="0" borderId="22" xfId="1" applyNumberFormat="1" applyFont="1" applyFill="1" applyBorder="1" applyAlignment="1">
      <alignment horizontal="center" vertical="center" wrapText="1"/>
    </xf>
    <xf numFmtId="0" fontId="73" fillId="0" borderId="22" xfId="0" applyFont="1" applyBorder="1" applyAlignment="1">
      <alignment horizontal="center" wrapText="1"/>
    </xf>
    <xf numFmtId="0" fontId="24" fillId="8" borderId="113" xfId="0" applyFont="1" applyFill="1" applyBorder="1" applyAlignment="1">
      <alignment horizontal="center" wrapText="1"/>
    </xf>
    <xf numFmtId="0" fontId="0" fillId="0" borderId="0" xfId="0" applyAlignment="1">
      <alignment horizontal="center"/>
    </xf>
    <xf numFmtId="0" fontId="0" fillId="0" borderId="0" xfId="0" applyAlignment="1">
      <alignment wrapText="1"/>
    </xf>
    <xf numFmtId="0" fontId="0" fillId="0" borderId="12" xfId="0" applyBorder="1" applyAlignment="1"/>
    <xf numFmtId="0" fontId="23" fillId="0" borderId="3" xfId="0" applyFont="1" applyFill="1" applyBorder="1" applyAlignment="1">
      <alignment horizontal="justify"/>
    </xf>
    <xf numFmtId="0" fontId="23" fillId="0" borderId="18" xfId="0" applyFont="1" applyFill="1" applyBorder="1" applyAlignment="1">
      <alignment horizontal="justify"/>
    </xf>
    <xf numFmtId="0" fontId="23" fillId="0" borderId="1" xfId="0" applyFont="1" applyFill="1" applyBorder="1" applyAlignment="1">
      <alignment horizontal="justify"/>
    </xf>
    <xf numFmtId="0" fontId="23" fillId="0" borderId="1" xfId="0" applyFont="1" applyFill="1" applyBorder="1" applyAlignment="1">
      <alignment horizontal="left" vertical="center"/>
    </xf>
    <xf numFmtId="0" fontId="23" fillId="0" borderId="18" xfId="0" applyFont="1" applyFill="1" applyBorder="1" applyAlignment="1">
      <alignment horizontal="left" vertical="center"/>
    </xf>
    <xf numFmtId="0" fontId="57" fillId="0" borderId="18" xfId="9" applyFont="1" applyFill="1" applyBorder="1" applyAlignment="1">
      <alignment horizontal="center"/>
    </xf>
    <xf numFmtId="3" fontId="89" fillId="0" borderId="0" xfId="0" applyNumberFormat="1" applyFont="1"/>
    <xf numFmtId="0" fontId="89" fillId="0" borderId="0" xfId="0" applyFont="1"/>
    <xf numFmtId="8" fontId="89" fillId="0" borderId="0" xfId="0" applyNumberFormat="1" applyFont="1"/>
    <xf numFmtId="0" fontId="23" fillId="0" borderId="0" xfId="0" applyFont="1" applyFill="1" applyBorder="1" applyAlignment="1">
      <alignment horizontal="justify"/>
    </xf>
    <xf numFmtId="0" fontId="24" fillId="0" borderId="0" xfId="0" applyFont="1" applyFill="1" applyBorder="1" applyAlignment="1">
      <alignment horizontal="left"/>
    </xf>
    <xf numFmtId="0" fontId="24" fillId="0" borderId="18" xfId="0" applyFont="1" applyFill="1" applyBorder="1" applyAlignment="1">
      <alignment horizontal="left"/>
    </xf>
    <xf numFmtId="167" fontId="23" fillId="8" borderId="0" xfId="0" applyNumberFormat="1" applyFont="1" applyFill="1" applyBorder="1" applyAlignment="1">
      <alignment horizontal="center" vertical="center"/>
    </xf>
    <xf numFmtId="0" fontId="24" fillId="0" borderId="3" xfId="0" applyFont="1" applyFill="1" applyBorder="1" applyAlignment="1">
      <alignment horizontal="left"/>
    </xf>
    <xf numFmtId="0" fontId="24" fillId="0" borderId="27" xfId="0" applyFont="1" applyFill="1" applyBorder="1" applyAlignment="1">
      <alignment horizontal="left"/>
    </xf>
    <xf numFmtId="0" fontId="24" fillId="0" borderId="1" xfId="0" applyFont="1" applyFill="1" applyBorder="1" applyAlignment="1">
      <alignment horizontal="left"/>
    </xf>
    <xf numFmtId="0" fontId="24" fillId="0" borderId="25" xfId="0" applyFont="1" applyFill="1" applyBorder="1" applyAlignment="1">
      <alignment horizontal="left"/>
    </xf>
    <xf numFmtId="0" fontId="3" fillId="0" borderId="0" xfId="0" applyFont="1" applyFill="1" applyBorder="1" applyAlignment="1">
      <alignment horizontal="center"/>
    </xf>
    <xf numFmtId="0" fontId="90" fillId="0" borderId="0" xfId="0" applyFont="1" applyAlignment="1">
      <alignment horizontal="center" vertical="center"/>
    </xf>
    <xf numFmtId="0" fontId="91" fillId="0" borderId="0" xfId="0" applyFont="1" applyAlignment="1">
      <alignment horizontal="center" vertical="center"/>
    </xf>
    <xf numFmtId="0" fontId="59" fillId="0" borderId="0" xfId="0" applyFont="1" applyBorder="1" applyAlignment="1">
      <alignment vertical="top"/>
    </xf>
    <xf numFmtId="0" fontId="23" fillId="5" borderId="0" xfId="0" applyFont="1" applyFill="1" applyBorder="1" applyAlignment="1">
      <alignment horizontal="left"/>
    </xf>
    <xf numFmtId="0" fontId="38" fillId="0" borderId="8" xfId="0" applyFont="1" applyBorder="1" applyAlignment="1">
      <alignment vertical="top" wrapText="1"/>
    </xf>
    <xf numFmtId="1" fontId="57" fillId="5" borderId="27" xfId="9" applyNumberFormat="1" applyFont="1" applyFill="1" applyBorder="1" applyAlignment="1">
      <alignment horizontal="center" wrapText="1"/>
    </xf>
    <xf numFmtId="0" fontId="23" fillId="5" borderId="8" xfId="0" applyFont="1" applyFill="1" applyBorder="1" applyAlignment="1">
      <alignment horizontal="left"/>
    </xf>
    <xf numFmtId="0" fontId="24" fillId="0" borderId="5" xfId="0" applyFont="1" applyBorder="1" applyAlignment="1">
      <alignment horizontal="left"/>
    </xf>
    <xf numFmtId="0" fontId="39" fillId="0" borderId="8" xfId="0" applyFont="1" applyBorder="1" applyAlignment="1">
      <alignment vertical="top"/>
    </xf>
    <xf numFmtId="0" fontId="0" fillId="5" borderId="0" xfId="0" applyFill="1" applyBorder="1" applyAlignment="1">
      <alignment horizontal="center" textRotation="90"/>
    </xf>
    <xf numFmtId="1" fontId="5" fillId="5" borderId="0" xfId="0" applyNumberFormat="1" applyFont="1" applyFill="1" applyBorder="1" applyAlignment="1">
      <alignment horizontal="center" vertical="center" wrapText="1"/>
    </xf>
    <xf numFmtId="0" fontId="23" fillId="0" borderId="26" xfId="0" applyFont="1" applyBorder="1" applyAlignment="1">
      <alignment horizontal="center" wrapText="1"/>
    </xf>
    <xf numFmtId="0" fontId="23" fillId="0" borderId="4" xfId="0" applyFont="1" applyBorder="1" applyAlignment="1">
      <alignment horizontal="center" wrapText="1"/>
    </xf>
    <xf numFmtId="0" fontId="69" fillId="0" borderId="0" xfId="0" applyFont="1" applyAlignment="1"/>
    <xf numFmtId="0" fontId="24" fillId="8" borderId="110" xfId="0" applyFont="1" applyFill="1" applyBorder="1" applyAlignment="1">
      <alignment horizontal="left" wrapText="1"/>
    </xf>
    <xf numFmtId="0" fontId="23" fillId="8" borderId="114" xfId="0" applyFont="1" applyFill="1" applyBorder="1" applyAlignment="1">
      <alignment horizontal="center"/>
    </xf>
    <xf numFmtId="0" fontId="0" fillId="0" borderId="0" xfId="0" applyAlignment="1">
      <alignment horizontal="center" vertical="center"/>
    </xf>
    <xf numFmtId="0" fontId="23" fillId="0" borderId="1" xfId="0" applyFont="1" applyBorder="1" applyAlignment="1">
      <alignment horizontal="center" vertical="center" wrapText="1"/>
    </xf>
    <xf numFmtId="0" fontId="23" fillId="0" borderId="18" xfId="0" applyFont="1" applyBorder="1" applyAlignment="1">
      <alignment horizontal="center" vertical="center" wrapText="1"/>
    </xf>
    <xf numFmtId="0" fontId="23" fillId="0" borderId="18" xfId="0" applyFont="1" applyFill="1" applyBorder="1" applyAlignment="1">
      <alignment horizontal="center" vertical="center" wrapText="1"/>
    </xf>
    <xf numFmtId="0" fontId="0" fillId="0" borderId="0" xfId="0" applyAlignment="1">
      <alignment horizontal="center" vertical="center"/>
    </xf>
    <xf numFmtId="0" fontId="8" fillId="0" borderId="0" xfId="0" applyFont="1" applyAlignment="1">
      <alignment wrapText="1"/>
    </xf>
    <xf numFmtId="0" fontId="0" fillId="0" borderId="0" xfId="0" applyAlignment="1">
      <alignment horizontal="center" vertical="center"/>
    </xf>
    <xf numFmtId="0" fontId="0" fillId="0" borderId="0" xfId="0" applyAlignment="1">
      <alignment horizontal="center" vertical="center"/>
    </xf>
    <xf numFmtId="2" fontId="0" fillId="0" borderId="3" xfId="0" applyNumberFormat="1" applyFont="1" applyFill="1" applyBorder="1" applyAlignment="1">
      <alignment horizontal="left" vertical="center"/>
    </xf>
    <xf numFmtId="0" fontId="57" fillId="49" borderId="25" xfId="9" applyFont="1" applyFill="1" applyBorder="1" applyAlignment="1">
      <alignment wrapText="1"/>
    </xf>
    <xf numFmtId="0" fontId="57" fillId="49" borderId="0" xfId="9" applyFont="1" applyFill="1" applyBorder="1" applyAlignment="1">
      <alignment horizontal="left" wrapText="1"/>
    </xf>
    <xf numFmtId="0" fontId="57" fillId="62" borderId="0" xfId="9" applyFont="1" applyFill="1" applyBorder="1" applyAlignment="1">
      <alignment wrapText="1"/>
    </xf>
    <xf numFmtId="0" fontId="57" fillId="63" borderId="0" xfId="9" applyFont="1" applyFill="1" applyBorder="1" applyAlignment="1">
      <alignment wrapText="1"/>
    </xf>
    <xf numFmtId="0" fontId="57" fillId="64" borderId="0" xfId="9" applyFont="1" applyFill="1" applyBorder="1" applyAlignment="1">
      <alignment wrapText="1"/>
    </xf>
    <xf numFmtId="0" fontId="57" fillId="69" borderId="0" xfId="9" applyFont="1" applyFill="1" applyBorder="1" applyAlignment="1">
      <alignment wrapText="1"/>
    </xf>
    <xf numFmtId="0" fontId="57" fillId="69" borderId="0" xfId="85" applyFont="1" applyFill="1" applyBorder="1" applyAlignment="1">
      <alignment wrapText="1"/>
    </xf>
    <xf numFmtId="0" fontId="57" fillId="65" borderId="0" xfId="9" applyFont="1" applyFill="1" applyBorder="1" applyAlignment="1">
      <alignment wrapText="1"/>
    </xf>
    <xf numFmtId="0" fontId="57" fillId="65" borderId="0" xfId="85" applyFont="1" applyFill="1" applyBorder="1" applyAlignment="1">
      <alignment wrapText="1"/>
    </xf>
    <xf numFmtId="0" fontId="57" fillId="66" borderId="0" xfId="9" applyFont="1" applyFill="1" applyBorder="1" applyAlignment="1">
      <alignment wrapText="1"/>
    </xf>
    <xf numFmtId="0" fontId="57" fillId="67" borderId="0" xfId="9" applyFont="1" applyFill="1" applyBorder="1" applyAlignment="1">
      <alignment wrapText="1"/>
    </xf>
    <xf numFmtId="0" fontId="57" fillId="67" borderId="0" xfId="85" applyFont="1" applyFill="1" applyBorder="1" applyAlignment="1">
      <alignment wrapText="1"/>
    </xf>
    <xf numFmtId="0" fontId="57" fillId="68" borderId="0" xfId="9" applyFont="1" applyFill="1" applyBorder="1" applyAlignment="1">
      <alignment wrapText="1"/>
    </xf>
    <xf numFmtId="0" fontId="23" fillId="5" borderId="26" xfId="0" applyFont="1" applyFill="1" applyBorder="1" applyAlignment="1">
      <alignment horizontal="center" vertical="center"/>
    </xf>
    <xf numFmtId="0" fontId="23" fillId="5" borderId="0" xfId="0" applyFont="1" applyFill="1" applyBorder="1" applyAlignment="1">
      <alignment horizontal="left" vertical="center" wrapText="1"/>
    </xf>
    <xf numFmtId="0" fontId="23" fillId="0" borderId="0" xfId="0" applyFont="1" applyFill="1" applyBorder="1" applyAlignment="1">
      <alignment horizontal="left" wrapText="1"/>
    </xf>
    <xf numFmtId="0" fontId="0" fillId="0" borderId="0" xfId="0" applyAlignment="1">
      <alignment horizontal="center"/>
    </xf>
    <xf numFmtId="0" fontId="23" fillId="0" borderId="8" xfId="0" applyFont="1" applyBorder="1" applyAlignment="1">
      <alignment horizontal="center" vertical="center" wrapText="1"/>
    </xf>
    <xf numFmtId="0" fontId="0" fillId="0" borderId="0" xfId="0" applyAlignment="1">
      <alignment horizontal="center" vertical="center"/>
    </xf>
    <xf numFmtId="0" fontId="11" fillId="3" borderId="12" xfId="1" applyFont="1" applyFill="1" applyBorder="1" applyAlignment="1">
      <alignment horizontal="center" vertical="center" wrapText="1"/>
    </xf>
    <xf numFmtId="0" fontId="3" fillId="78" borderId="13" xfId="0" applyFont="1" applyFill="1" applyBorder="1" applyAlignment="1">
      <alignment horizontal="center" wrapText="1"/>
    </xf>
    <xf numFmtId="0" fontId="24" fillId="78" borderId="14" xfId="0" applyFont="1" applyFill="1" applyBorder="1" applyAlignment="1">
      <alignment horizontal="center" wrapText="1"/>
    </xf>
    <xf numFmtId="0" fontId="23" fillId="78" borderId="14" xfId="0" applyFont="1" applyFill="1" applyBorder="1" applyAlignment="1">
      <alignment horizontal="center"/>
    </xf>
    <xf numFmtId="0" fontId="24" fillId="78" borderId="7" xfId="0" applyFont="1" applyFill="1" applyBorder="1" applyAlignment="1">
      <alignment horizontal="center" wrapText="1"/>
    </xf>
    <xf numFmtId="0" fontId="3" fillId="78" borderId="14" xfId="0" applyFont="1" applyFill="1" applyBorder="1" applyAlignment="1">
      <alignment horizontal="center" wrapText="1"/>
    </xf>
    <xf numFmtId="0" fontId="23" fillId="78" borderId="7" xfId="0" applyFont="1" applyFill="1" applyBorder="1" applyAlignment="1">
      <alignment horizontal="center"/>
    </xf>
    <xf numFmtId="0" fontId="23" fillId="78" borderId="13" xfId="0" applyFont="1" applyFill="1" applyBorder="1" applyAlignment="1">
      <alignment horizontal="center"/>
    </xf>
    <xf numFmtId="0" fontId="23" fillId="78" borderId="6" xfId="0" applyFont="1" applyFill="1" applyBorder="1" applyAlignment="1">
      <alignment horizontal="center"/>
    </xf>
    <xf numFmtId="0" fontId="24" fillId="78" borderId="14" xfId="0" applyFont="1" applyFill="1" applyBorder="1" applyAlignment="1">
      <alignment horizontal="center" vertical="center" wrapText="1"/>
    </xf>
    <xf numFmtId="0" fontId="23" fillId="8" borderId="99" xfId="0" applyFont="1" applyFill="1" applyBorder="1" applyAlignment="1">
      <alignment horizontal="center"/>
    </xf>
    <xf numFmtId="0" fontId="23" fillId="8" borderId="79" xfId="0" applyFont="1" applyFill="1" applyBorder="1" applyAlignment="1">
      <alignment horizontal="center"/>
    </xf>
    <xf numFmtId="0" fontId="23" fillId="0" borderId="99" xfId="0" applyFont="1" applyFill="1" applyBorder="1" applyAlignment="1">
      <alignment horizontal="center"/>
    </xf>
    <xf numFmtId="0" fontId="23" fillId="5" borderId="80" xfId="0" applyFont="1" applyFill="1" applyBorder="1" applyAlignment="1">
      <alignment horizontal="center"/>
    </xf>
    <xf numFmtId="1" fontId="5" fillId="5" borderId="90" xfId="9" applyNumberFormat="1" applyFont="1" applyFill="1" applyBorder="1" applyAlignment="1">
      <alignment horizontal="center" wrapText="1"/>
    </xf>
    <xf numFmtId="1" fontId="23" fillId="0" borderId="9" xfId="0" applyNumberFormat="1" applyFont="1" applyFill="1" applyBorder="1" applyAlignment="1">
      <alignment horizontal="center" vertical="center"/>
    </xf>
    <xf numFmtId="0" fontId="23" fillId="8" borderId="93" xfId="0" applyFont="1" applyFill="1" applyBorder="1" applyAlignment="1">
      <alignment horizontal="center"/>
    </xf>
    <xf numFmtId="0" fontId="24" fillId="8" borderId="13" xfId="0" applyFont="1" applyFill="1" applyBorder="1" applyAlignment="1">
      <alignment horizontal="left" wrapText="1"/>
    </xf>
    <xf numFmtId="0" fontId="24" fillId="8" borderId="14" xfId="0" applyFont="1" applyFill="1" applyBorder="1" applyAlignment="1">
      <alignment horizontal="left" wrapText="1"/>
    </xf>
    <xf numFmtId="0" fontId="24" fillId="8" borderId="7" xfId="0" applyFont="1" applyFill="1" applyBorder="1" applyAlignment="1">
      <alignment horizontal="left" wrapText="1"/>
    </xf>
    <xf numFmtId="0" fontId="24" fillId="0" borderId="15" xfId="0" applyFont="1" applyBorder="1" applyAlignment="1">
      <alignment horizontal="left" wrapText="1"/>
    </xf>
    <xf numFmtId="0" fontId="24" fillId="0" borderId="14" xfId="0" applyFont="1" applyBorder="1" applyAlignment="1">
      <alignment horizontal="left" wrapText="1"/>
    </xf>
    <xf numFmtId="0" fontId="23" fillId="0" borderId="8" xfId="0" applyFont="1" applyBorder="1"/>
    <xf numFmtId="0" fontId="24" fillId="0" borderId="13" xfId="0" applyFont="1" applyFill="1" applyBorder="1" applyAlignment="1">
      <alignment horizontal="left" wrapText="1"/>
    </xf>
    <xf numFmtId="0" fontId="24" fillId="0" borderId="14" xfId="0" applyFont="1" applyFill="1" applyBorder="1" applyAlignment="1">
      <alignment horizontal="left" wrapText="1"/>
    </xf>
    <xf numFmtId="0" fontId="24" fillId="5" borderId="14" xfId="0" applyFont="1" applyFill="1" applyBorder="1" applyAlignment="1">
      <alignment horizontal="left" wrapText="1"/>
    </xf>
    <xf numFmtId="0" fontId="24" fillId="5" borderId="7" xfId="0" applyFont="1" applyFill="1" applyBorder="1" applyAlignment="1">
      <alignment horizontal="left" wrapText="1"/>
    </xf>
    <xf numFmtId="0" fontId="24" fillId="8" borderId="15" xfId="0" applyFont="1" applyFill="1" applyBorder="1" applyAlignment="1">
      <alignment horizontal="left" wrapText="1"/>
    </xf>
    <xf numFmtId="0" fontId="23" fillId="8" borderId="14" xfId="0" applyFont="1" applyFill="1" applyBorder="1" applyAlignment="1">
      <alignment horizontal="left" wrapText="1"/>
    </xf>
    <xf numFmtId="0" fontId="0" fillId="0" borderId="14" xfId="0" applyBorder="1"/>
    <xf numFmtId="0" fontId="23" fillId="0" borderId="7" xfId="0" applyFont="1" applyBorder="1"/>
    <xf numFmtId="1" fontId="5" fillId="5" borderId="117" xfId="9" applyNumberFormat="1" applyFont="1" applyFill="1" applyBorder="1" applyAlignment="1">
      <alignment horizontal="center" wrapText="1"/>
    </xf>
    <xf numFmtId="0" fontId="3" fillId="78" borderId="16" xfId="0" applyFont="1" applyFill="1" applyBorder="1" applyAlignment="1">
      <alignment horizontal="center" wrapText="1"/>
    </xf>
    <xf numFmtId="0" fontId="24" fillId="78" borderId="118" xfId="0" applyFont="1" applyFill="1" applyBorder="1" applyAlignment="1">
      <alignment horizontal="center" wrapText="1"/>
    </xf>
    <xf numFmtId="0" fontId="23" fillId="78" borderId="118" xfId="0" applyFont="1" applyFill="1" applyBorder="1" applyAlignment="1">
      <alignment horizontal="center"/>
    </xf>
    <xf numFmtId="0" fontId="24" fillId="78" borderId="17" xfId="0" applyFont="1" applyFill="1" applyBorder="1" applyAlignment="1">
      <alignment horizontal="center" wrapText="1"/>
    </xf>
    <xf numFmtId="0" fontId="24" fillId="78" borderId="97" xfId="0" applyFont="1" applyFill="1" applyBorder="1" applyAlignment="1">
      <alignment horizontal="center" vertical="center" wrapText="1"/>
    </xf>
    <xf numFmtId="0" fontId="24" fillId="78" borderId="118" xfId="0" applyFont="1" applyFill="1" applyBorder="1" applyAlignment="1">
      <alignment horizontal="center" vertical="center" wrapText="1"/>
    </xf>
    <xf numFmtId="0" fontId="24" fillId="78" borderId="97" xfId="0" applyFont="1" applyFill="1" applyBorder="1" applyAlignment="1">
      <alignment horizontal="center" wrapText="1"/>
    </xf>
    <xf numFmtId="0" fontId="3" fillId="78" borderId="118" xfId="0" applyFont="1" applyFill="1" applyBorder="1" applyAlignment="1">
      <alignment horizontal="center" wrapText="1"/>
    </xf>
    <xf numFmtId="0" fontId="23" fillId="78" borderId="17" xfId="0" applyFont="1" applyFill="1" applyBorder="1" applyAlignment="1">
      <alignment horizontal="center"/>
    </xf>
    <xf numFmtId="0" fontId="23" fillId="78" borderId="16" xfId="0" applyFont="1" applyFill="1" applyBorder="1" applyAlignment="1">
      <alignment horizontal="center"/>
    </xf>
    <xf numFmtId="0" fontId="23" fillId="78" borderId="3" xfId="0" applyFont="1" applyFill="1" applyBorder="1" applyAlignment="1">
      <alignment horizontal="center"/>
    </xf>
    <xf numFmtId="167" fontId="23" fillId="78" borderId="13" xfId="8" applyNumberFormat="1" applyFont="1" applyFill="1" applyBorder="1" applyAlignment="1">
      <alignment horizontal="center"/>
    </xf>
    <xf numFmtId="167" fontId="23" fillId="78" borderId="14" xfId="8" applyNumberFormat="1" applyFont="1" applyFill="1" applyBorder="1" applyAlignment="1">
      <alignment horizontal="center"/>
    </xf>
    <xf numFmtId="167" fontId="23" fillId="78" borderId="7" xfId="8" applyNumberFormat="1" applyFont="1" applyFill="1" applyBorder="1" applyAlignment="1">
      <alignment horizontal="center"/>
    </xf>
    <xf numFmtId="167" fontId="23" fillId="78" borderId="15" xfId="8" applyNumberFormat="1" applyFont="1" applyFill="1" applyBorder="1" applyAlignment="1">
      <alignment horizontal="center"/>
    </xf>
    <xf numFmtId="0" fontId="1" fillId="0" borderId="12" xfId="0" applyFont="1" applyBorder="1" applyAlignment="1">
      <alignment horizontal="center"/>
    </xf>
    <xf numFmtId="0" fontId="24" fillId="78" borderId="120" xfId="0" applyFont="1" applyFill="1" applyBorder="1" applyAlignment="1">
      <alignment horizontal="center" wrapText="1"/>
    </xf>
    <xf numFmtId="167" fontId="23" fillId="78" borderId="12" xfId="8" applyNumberFormat="1" applyFont="1" applyFill="1" applyBorder="1" applyAlignment="1">
      <alignment horizontal="center"/>
    </xf>
    <xf numFmtId="0" fontId="3" fillId="78" borderId="13" xfId="0" applyFont="1" applyFill="1" applyBorder="1" applyAlignment="1">
      <alignment horizontal="center" vertical="center" wrapText="1"/>
    </xf>
    <xf numFmtId="0" fontId="23" fillId="78" borderId="118" xfId="0" applyFont="1" applyFill="1" applyBorder="1" applyAlignment="1">
      <alignment horizontal="center" vertical="center"/>
    </xf>
    <xf numFmtId="0" fontId="23" fillId="78" borderId="16" xfId="0" applyFont="1" applyFill="1" applyBorder="1" applyAlignment="1">
      <alignment horizontal="center" vertical="center"/>
    </xf>
    <xf numFmtId="0" fontId="23" fillId="78" borderId="3" xfId="0" applyFont="1" applyFill="1" applyBorder="1" applyAlignment="1">
      <alignment horizontal="center" vertical="center"/>
    </xf>
    <xf numFmtId="0" fontId="0" fillId="5" borderId="1" xfId="0" applyFill="1" applyBorder="1" applyAlignment="1">
      <alignment horizontal="center" vertical="center" textRotation="90"/>
    </xf>
    <xf numFmtId="0" fontId="0" fillId="5" borderId="18" xfId="0" applyFill="1" applyBorder="1" applyAlignment="1">
      <alignment horizontal="center" vertical="center" textRotation="90"/>
    </xf>
    <xf numFmtId="0" fontId="0" fillId="0" borderId="26" xfId="0" applyBorder="1"/>
    <xf numFmtId="0" fontId="57" fillId="68" borderId="3" xfId="9" applyFont="1" applyFill="1" applyBorder="1" applyAlignment="1">
      <alignment wrapText="1"/>
    </xf>
    <xf numFmtId="0" fontId="57" fillId="68" borderId="27" xfId="9" applyFont="1" applyFill="1" applyBorder="1" applyAlignment="1">
      <alignment horizontal="center" wrapText="1"/>
    </xf>
    <xf numFmtId="0" fontId="57" fillId="68" borderId="4" xfId="9" applyFont="1" applyFill="1" applyBorder="1" applyAlignment="1">
      <alignment wrapText="1"/>
    </xf>
    <xf numFmtId="0" fontId="0" fillId="0" borderId="0" xfId="0" applyFill="1" applyBorder="1" applyAlignment="1">
      <alignment horizontal="center" vertical="center" wrapText="1"/>
    </xf>
    <xf numFmtId="0" fontId="57" fillId="44" borderId="1" xfId="9" applyNumberFormat="1" applyFont="1" applyFill="1" applyBorder="1" applyAlignment="1">
      <alignment horizontal="center" wrapText="1"/>
    </xf>
    <xf numFmtId="0" fontId="57" fillId="44" borderId="18" xfId="9" applyNumberFormat="1" applyFont="1" applyFill="1" applyBorder="1" applyAlignment="1">
      <alignment horizontal="center" wrapText="1"/>
    </xf>
    <xf numFmtId="0" fontId="57" fillId="45" borderId="18" xfId="9" applyNumberFormat="1" applyFont="1" applyFill="1" applyBorder="1" applyAlignment="1">
      <alignment horizontal="center" wrapText="1"/>
    </xf>
    <xf numFmtId="0" fontId="57" fillId="46" borderId="18" xfId="9" applyNumberFormat="1" applyFont="1" applyFill="1" applyBorder="1" applyAlignment="1">
      <alignment horizontal="center" wrapText="1"/>
    </xf>
    <xf numFmtId="0" fontId="57" fillId="47" borderId="18" xfId="9" applyNumberFormat="1" applyFont="1" applyFill="1" applyBorder="1" applyAlignment="1">
      <alignment horizontal="center" wrapText="1"/>
    </xf>
    <xf numFmtId="0" fontId="57" fillId="48" borderId="18" xfId="9" applyNumberFormat="1" applyFont="1" applyFill="1" applyBorder="1" applyAlignment="1">
      <alignment horizontal="center" wrapText="1"/>
    </xf>
    <xf numFmtId="0" fontId="57" fillId="49" borderId="18" xfId="9" applyNumberFormat="1" applyFont="1" applyFill="1" applyBorder="1" applyAlignment="1">
      <alignment horizontal="center" wrapText="1"/>
    </xf>
    <xf numFmtId="0" fontId="57" fillId="50" borderId="18" xfId="9" applyNumberFormat="1" applyFont="1" applyFill="1" applyBorder="1" applyAlignment="1">
      <alignment horizontal="center" wrapText="1"/>
    </xf>
    <xf numFmtId="0" fontId="57" fillId="51" borderId="18" xfId="9" applyNumberFormat="1" applyFont="1" applyFill="1" applyBorder="1" applyAlignment="1">
      <alignment horizontal="center" wrapText="1"/>
    </xf>
    <xf numFmtId="1" fontId="57" fillId="5" borderId="18" xfId="9" applyNumberFormat="1" applyFont="1" applyFill="1" applyBorder="1" applyAlignment="1">
      <alignment horizontal="center" wrapText="1"/>
    </xf>
    <xf numFmtId="0" fontId="57" fillId="44" borderId="1" xfId="9" applyFont="1" applyFill="1" applyBorder="1" applyAlignment="1">
      <alignment wrapText="1"/>
    </xf>
    <xf numFmtId="0" fontId="57" fillId="44" borderId="2" xfId="9" applyFont="1" applyFill="1" applyBorder="1" applyAlignment="1">
      <alignment horizontal="center" wrapText="1"/>
    </xf>
    <xf numFmtId="0" fontId="57" fillId="44" borderId="18" xfId="9" applyFont="1" applyFill="1" applyBorder="1" applyAlignment="1">
      <alignment wrapText="1"/>
    </xf>
    <xf numFmtId="0" fontId="57" fillId="44" borderId="26" xfId="9" applyFont="1" applyFill="1" applyBorder="1" applyAlignment="1">
      <alignment horizontal="center" wrapText="1"/>
    </xf>
    <xf numFmtId="0" fontId="57" fillId="45" borderId="26" xfId="9" applyFont="1" applyFill="1" applyBorder="1" applyAlignment="1">
      <alignment horizontal="center" wrapText="1"/>
    </xf>
    <xf numFmtId="0" fontId="57" fillId="46" borderId="26" xfId="9" applyFont="1" applyFill="1" applyBorder="1" applyAlignment="1">
      <alignment horizontal="center" wrapText="1"/>
    </xf>
    <xf numFmtId="0" fontId="57" fillId="47" borderId="18" xfId="9" applyFont="1" applyFill="1" applyBorder="1" applyAlignment="1">
      <alignment wrapText="1"/>
    </xf>
    <xf numFmtId="0" fontId="57" fillId="47" borderId="26" xfId="9" applyFont="1" applyFill="1" applyBorder="1" applyAlignment="1">
      <alignment horizontal="center" wrapText="1"/>
    </xf>
    <xf numFmtId="0" fontId="57" fillId="48" borderId="18" xfId="9" applyFont="1" applyFill="1" applyBorder="1" applyAlignment="1">
      <alignment wrapText="1"/>
    </xf>
    <xf numFmtId="0" fontId="57" fillId="48" borderId="26" xfId="9" applyFont="1" applyFill="1" applyBorder="1" applyAlignment="1">
      <alignment horizontal="center" wrapText="1"/>
    </xf>
    <xf numFmtId="0" fontId="57" fillId="49" borderId="26" xfId="9" applyFont="1" applyFill="1" applyBorder="1" applyAlignment="1">
      <alignment horizontal="center" wrapText="1"/>
    </xf>
    <xf numFmtId="0" fontId="57" fillId="50" borderId="26" xfId="9" applyFont="1" applyFill="1" applyBorder="1" applyAlignment="1">
      <alignment horizontal="center" wrapText="1"/>
    </xf>
    <xf numFmtId="0" fontId="57" fillId="51" borderId="26" xfId="9" applyFont="1" applyFill="1" applyBorder="1" applyAlignment="1">
      <alignment horizontal="center" wrapText="1"/>
    </xf>
    <xf numFmtId="0" fontId="57" fillId="65" borderId="0" xfId="86" applyFont="1" applyFill="1" applyBorder="1" applyAlignment="1">
      <alignment wrapText="1"/>
    </xf>
    <xf numFmtId="0" fontId="57" fillId="50" borderId="0" xfId="86" applyFont="1" applyFill="1" applyBorder="1" applyAlignment="1">
      <alignment wrapText="1"/>
    </xf>
    <xf numFmtId="0" fontId="57" fillId="72" borderId="0" xfId="9" applyFont="1" applyFill="1" applyBorder="1" applyAlignment="1">
      <alignment wrapText="1"/>
    </xf>
    <xf numFmtId="0" fontId="57" fillId="50" borderId="8" xfId="9" applyFont="1" applyFill="1" applyBorder="1" applyAlignment="1">
      <alignment horizontal="center" wrapText="1"/>
    </xf>
    <xf numFmtId="0" fontId="57" fillId="72" borderId="8" xfId="9" applyFont="1" applyFill="1" applyBorder="1" applyAlignment="1">
      <alignment horizontal="center" wrapText="1"/>
    </xf>
    <xf numFmtId="0" fontId="24" fillId="78" borderId="72" xfId="0" applyFont="1" applyFill="1" applyBorder="1" applyAlignment="1">
      <alignment horizontal="center" wrapText="1"/>
    </xf>
    <xf numFmtId="3" fontId="23" fillId="5" borderId="2" xfId="0" applyNumberFormat="1" applyFont="1" applyFill="1" applyBorder="1" applyAlignment="1">
      <alignment horizontal="center"/>
    </xf>
    <xf numFmtId="3" fontId="23" fillId="5" borderId="26" xfId="0" applyNumberFormat="1" applyFont="1" applyFill="1" applyBorder="1" applyAlignment="1">
      <alignment horizontal="center"/>
    </xf>
    <xf numFmtId="3" fontId="23" fillId="0" borderId="4" xfId="0" applyNumberFormat="1" applyFont="1" applyBorder="1" applyAlignment="1">
      <alignment horizontal="center" vertical="top"/>
    </xf>
    <xf numFmtId="0" fontId="31" fillId="0" borderId="0" xfId="10" applyFont="1" applyFill="1" applyBorder="1" applyAlignment="1"/>
    <xf numFmtId="1" fontId="37" fillId="0" borderId="0" xfId="0" applyNumberFormat="1" applyFont="1" applyFill="1" applyBorder="1" applyAlignment="1">
      <alignment horizontal="center" vertical="center"/>
    </xf>
    <xf numFmtId="2" fontId="37" fillId="0" borderId="0" xfId="0" applyNumberFormat="1" applyFont="1" applyFill="1" applyBorder="1" applyAlignment="1">
      <alignment horizontal="left" vertical="center"/>
    </xf>
    <xf numFmtId="0" fontId="31" fillId="0" borderId="0" xfId="0" applyFont="1" applyFill="1" applyBorder="1" applyAlignment="1">
      <alignment horizontal="center" vertical="center"/>
    </xf>
    <xf numFmtId="0" fontId="31" fillId="0" borderId="0" xfId="0" applyFont="1" applyFill="1" applyBorder="1" applyAlignment="1">
      <alignment horizontal="center" vertical="center" wrapText="1"/>
    </xf>
    <xf numFmtId="0" fontId="57" fillId="0" borderId="0" xfId="9" applyFont="1" applyFill="1" applyBorder="1" applyAlignment="1">
      <alignment wrapText="1"/>
    </xf>
    <xf numFmtId="0" fontId="0" fillId="0" borderId="0" xfId="0" applyFill="1" applyBorder="1" applyAlignment="1">
      <alignment horizontal="center" wrapText="1"/>
    </xf>
    <xf numFmtId="0" fontId="57" fillId="0" borderId="0" xfId="9" applyFont="1" applyFill="1" applyBorder="1" applyAlignment="1">
      <alignment horizontal="left"/>
    </xf>
    <xf numFmtId="0" fontId="57" fillId="0" borderId="0" xfId="9" applyFont="1" applyFill="1" applyBorder="1" applyAlignment="1">
      <alignment horizontal="center" wrapText="1"/>
    </xf>
    <xf numFmtId="1" fontId="57" fillId="0" borderId="0" xfId="9" applyNumberFormat="1" applyFont="1" applyFill="1" applyBorder="1" applyAlignment="1">
      <alignment horizontal="center" wrapText="1"/>
    </xf>
    <xf numFmtId="0" fontId="66" fillId="0" borderId="0" xfId="9" applyFont="1" applyFill="1" applyBorder="1" applyAlignment="1">
      <alignment wrapText="1"/>
    </xf>
    <xf numFmtId="1" fontId="38" fillId="0" borderId="0" xfId="0" applyNumberFormat="1" applyFont="1" applyFill="1" applyBorder="1" applyAlignment="1">
      <alignment horizontal="center" vertical="center"/>
    </xf>
    <xf numFmtId="0" fontId="59" fillId="0" borderId="0" xfId="0" applyFont="1" applyFill="1" applyBorder="1" applyAlignment="1">
      <alignment horizontal="center" vertical="center" wrapText="1"/>
    </xf>
    <xf numFmtId="0" fontId="60" fillId="0" borderId="0" xfId="0" applyFont="1" applyFill="1" applyBorder="1" applyAlignment="1">
      <alignment horizontal="left" vertical="center" wrapText="1"/>
    </xf>
    <xf numFmtId="0" fontId="39" fillId="0" borderId="0" xfId="0" applyFont="1" applyFill="1" applyBorder="1" applyAlignment="1">
      <alignment horizontal="center" vertical="top"/>
    </xf>
    <xf numFmtId="0" fontId="39" fillId="0" borderId="0" xfId="0" applyFont="1" applyFill="1" applyBorder="1" applyAlignment="1">
      <alignment vertical="top"/>
    </xf>
    <xf numFmtId="0" fontId="65" fillId="0" borderId="0" xfId="0" applyFont="1" applyAlignment="1">
      <alignment horizontal="center"/>
    </xf>
    <xf numFmtId="0" fontId="0" fillId="0" borderId="0" xfId="0" applyAlignment="1">
      <alignment horizontal="center" vertical="center"/>
    </xf>
    <xf numFmtId="0" fontId="13" fillId="0" borderId="0" xfId="0" applyFont="1" applyAlignment="1">
      <alignment horizontal="left" vertical="center"/>
    </xf>
    <xf numFmtId="0" fontId="3" fillId="0" borderId="1" xfId="0" applyFont="1" applyFill="1" applyBorder="1" applyAlignment="1">
      <alignment horizontal="center" vertical="center" wrapText="1"/>
    </xf>
    <xf numFmtId="0" fontId="3" fillId="5" borderId="0" xfId="9" applyNumberFormat="1" applyFont="1" applyFill="1" applyBorder="1" applyAlignment="1">
      <alignment horizontal="center" wrapText="1"/>
    </xf>
    <xf numFmtId="0" fontId="56" fillId="5" borderId="0" xfId="9" applyFont="1" applyFill="1" applyBorder="1" applyAlignment="1">
      <alignment wrapText="1"/>
    </xf>
    <xf numFmtId="10" fontId="38" fillId="0" borderId="0" xfId="0" applyNumberFormat="1" applyFont="1" applyBorder="1"/>
    <xf numFmtId="0" fontId="24" fillId="8" borderId="122" xfId="0" applyFont="1" applyFill="1" applyBorder="1" applyAlignment="1">
      <alignment horizontal="left" wrapText="1"/>
    </xf>
    <xf numFmtId="1" fontId="57" fillId="5" borderId="117" xfId="9" applyNumberFormat="1" applyFont="1" applyFill="1" applyBorder="1" applyAlignment="1">
      <alignment horizontal="center" wrapText="1"/>
    </xf>
    <xf numFmtId="0" fontId="23" fillId="8" borderId="122" xfId="0" applyFont="1" applyFill="1" applyBorder="1" applyAlignment="1">
      <alignment horizontal="left"/>
    </xf>
    <xf numFmtId="0" fontId="23" fillId="8" borderId="1" xfId="0" applyFont="1" applyFill="1" applyBorder="1" applyAlignment="1">
      <alignment vertical="center" wrapText="1"/>
    </xf>
    <xf numFmtId="0" fontId="23" fillId="8" borderId="18" xfId="0" applyFont="1" applyFill="1" applyBorder="1" applyAlignment="1">
      <alignment vertical="center" wrapText="1"/>
    </xf>
    <xf numFmtId="0" fontId="60" fillId="8" borderId="8" xfId="0" applyFont="1" applyFill="1" applyBorder="1" applyAlignment="1">
      <alignment horizontal="left"/>
    </xf>
    <xf numFmtId="0" fontId="24" fillId="0" borderId="72" xfId="0" applyFont="1" applyFill="1" applyBorder="1" applyAlignment="1">
      <alignment horizontal="left" wrapText="1"/>
    </xf>
    <xf numFmtId="0" fontId="23" fillId="0" borderId="69" xfId="0" applyFont="1" applyFill="1" applyBorder="1" applyAlignment="1">
      <alignment horizontal="center"/>
    </xf>
    <xf numFmtId="0" fontId="24" fillId="78" borderId="16" xfId="0" applyFont="1" applyFill="1" applyBorder="1" applyAlignment="1">
      <alignment horizontal="center" wrapText="1"/>
    </xf>
    <xf numFmtId="167" fontId="23" fillId="78" borderId="125" xfId="8" applyNumberFormat="1" applyFont="1" applyFill="1" applyBorder="1" applyAlignment="1">
      <alignment horizontal="center"/>
    </xf>
    <xf numFmtId="167" fontId="23" fillId="78" borderId="98" xfId="8" applyNumberFormat="1" applyFont="1" applyFill="1" applyBorder="1" applyAlignment="1">
      <alignment horizontal="center"/>
    </xf>
    <xf numFmtId="167" fontId="23" fillId="78" borderId="48" xfId="8" applyNumberFormat="1" applyFont="1" applyFill="1" applyBorder="1" applyAlignment="1">
      <alignment horizontal="center"/>
    </xf>
    <xf numFmtId="0" fontId="3" fillId="0" borderId="18" xfId="0" applyFont="1" applyFill="1" applyBorder="1" applyAlignment="1">
      <alignment horizontal="center" vertical="center" wrapText="1"/>
    </xf>
    <xf numFmtId="0" fontId="3" fillId="0" borderId="8" xfId="0" applyFont="1" applyBorder="1"/>
    <xf numFmtId="0" fontId="3" fillId="0" borderId="122" xfId="0" applyFont="1" applyBorder="1"/>
    <xf numFmtId="0" fontId="41" fillId="0" borderId="0" xfId="0" applyFont="1" applyBorder="1"/>
    <xf numFmtId="0" fontId="3" fillId="0" borderId="6" xfId="0" applyFont="1" applyBorder="1"/>
    <xf numFmtId="0" fontId="93" fillId="3" borderId="11" xfId="1" applyFont="1" applyFill="1" applyBorder="1" applyAlignment="1">
      <alignment horizontal="left" vertical="center" wrapText="1"/>
    </xf>
    <xf numFmtId="0" fontId="0" fillId="0" borderId="0" xfId="0" applyNumberFormat="1" applyAlignment="1">
      <alignment horizontal="center"/>
    </xf>
    <xf numFmtId="0" fontId="35" fillId="10" borderId="5" xfId="9" applyFont="1" applyFill="1" applyBorder="1" applyAlignment="1">
      <alignment horizontal="center" vertical="center"/>
    </xf>
    <xf numFmtId="0" fontId="38" fillId="0" borderId="114" xfId="0" applyFont="1" applyBorder="1" applyAlignment="1">
      <alignment vertical="top" wrapText="1"/>
    </xf>
    <xf numFmtId="3" fontId="39" fillId="0" borderId="114" xfId="0" applyNumberFormat="1" applyFont="1" applyBorder="1" applyAlignment="1">
      <alignment horizontal="center" vertical="top"/>
    </xf>
    <xf numFmtId="0" fontId="39" fillId="0" borderId="127" xfId="0" applyFont="1" applyBorder="1" applyAlignment="1">
      <alignment horizontal="left" vertical="top"/>
    </xf>
    <xf numFmtId="0" fontId="31" fillId="0" borderId="114" xfId="94" applyFont="1" applyFill="1" applyBorder="1" applyAlignment="1">
      <alignment horizontal="center" vertical="center"/>
    </xf>
    <xf numFmtId="17" fontId="0" fillId="0" borderId="112" xfId="0" applyNumberFormat="1" applyBorder="1" applyAlignment="1">
      <alignment horizontal="center"/>
    </xf>
    <xf numFmtId="0" fontId="23" fillId="5" borderId="44" xfId="0" applyFont="1" applyFill="1" applyBorder="1" applyAlignment="1">
      <alignment horizontal="left"/>
    </xf>
    <xf numFmtId="3" fontId="23" fillId="0" borderId="44" xfId="0" applyNumberFormat="1" applyFont="1" applyFill="1" applyBorder="1" applyAlignment="1">
      <alignment horizontal="center"/>
    </xf>
    <xf numFmtId="0" fontId="23" fillId="0" borderId="44" xfId="0" applyFont="1" applyBorder="1" applyAlignment="1">
      <alignment horizontal="center"/>
    </xf>
    <xf numFmtId="0" fontId="0" fillId="0" borderId="112" xfId="0" applyNumberFormat="1" applyBorder="1" applyAlignment="1">
      <alignment horizontal="center"/>
    </xf>
    <xf numFmtId="0" fontId="23" fillId="0" borderId="44" xfId="0" applyFont="1" applyBorder="1" applyAlignment="1">
      <alignment horizontal="left"/>
    </xf>
    <xf numFmtId="3" fontId="23" fillId="0" borderId="44" xfId="0" applyNumberFormat="1" applyFont="1" applyBorder="1" applyAlignment="1">
      <alignment horizontal="center"/>
    </xf>
    <xf numFmtId="0" fontId="24" fillId="0" borderId="0" xfId="0" applyFont="1" applyBorder="1" applyAlignment="1">
      <alignment horizontal="left"/>
    </xf>
    <xf numFmtId="0" fontId="31" fillId="0" borderId="69" xfId="0" applyFont="1" applyBorder="1" applyAlignment="1">
      <alignment horizontal="left" vertical="top"/>
    </xf>
    <xf numFmtId="3" fontId="32" fillId="0" borderId="69" xfId="94" applyNumberFormat="1" applyFont="1" applyFill="1" applyBorder="1" applyAlignment="1">
      <alignment horizontal="center" vertical="top"/>
    </xf>
    <xf numFmtId="0" fontId="32" fillId="0" borderId="45" xfId="94" applyFont="1" applyFill="1" applyBorder="1" applyAlignment="1">
      <alignment horizontal="left" vertical="top"/>
    </xf>
    <xf numFmtId="0" fontId="32" fillId="0" borderId="69" xfId="94" applyFont="1" applyFill="1" applyBorder="1" applyAlignment="1">
      <alignment horizontal="center" vertical="center"/>
    </xf>
    <xf numFmtId="0" fontId="23" fillId="5" borderId="114" xfId="0" applyFont="1" applyFill="1" applyBorder="1" applyAlignment="1">
      <alignment horizontal="left"/>
    </xf>
    <xf numFmtId="3" fontId="23" fillId="0" borderId="114" xfId="0" applyNumberFormat="1" applyFont="1" applyFill="1" applyBorder="1" applyAlignment="1">
      <alignment horizontal="center"/>
    </xf>
    <xf numFmtId="0" fontId="24" fillId="0" borderId="127" xfId="0" applyFont="1" applyBorder="1" applyAlignment="1">
      <alignment horizontal="left"/>
    </xf>
    <xf numFmtId="0" fontId="23" fillId="5" borderId="114" xfId="0" applyFont="1" applyFill="1" applyBorder="1" applyAlignment="1">
      <alignment horizontal="center"/>
    </xf>
    <xf numFmtId="0" fontId="0" fillId="0" borderId="112" xfId="0" applyNumberFormat="1" applyFill="1" applyBorder="1" applyAlignment="1">
      <alignment horizontal="center"/>
    </xf>
    <xf numFmtId="0" fontId="31" fillId="0" borderId="44" xfId="0" applyFont="1" applyBorder="1" applyAlignment="1">
      <alignment horizontal="left" vertical="top"/>
    </xf>
    <xf numFmtId="3" fontId="32" fillId="0" borderId="44" xfId="94" applyNumberFormat="1" applyFont="1" applyFill="1" applyBorder="1" applyAlignment="1">
      <alignment horizontal="center" vertical="top"/>
    </xf>
    <xf numFmtId="0" fontId="32" fillId="0" borderId="0" xfId="94" applyFont="1" applyFill="1" applyBorder="1" applyAlignment="1">
      <alignment horizontal="left" vertical="top"/>
    </xf>
    <xf numFmtId="0" fontId="32" fillId="0" borderId="44" xfId="94" applyFont="1" applyFill="1" applyBorder="1" applyAlignment="1">
      <alignment horizontal="center" vertical="center"/>
    </xf>
    <xf numFmtId="0" fontId="31" fillId="0" borderId="114" xfId="0" applyFont="1" applyBorder="1" applyAlignment="1">
      <alignment horizontal="left" vertical="top"/>
    </xf>
    <xf numFmtId="3" fontId="32" fillId="0" borderId="114" xfId="94" applyNumberFormat="1" applyFont="1" applyFill="1" applyBorder="1" applyAlignment="1">
      <alignment horizontal="center" vertical="top"/>
    </xf>
    <xf numFmtId="0" fontId="32" fillId="0" borderId="127" xfId="94" applyFont="1" applyFill="1" applyBorder="1" applyAlignment="1">
      <alignment horizontal="left" vertical="top"/>
    </xf>
    <xf numFmtId="0" fontId="32" fillId="0" borderId="114" xfId="94" applyFont="1" applyFill="1" applyBorder="1" applyAlignment="1">
      <alignment horizontal="center" vertical="center"/>
    </xf>
    <xf numFmtId="0" fontId="38" fillId="0" borderId="44" xfId="0" applyFont="1" applyBorder="1" applyAlignment="1">
      <alignment vertical="top"/>
    </xf>
    <xf numFmtId="3" fontId="39" fillId="0" borderId="44" xfId="0" applyNumberFormat="1" applyFont="1" applyBorder="1" applyAlignment="1">
      <alignment horizontal="center" vertical="top"/>
    </xf>
    <xf numFmtId="0" fontId="39" fillId="0" borderId="0" xfId="0" applyFont="1" applyBorder="1" applyAlignment="1">
      <alignment horizontal="left" vertical="top"/>
    </xf>
    <xf numFmtId="0" fontId="39" fillId="0" borderId="44" xfId="0" applyFont="1" applyBorder="1" applyAlignment="1">
      <alignment horizontal="center" vertical="top"/>
    </xf>
    <xf numFmtId="0" fontId="23" fillId="5" borderId="44" xfId="0" applyFont="1" applyFill="1" applyBorder="1" applyAlignment="1">
      <alignment horizontal="center"/>
    </xf>
    <xf numFmtId="0" fontId="3" fillId="0" borderId="44" xfId="0" applyFont="1" applyBorder="1" applyAlignment="1">
      <alignment horizontal="left"/>
    </xf>
    <xf numFmtId="3" fontId="3" fillId="0" borderId="44" xfId="0" applyNumberFormat="1" applyFont="1" applyBorder="1" applyAlignment="1">
      <alignment horizontal="center"/>
    </xf>
    <xf numFmtId="0" fontId="3" fillId="0" borderId="0" xfId="0" applyFont="1" applyBorder="1" applyAlignment="1">
      <alignment horizontal="left"/>
    </xf>
    <xf numFmtId="0" fontId="3" fillId="0" borderId="44" xfId="0" applyFont="1" applyBorder="1" applyAlignment="1">
      <alignment horizontal="center"/>
    </xf>
    <xf numFmtId="0" fontId="31" fillId="0" borderId="69" xfId="0" applyFont="1" applyFill="1" applyBorder="1" applyAlignment="1">
      <alignment horizontal="left" vertical="top"/>
    </xf>
    <xf numFmtId="3" fontId="31" fillId="0" borderId="44" xfId="94" applyNumberFormat="1" applyFont="1" applyFill="1" applyBorder="1" applyAlignment="1">
      <alignment horizontal="center" vertical="top"/>
    </xf>
    <xf numFmtId="0" fontId="31" fillId="0" borderId="0" xfId="94" applyFont="1" applyFill="1" applyBorder="1" applyAlignment="1">
      <alignment horizontal="left" vertical="top"/>
    </xf>
    <xf numFmtId="0" fontId="31" fillId="0" borderId="44" xfId="94" applyFont="1" applyFill="1" applyBorder="1" applyAlignment="1">
      <alignment horizontal="center" vertical="center"/>
    </xf>
    <xf numFmtId="3" fontId="31" fillId="0" borderId="69" xfId="94" applyNumberFormat="1" applyFont="1" applyFill="1" applyBorder="1" applyAlignment="1">
      <alignment horizontal="center" vertical="top"/>
    </xf>
    <xf numFmtId="0" fontId="31" fillId="0" borderId="45" xfId="94" applyFont="1" applyFill="1" applyBorder="1" applyAlignment="1">
      <alignment horizontal="left" vertical="top"/>
    </xf>
    <xf numFmtId="0" fontId="31" fillId="0" borderId="69" xfId="94" applyFont="1" applyFill="1" applyBorder="1" applyAlignment="1">
      <alignment horizontal="center" vertical="center"/>
    </xf>
    <xf numFmtId="0" fontId="23" fillId="5" borderId="0" xfId="0" applyFont="1" applyFill="1" applyBorder="1" applyAlignment="1"/>
    <xf numFmtId="0" fontId="24" fillId="5" borderId="0" xfId="0" applyFont="1" applyFill="1" applyBorder="1" applyAlignment="1">
      <alignment horizontal="left"/>
    </xf>
    <xf numFmtId="0" fontId="23" fillId="5" borderId="116" xfId="0" applyFont="1" applyFill="1" applyBorder="1" applyAlignment="1"/>
    <xf numFmtId="0" fontId="24" fillId="5" borderId="127" xfId="0" applyFont="1" applyFill="1" applyBorder="1" applyAlignment="1">
      <alignment horizontal="left"/>
    </xf>
    <xf numFmtId="0" fontId="23" fillId="5" borderId="117" xfId="0" applyFont="1" applyFill="1" applyBorder="1" applyAlignment="1"/>
    <xf numFmtId="0" fontId="23" fillId="5" borderId="44" xfId="0" applyFont="1" applyFill="1" applyBorder="1" applyAlignment="1"/>
    <xf numFmtId="3" fontId="23" fillId="0" borderId="69" xfId="0" applyNumberFormat="1" applyFont="1" applyFill="1" applyBorder="1" applyAlignment="1">
      <alignment horizontal="center"/>
    </xf>
    <xf numFmtId="0" fontId="24" fillId="5" borderId="45" xfId="0" applyFont="1" applyFill="1" applyBorder="1" applyAlignment="1">
      <alignment horizontal="left"/>
    </xf>
    <xf numFmtId="0" fontId="23" fillId="5" borderId="69" xfId="0" applyFont="1" applyFill="1" applyBorder="1" applyAlignment="1">
      <alignment horizontal="center"/>
    </xf>
    <xf numFmtId="0" fontId="0" fillId="5" borderId="116" xfId="0" applyFill="1" applyBorder="1" applyAlignment="1"/>
    <xf numFmtId="0" fontId="0" fillId="5" borderId="117" xfId="0" applyFill="1" applyBorder="1" applyAlignment="1"/>
    <xf numFmtId="0" fontId="31" fillId="0" borderId="79" xfId="0" applyFont="1" applyFill="1" applyBorder="1" applyAlignment="1">
      <alignment horizontal="center"/>
    </xf>
    <xf numFmtId="0" fontId="38" fillId="0" borderId="116" xfId="0" applyFont="1" applyBorder="1" applyAlignment="1">
      <alignment vertical="top"/>
    </xf>
    <xf numFmtId="0" fontId="38" fillId="0" borderId="114" xfId="0" applyFont="1" applyBorder="1" applyAlignment="1">
      <alignment vertical="top"/>
    </xf>
    <xf numFmtId="0" fontId="40" fillId="0" borderId="117" xfId="0" applyFont="1" applyBorder="1" applyAlignment="1">
      <alignment horizontal="center" vertical="center"/>
    </xf>
    <xf numFmtId="0" fontId="57" fillId="5" borderId="44" xfId="9" applyFont="1" applyFill="1" applyBorder="1" applyAlignment="1">
      <alignment horizontal="center"/>
    </xf>
    <xf numFmtId="3" fontId="57" fillId="5" borderId="44" xfId="9" applyNumberFormat="1" applyFont="1" applyFill="1" applyBorder="1" applyAlignment="1">
      <alignment horizontal="center"/>
    </xf>
    <xf numFmtId="0" fontId="0" fillId="0" borderId="0" xfId="0" applyBorder="1" applyAlignment="1">
      <alignment horizontal="left"/>
    </xf>
    <xf numFmtId="2" fontId="0" fillId="0" borderId="114" xfId="0" applyNumberFormat="1" applyFont="1" applyFill="1" applyBorder="1" applyAlignment="1">
      <alignment horizontal="center" vertical="center"/>
    </xf>
    <xf numFmtId="3" fontId="3" fillId="0" borderId="114" xfId="1" applyNumberFormat="1" applyFont="1" applyFill="1" applyBorder="1" applyAlignment="1">
      <alignment horizontal="center" vertical="center" wrapText="1"/>
    </xf>
    <xf numFmtId="0" fontId="32" fillId="0" borderId="127" xfId="0" applyFont="1" applyFill="1" applyBorder="1" applyAlignment="1">
      <alignment horizontal="left" vertical="center" wrapText="1"/>
    </xf>
    <xf numFmtId="3" fontId="3" fillId="5" borderId="69" xfId="0" applyNumberFormat="1" applyFont="1" applyFill="1" applyBorder="1" applyAlignment="1">
      <alignment horizontal="center"/>
    </xf>
    <xf numFmtId="0" fontId="38" fillId="5" borderId="45" xfId="0" applyFont="1" applyFill="1" applyBorder="1" applyAlignment="1">
      <alignment horizontal="left" wrapText="1"/>
    </xf>
    <xf numFmtId="3" fontId="23" fillId="5" borderId="44" xfId="0" applyNumberFormat="1" applyFont="1" applyFill="1" applyBorder="1" applyAlignment="1">
      <alignment horizontal="center"/>
    </xf>
    <xf numFmtId="1" fontId="5" fillId="5" borderId="44" xfId="0" applyNumberFormat="1" applyFont="1" applyFill="1" applyBorder="1" applyAlignment="1">
      <alignment horizontal="center" vertical="center" wrapText="1"/>
    </xf>
    <xf numFmtId="3" fontId="23" fillId="0" borderId="44" xfId="0" applyNumberFormat="1" applyFont="1" applyBorder="1" applyAlignment="1">
      <alignment horizontal="center" vertical="top"/>
    </xf>
    <xf numFmtId="0" fontId="23" fillId="0" borderId="0" xfId="0" applyFont="1" applyBorder="1" applyAlignment="1">
      <alignment horizontal="left" vertical="top"/>
    </xf>
    <xf numFmtId="0" fontId="23" fillId="5" borderId="69" xfId="0" applyFont="1" applyFill="1" applyBorder="1" applyAlignment="1">
      <alignment horizontal="left"/>
    </xf>
    <xf numFmtId="3" fontId="23" fillId="5" borderId="69" xfId="0" applyNumberFormat="1" applyFont="1" applyFill="1" applyBorder="1" applyAlignment="1">
      <alignment horizontal="center"/>
    </xf>
    <xf numFmtId="0" fontId="23" fillId="5" borderId="45" xfId="0" applyFont="1" applyFill="1" applyBorder="1" applyAlignment="1">
      <alignment horizontal="left" wrapText="1"/>
    </xf>
    <xf numFmtId="1" fontId="5" fillId="5" borderId="69" xfId="0" applyNumberFormat="1" applyFont="1" applyFill="1" applyBorder="1" applyAlignment="1">
      <alignment horizontal="center" vertical="center" wrapText="1"/>
    </xf>
    <xf numFmtId="0" fontId="0" fillId="5" borderId="0" xfId="0" applyFill="1" applyBorder="1" applyAlignment="1">
      <alignment textRotation="90"/>
    </xf>
    <xf numFmtId="0" fontId="2" fillId="11" borderId="8" xfId="0" applyFont="1" applyFill="1" applyBorder="1" applyAlignment="1">
      <alignment horizontal="center" vertical="center"/>
    </xf>
    <xf numFmtId="0" fontId="2" fillId="11" borderId="18" xfId="0" applyFont="1" applyFill="1" applyBorder="1" applyAlignment="1">
      <alignment horizontal="center" vertical="center"/>
    </xf>
    <xf numFmtId="0" fontId="57" fillId="0" borderId="114" xfId="9" applyFont="1" applyFill="1" applyBorder="1" applyAlignment="1">
      <alignment horizontal="center"/>
    </xf>
    <xf numFmtId="3" fontId="57" fillId="0" borderId="116" xfId="9" applyNumberFormat="1" applyFont="1" applyFill="1" applyBorder="1" applyAlignment="1">
      <alignment horizontal="center"/>
    </xf>
    <xf numFmtId="0" fontId="57" fillId="0" borderId="116" xfId="9" applyFont="1" applyFill="1" applyBorder="1" applyAlignment="1"/>
    <xf numFmtId="0" fontId="57" fillId="0" borderId="44" xfId="9" applyFont="1" applyFill="1" applyBorder="1" applyAlignment="1">
      <alignment horizontal="center"/>
    </xf>
    <xf numFmtId="3" fontId="57" fillId="0" borderId="117" xfId="9" applyNumberFormat="1" applyFont="1" applyFill="1" applyBorder="1" applyAlignment="1">
      <alignment horizontal="center"/>
    </xf>
    <xf numFmtId="0" fontId="57" fillId="0" borderId="117" xfId="9" applyFont="1" applyFill="1" applyBorder="1" applyAlignment="1"/>
    <xf numFmtId="0" fontId="57" fillId="0" borderId="69" xfId="9" applyFont="1" applyFill="1" applyBorder="1" applyAlignment="1">
      <alignment horizontal="center"/>
    </xf>
    <xf numFmtId="3" fontId="57" fillId="0" borderId="79" xfId="9" applyNumberFormat="1" applyFont="1" applyFill="1" applyBorder="1" applyAlignment="1">
      <alignment horizontal="center"/>
    </xf>
    <xf numFmtId="0" fontId="57" fillId="0" borderId="79" xfId="9" applyFont="1" applyFill="1" applyBorder="1" applyAlignment="1"/>
    <xf numFmtId="0" fontId="57" fillId="0" borderId="116" xfId="9" applyFont="1" applyFill="1" applyBorder="1" applyAlignment="1">
      <alignment horizontal="center"/>
    </xf>
    <xf numFmtId="0" fontId="57" fillId="0" borderId="117" xfId="9" applyFont="1" applyFill="1" applyBorder="1" applyAlignment="1">
      <alignment horizontal="center"/>
    </xf>
    <xf numFmtId="0" fontId="57" fillId="0" borderId="79" xfId="9" applyFont="1" applyFill="1" applyBorder="1" applyAlignment="1">
      <alignment horizontal="center"/>
    </xf>
    <xf numFmtId="0" fontId="0" fillId="0" borderId="114" xfId="0" applyFill="1" applyBorder="1" applyAlignment="1">
      <alignment vertical="center" textRotation="90"/>
    </xf>
    <xf numFmtId="0" fontId="0" fillId="0" borderId="44" xfId="0" applyFill="1" applyBorder="1" applyAlignment="1">
      <alignment vertical="center" textRotation="90"/>
    </xf>
    <xf numFmtId="0" fontId="0" fillId="0" borderId="117" xfId="0" applyFill="1" applyBorder="1" applyAlignment="1"/>
    <xf numFmtId="0" fontId="59" fillId="0" borderId="117" xfId="0" applyFont="1" applyFill="1" applyBorder="1" applyAlignment="1">
      <alignment horizontal="left"/>
    </xf>
    <xf numFmtId="0" fontId="23" fillId="0" borderId="117" xfId="0" applyFont="1" applyFill="1" applyBorder="1" applyAlignment="1">
      <alignment horizontal="left" vertical="center"/>
    </xf>
    <xf numFmtId="3" fontId="3" fillId="0" borderId="117" xfId="0" applyNumberFormat="1" applyFont="1" applyFill="1" applyBorder="1" applyAlignment="1">
      <alignment horizontal="center"/>
    </xf>
    <xf numFmtId="0" fontId="23" fillId="0" borderId="44" xfId="0" applyFont="1" applyFill="1" applyBorder="1" applyAlignment="1">
      <alignment horizontal="center"/>
    </xf>
    <xf numFmtId="0" fontId="0" fillId="0" borderId="69" xfId="0" applyFill="1" applyBorder="1" applyAlignment="1">
      <alignment horizontal="center" vertical="center" textRotation="90"/>
    </xf>
    <xf numFmtId="0" fontId="0" fillId="0" borderId="105" xfId="0" applyFill="1" applyBorder="1" applyAlignment="1">
      <alignment horizontal="center" vertical="center" textRotation="90"/>
    </xf>
    <xf numFmtId="2" fontId="0" fillId="0" borderId="105" xfId="0" applyNumberFormat="1" applyFont="1" applyFill="1" applyBorder="1" applyAlignment="1">
      <alignment horizontal="center" vertical="center"/>
    </xf>
    <xf numFmtId="3" fontId="0" fillId="0" borderId="105" xfId="0" applyNumberFormat="1" applyFont="1" applyFill="1" applyBorder="1" applyAlignment="1">
      <alignment horizontal="center" vertical="center"/>
    </xf>
    <xf numFmtId="2" fontId="0" fillId="0" borderId="105" xfId="0" applyNumberFormat="1" applyFont="1" applyFill="1" applyBorder="1" applyAlignment="1">
      <alignment horizontal="left" vertical="center"/>
    </xf>
    <xf numFmtId="1" fontId="0" fillId="0" borderId="105" xfId="0" applyNumberFormat="1" applyFont="1" applyFill="1" applyBorder="1" applyAlignment="1">
      <alignment horizontal="center"/>
    </xf>
    <xf numFmtId="0" fontId="23" fillId="8" borderId="114" xfId="0" applyFont="1" applyFill="1" applyBorder="1" applyAlignment="1">
      <alignment horizontal="justify"/>
    </xf>
    <xf numFmtId="3" fontId="23" fillId="8" borderId="113" xfId="0" applyNumberFormat="1" applyFont="1" applyFill="1" applyBorder="1" applyAlignment="1">
      <alignment horizontal="left"/>
    </xf>
    <xf numFmtId="0" fontId="23" fillId="8" borderId="127" xfId="0" applyFont="1" applyFill="1" applyBorder="1" applyAlignment="1">
      <alignment horizontal="justify"/>
    </xf>
    <xf numFmtId="0" fontId="23" fillId="8" borderId="114" xfId="0" applyFont="1" applyFill="1" applyBorder="1" applyAlignment="1">
      <alignment horizontal="center" vertical="center"/>
    </xf>
    <xf numFmtId="0" fontId="23" fillId="8" borderId="44" xfId="0" applyFont="1" applyFill="1" applyBorder="1" applyAlignment="1">
      <alignment horizontal="justify"/>
    </xf>
    <xf numFmtId="3" fontId="23" fillId="8" borderId="46" xfId="0" applyNumberFormat="1" applyFont="1" applyFill="1" applyBorder="1" applyAlignment="1">
      <alignment horizontal="left"/>
    </xf>
    <xf numFmtId="0" fontId="23" fillId="8" borderId="0" xfId="0" applyFont="1" applyFill="1" applyBorder="1" applyAlignment="1">
      <alignment horizontal="justify"/>
    </xf>
    <xf numFmtId="0" fontId="23" fillId="8" borderId="44" xfId="0" applyFont="1" applyFill="1" applyBorder="1" applyAlignment="1">
      <alignment horizontal="center" vertical="center"/>
    </xf>
    <xf numFmtId="0" fontId="23" fillId="8" borderId="44" xfId="0" applyFont="1" applyFill="1" applyBorder="1" applyAlignment="1">
      <alignment horizontal="left"/>
    </xf>
    <xf numFmtId="0" fontId="23" fillId="8" borderId="44" xfId="0" applyFont="1" applyFill="1" applyBorder="1" applyAlignment="1">
      <alignment horizontal="center"/>
    </xf>
    <xf numFmtId="0" fontId="23" fillId="0" borderId="0" xfId="0" applyFont="1" applyBorder="1" applyAlignment="1">
      <alignment horizontal="justify"/>
    </xf>
    <xf numFmtId="3" fontId="57" fillId="5" borderId="46" xfId="9" applyNumberFormat="1" applyFont="1" applyFill="1" applyBorder="1" applyAlignment="1">
      <alignment horizontal="left"/>
    </xf>
    <xf numFmtId="0" fontId="0" fillId="0" borderId="0" xfId="0" applyBorder="1" applyAlignment="1"/>
    <xf numFmtId="0" fontId="3" fillId="8" borderId="44" xfId="0" applyFont="1" applyFill="1" applyBorder="1" applyAlignment="1">
      <alignment horizontal="justify"/>
    </xf>
    <xf numFmtId="3" fontId="3" fillId="8" borderId="46" xfId="0" applyNumberFormat="1" applyFont="1" applyFill="1" applyBorder="1" applyAlignment="1">
      <alignment horizontal="left"/>
    </xf>
    <xf numFmtId="0" fontId="3" fillId="8" borderId="0" xfId="0" applyFont="1" applyFill="1" applyBorder="1" applyAlignment="1">
      <alignment horizontal="justify"/>
    </xf>
    <xf numFmtId="0" fontId="3" fillId="8" borderId="44" xfId="0" applyFont="1" applyFill="1" applyBorder="1" applyAlignment="1">
      <alignment horizontal="center" vertical="center"/>
    </xf>
    <xf numFmtId="0" fontId="23" fillId="8" borderId="69" xfId="0" applyFont="1" applyFill="1" applyBorder="1" applyAlignment="1">
      <alignment horizontal="justify"/>
    </xf>
    <xf numFmtId="3" fontId="23" fillId="8" borderId="47" xfId="0" applyNumberFormat="1" applyFont="1" applyFill="1" applyBorder="1" applyAlignment="1">
      <alignment horizontal="left"/>
    </xf>
    <xf numFmtId="0" fontId="23" fillId="8" borderId="45" xfId="0" applyFont="1" applyFill="1" applyBorder="1" applyAlignment="1">
      <alignment horizontal="justify"/>
    </xf>
    <xf numFmtId="0" fontId="23" fillId="8" borderId="69" xfId="0" applyFont="1" applyFill="1" applyBorder="1" applyAlignment="1">
      <alignment horizontal="center" vertical="center"/>
    </xf>
    <xf numFmtId="3" fontId="23" fillId="8" borderId="44" xfId="0" applyNumberFormat="1" applyFont="1" applyFill="1" applyBorder="1" applyAlignment="1">
      <alignment horizontal="left"/>
    </xf>
    <xf numFmtId="0" fontId="23" fillId="0" borderId="117" xfId="0" applyFont="1" applyBorder="1" applyAlignment="1">
      <alignment horizontal="justify"/>
    </xf>
    <xf numFmtId="0" fontId="23" fillId="8" borderId="117" xfId="0" applyFont="1" applyFill="1" applyBorder="1" applyAlignment="1">
      <alignment horizontal="justify"/>
    </xf>
    <xf numFmtId="3" fontId="23" fillId="0" borderId="69" xfId="0" applyNumberFormat="1" applyFont="1" applyBorder="1" applyAlignment="1">
      <alignment horizontal="left"/>
    </xf>
    <xf numFmtId="3" fontId="23" fillId="8" borderId="117" xfId="0" applyNumberFormat="1" applyFont="1" applyFill="1" applyBorder="1" applyAlignment="1">
      <alignment horizontal="left"/>
    </xf>
    <xf numFmtId="0" fontId="23" fillId="0" borderId="69" xfId="0" applyFont="1" applyBorder="1" applyAlignment="1">
      <alignment horizontal="justify"/>
    </xf>
    <xf numFmtId="3" fontId="23" fillId="8" borderId="114" xfId="0" applyNumberFormat="1" applyFont="1" applyFill="1" applyBorder="1" applyAlignment="1">
      <alignment horizontal="left"/>
    </xf>
    <xf numFmtId="0" fontId="23" fillId="0" borderId="44" xfId="0" applyFont="1" applyBorder="1" applyAlignment="1">
      <alignment horizontal="justify"/>
    </xf>
    <xf numFmtId="3" fontId="23" fillId="8" borderId="69" xfId="0" applyNumberFormat="1" applyFont="1" applyFill="1" applyBorder="1" applyAlignment="1">
      <alignment horizontal="left"/>
    </xf>
    <xf numFmtId="0" fontId="23" fillId="8" borderId="114" xfId="0" applyFont="1" applyFill="1" applyBorder="1" applyAlignment="1">
      <alignment horizontal="left" vertical="center"/>
    </xf>
    <xf numFmtId="3" fontId="3" fillId="8" borderId="114" xfId="0" applyNumberFormat="1" applyFont="1" applyFill="1" applyBorder="1" applyAlignment="1">
      <alignment horizontal="left"/>
    </xf>
    <xf numFmtId="0" fontId="24" fillId="8" borderId="127" xfId="0" applyFont="1" applyFill="1" applyBorder="1" applyAlignment="1">
      <alignment horizontal="left"/>
    </xf>
    <xf numFmtId="0" fontId="23" fillId="8" borderId="44" xfId="0" applyFont="1" applyFill="1" applyBorder="1" applyAlignment="1">
      <alignment horizontal="left" vertical="center"/>
    </xf>
    <xf numFmtId="3" fontId="3" fillId="8" borderId="44" xfId="0" applyNumberFormat="1" applyFont="1" applyFill="1" applyBorder="1" applyAlignment="1">
      <alignment horizontal="left"/>
    </xf>
    <xf numFmtId="0" fontId="5" fillId="5" borderId="69" xfId="9" applyFont="1" applyFill="1" applyBorder="1" applyAlignment="1">
      <alignment horizontal="center"/>
    </xf>
    <xf numFmtId="3" fontId="5" fillId="5" borderId="69" xfId="9" applyNumberFormat="1" applyFont="1" applyFill="1" applyBorder="1" applyAlignment="1">
      <alignment horizontal="left"/>
    </xf>
    <xf numFmtId="0" fontId="23" fillId="0" borderId="45" xfId="0" applyFont="1" applyBorder="1" applyAlignment="1"/>
    <xf numFmtId="0" fontId="0" fillId="0" borderId="105" xfId="0" applyBorder="1" applyAlignment="1"/>
    <xf numFmtId="0" fontId="57" fillId="5" borderId="102" xfId="9" applyFont="1" applyFill="1" applyBorder="1" applyAlignment="1">
      <alignment horizontal="center" wrapText="1"/>
    </xf>
    <xf numFmtId="0" fontId="32" fillId="5" borderId="112" xfId="9" applyFont="1" applyFill="1" applyBorder="1" applyAlignment="1">
      <alignment horizontal="left" wrapText="1"/>
    </xf>
    <xf numFmtId="0" fontId="23" fillId="8" borderId="105" xfId="0" applyFont="1" applyFill="1" applyBorder="1" applyAlignment="1">
      <alignment horizontal="center" vertical="center"/>
    </xf>
    <xf numFmtId="0" fontId="24" fillId="78" borderId="13" xfId="0" applyFont="1" applyFill="1" applyBorder="1" applyAlignment="1">
      <alignment horizontal="center" wrapText="1"/>
    </xf>
    <xf numFmtId="0" fontId="0" fillId="0" borderId="0" xfId="0" applyAlignment="1">
      <alignment horizontal="center"/>
    </xf>
    <xf numFmtId="0" fontId="0" fillId="0" borderId="0" xfId="0" applyAlignment="1">
      <alignment horizontal="center" vertical="center"/>
    </xf>
    <xf numFmtId="0" fontId="31" fillId="0" borderId="0" xfId="0" applyFont="1" applyFill="1" applyBorder="1" applyAlignment="1">
      <alignment horizontal="center" wrapText="1"/>
    </xf>
    <xf numFmtId="166" fontId="3" fillId="0" borderId="0" xfId="0" applyNumberFormat="1" applyFont="1" applyFill="1" applyBorder="1" applyAlignment="1">
      <alignment horizontal="center" vertical="center" wrapText="1"/>
    </xf>
    <xf numFmtId="167" fontId="31" fillId="0" borderId="0" xfId="52" applyNumberFormat="1" applyFont="1" applyBorder="1" applyAlignment="1">
      <alignment horizontal="center"/>
    </xf>
    <xf numFmtId="43" fontId="23" fillId="8" borderId="0" xfId="8" applyFont="1" applyFill="1" applyBorder="1" applyAlignment="1">
      <alignment horizontal="center"/>
    </xf>
    <xf numFmtId="0" fontId="24" fillId="0" borderId="0" xfId="0" applyFont="1" applyFill="1" applyBorder="1" applyAlignment="1">
      <alignment horizontal="center"/>
    </xf>
    <xf numFmtId="0" fontId="31" fillId="0" borderId="0" xfId="10" applyFont="1" applyFill="1" applyBorder="1" applyAlignment="1">
      <alignment horizontal="center"/>
    </xf>
    <xf numFmtId="0" fontId="0" fillId="0" borderId="0" xfId="0" applyAlignment="1">
      <alignment horizontal="center" vertical="center"/>
    </xf>
    <xf numFmtId="0" fontId="41" fillId="5" borderId="0" xfId="0" applyFont="1" applyFill="1"/>
    <xf numFmtId="0" fontId="41" fillId="0" borderId="0" xfId="0" applyFont="1" applyFill="1"/>
    <xf numFmtId="0" fontId="0" fillId="0" borderId="0" xfId="0" applyFill="1" applyBorder="1" applyAlignment="1">
      <alignment horizontal="right"/>
    </xf>
    <xf numFmtId="0" fontId="0" fillId="0" borderId="0" xfId="0" applyAlignment="1">
      <alignment horizontal="center"/>
    </xf>
    <xf numFmtId="0" fontId="41" fillId="0" borderId="0" xfId="0" applyFont="1" applyFill="1" applyBorder="1" applyAlignment="1">
      <alignment horizontal="center"/>
    </xf>
    <xf numFmtId="167" fontId="0" fillId="0" borderId="0" xfId="0" applyNumberFormat="1" applyFill="1" applyBorder="1" applyAlignment="1">
      <alignment horizontal="center"/>
    </xf>
    <xf numFmtId="0" fontId="8" fillId="0" borderId="6" xfId="0" applyFont="1" applyBorder="1" applyAlignment="1">
      <alignment horizontal="left"/>
    </xf>
    <xf numFmtId="0" fontId="8" fillId="0" borderId="26" xfId="0" applyFont="1" applyBorder="1" applyAlignment="1">
      <alignment horizontal="center"/>
    </xf>
    <xf numFmtId="0" fontId="8" fillId="0" borderId="0" xfId="0" applyFont="1" applyBorder="1" applyAlignment="1">
      <alignment horizontal="left" wrapText="1"/>
    </xf>
    <xf numFmtId="0" fontId="57" fillId="0" borderId="0" xfId="9" applyFont="1" applyFill="1" applyBorder="1" applyAlignment="1"/>
    <xf numFmtId="0" fontId="41" fillId="0" borderId="0" xfId="0" applyFont="1" applyAlignment="1"/>
    <xf numFmtId="0" fontId="57" fillId="0" borderId="0" xfId="9" applyFont="1" applyFill="1" applyBorder="1" applyAlignment="1">
      <alignment vertical="center" wrapText="1"/>
    </xf>
    <xf numFmtId="0" fontId="57" fillId="0" borderId="0" xfId="9" applyFont="1" applyFill="1" applyBorder="1" applyAlignment="1">
      <alignment vertical="center"/>
    </xf>
    <xf numFmtId="0" fontId="0" fillId="0" borderId="0" xfId="0" applyAlignment="1">
      <alignment horizontal="center"/>
    </xf>
    <xf numFmtId="0" fontId="64" fillId="10" borderId="26" xfId="9" applyFont="1" applyFill="1" applyBorder="1" applyAlignment="1">
      <alignment horizontal="center" vertical="center"/>
    </xf>
    <xf numFmtId="0" fontId="72" fillId="7" borderId="1" xfId="0" applyFont="1" applyFill="1" applyBorder="1" applyAlignment="1">
      <alignment horizontal="center" vertical="center" wrapText="1"/>
    </xf>
    <xf numFmtId="0" fontId="3" fillId="11" borderId="5" xfId="0" applyFont="1" applyFill="1" applyBorder="1" applyAlignment="1">
      <alignment horizontal="center"/>
    </xf>
    <xf numFmtId="0" fontId="57" fillId="44" borderId="25" xfId="9" applyFont="1" applyFill="1" applyBorder="1" applyAlignment="1">
      <alignment horizontal="center" vertical="center" wrapText="1"/>
    </xf>
    <xf numFmtId="0" fontId="57" fillId="44" borderId="5" xfId="9" applyNumberFormat="1" applyFont="1" applyFill="1" applyBorder="1" applyAlignment="1">
      <alignment horizontal="center" wrapText="1"/>
    </xf>
    <xf numFmtId="0" fontId="57" fillId="44" borderId="0" xfId="9" applyFont="1" applyFill="1" applyBorder="1" applyAlignment="1">
      <alignment horizontal="center" vertical="center" wrapText="1"/>
    </xf>
    <xf numFmtId="0" fontId="57" fillId="44" borderId="8" xfId="9" applyNumberFormat="1" applyFont="1" applyFill="1" applyBorder="1" applyAlignment="1">
      <alignment horizontal="center" wrapText="1"/>
    </xf>
    <xf numFmtId="0" fontId="57" fillId="45" borderId="0" xfId="9" applyFont="1" applyFill="1" applyBorder="1" applyAlignment="1">
      <alignment horizontal="center" vertical="center" wrapText="1"/>
    </xf>
    <xf numFmtId="0" fontId="57" fillId="46" borderId="0" xfId="9" applyFont="1" applyFill="1" applyBorder="1" applyAlignment="1">
      <alignment horizontal="center" vertical="center" wrapText="1"/>
    </xf>
    <xf numFmtId="0" fontId="57" fillId="47" borderId="0" xfId="9" applyFont="1" applyFill="1" applyBorder="1" applyAlignment="1">
      <alignment horizontal="center" vertical="center" wrapText="1"/>
    </xf>
    <xf numFmtId="0" fontId="57" fillId="47" borderId="8" xfId="9" applyNumberFormat="1" applyFont="1" applyFill="1" applyBorder="1" applyAlignment="1">
      <alignment horizontal="center" wrapText="1"/>
    </xf>
    <xf numFmtId="0" fontId="57" fillId="48" borderId="0" xfId="9" applyFont="1" applyFill="1" applyBorder="1" applyAlignment="1">
      <alignment horizontal="center" vertical="center" wrapText="1"/>
    </xf>
    <xf numFmtId="0" fontId="57" fillId="49" borderId="0" xfId="9" applyFont="1" applyFill="1" applyBorder="1" applyAlignment="1">
      <alignment horizontal="center" vertical="center" wrapText="1"/>
    </xf>
    <xf numFmtId="0" fontId="57" fillId="50" borderId="0" xfId="9" applyFont="1" applyFill="1" applyBorder="1" applyAlignment="1">
      <alignment horizontal="center" vertical="center" wrapText="1"/>
    </xf>
    <xf numFmtId="0" fontId="57" fillId="51" borderId="0" xfId="9" applyFont="1" applyFill="1" applyBorder="1" applyAlignment="1">
      <alignment horizontal="center" vertical="center" wrapText="1"/>
    </xf>
    <xf numFmtId="0" fontId="57" fillId="5" borderId="0" xfId="9" applyFont="1" applyFill="1" applyBorder="1" applyAlignment="1">
      <alignment horizontal="center" vertical="center" wrapText="1"/>
    </xf>
    <xf numFmtId="0" fontId="11" fillId="0" borderId="127" xfId="1" applyFont="1" applyFill="1" applyBorder="1" applyAlignment="1">
      <alignment vertical="center"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wrapText="1"/>
    </xf>
    <xf numFmtId="0" fontId="1" fillId="0" borderId="9" xfId="0" applyFont="1" applyBorder="1" applyAlignment="1">
      <alignment horizontal="center"/>
    </xf>
    <xf numFmtId="167" fontId="1" fillId="0" borderId="11" xfId="0" applyNumberFormat="1" applyFont="1" applyBorder="1"/>
    <xf numFmtId="167" fontId="1" fillId="0" borderId="11" xfId="0" applyNumberFormat="1" applyFont="1" applyBorder="1" applyAlignment="1">
      <alignment horizontal="center"/>
    </xf>
    <xf numFmtId="0" fontId="41" fillId="0" borderId="0" xfId="0" applyFont="1" applyFill="1" applyAlignment="1">
      <alignment horizontal="left"/>
    </xf>
    <xf numFmtId="0" fontId="0" fillId="0" borderId="0" xfId="0" applyFill="1" applyAlignment="1">
      <alignment vertical="center"/>
    </xf>
    <xf numFmtId="0" fontId="0" fillId="0" borderId="0" xfId="0"/>
    <xf numFmtId="0" fontId="0" fillId="2" borderId="0" xfId="0" applyFill="1"/>
    <xf numFmtId="0" fontId="41" fillId="0" borderId="0" xfId="0" applyFont="1" applyFill="1"/>
    <xf numFmtId="10" fontId="41" fillId="0" borderId="0" xfId="0" applyNumberFormat="1" applyFont="1" applyAlignment="1">
      <alignment horizontal="center"/>
    </xf>
    <xf numFmtId="3" fontId="25" fillId="0" borderId="0" xfId="0" applyNumberFormat="1" applyFont="1" applyAlignment="1">
      <alignment horizontal="left"/>
    </xf>
    <xf numFmtId="0" fontId="0" fillId="0" borderId="0" xfId="0" applyAlignment="1">
      <alignment horizontal="center" vertical="center"/>
    </xf>
    <xf numFmtId="0" fontId="30" fillId="0" borderId="0" xfId="0" applyFont="1" applyFill="1" applyBorder="1" applyAlignment="1">
      <alignment wrapText="1"/>
    </xf>
    <xf numFmtId="0" fontId="30" fillId="0" borderId="0" xfId="0" applyFont="1" applyAlignment="1">
      <alignment horizontal="center"/>
    </xf>
    <xf numFmtId="0" fontId="30" fillId="0" borderId="0" xfId="0" applyFont="1"/>
    <xf numFmtId="0" fontId="94" fillId="11" borderId="8" xfId="0" applyFont="1" applyFill="1" applyBorder="1" applyAlignment="1">
      <alignment horizontal="center" vertical="center" wrapText="1"/>
    </xf>
    <xf numFmtId="0" fontId="30" fillId="5" borderId="0" xfId="0" applyFont="1" applyFill="1" applyAlignment="1">
      <alignment horizontal="center"/>
    </xf>
    <xf numFmtId="0" fontId="56" fillId="10" borderId="5" xfId="9" applyFont="1" applyFill="1" applyBorder="1" applyAlignment="1">
      <alignment horizontal="center" vertical="center" wrapText="1"/>
    </xf>
    <xf numFmtId="0" fontId="30" fillId="0" borderId="0" xfId="0" applyFont="1" applyAlignment="1">
      <alignment horizontal="center" wrapText="1"/>
    </xf>
    <xf numFmtId="0" fontId="38" fillId="0" borderId="0" xfId="0" applyFont="1" applyAlignment="1">
      <alignment vertical="center"/>
    </xf>
    <xf numFmtId="0" fontId="31" fillId="0" borderId="0" xfId="0" applyFont="1" applyFill="1" applyAlignment="1">
      <alignment horizontal="left"/>
    </xf>
    <xf numFmtId="0" fontId="0" fillId="70" borderId="26" xfId="0" applyFill="1" applyBorder="1" applyAlignment="1">
      <alignment wrapText="1"/>
    </xf>
    <xf numFmtId="0" fontId="0" fillId="70" borderId="4" xfId="0" applyFill="1" applyBorder="1" applyAlignment="1">
      <alignment wrapText="1"/>
    </xf>
    <xf numFmtId="0" fontId="0" fillId="0" borderId="0" xfId="0" applyFill="1" applyBorder="1" applyAlignment="1">
      <alignment wrapText="1"/>
    </xf>
    <xf numFmtId="0" fontId="94" fillId="0" borderId="8" xfId="0" applyFont="1" applyFill="1" applyBorder="1" applyAlignment="1">
      <alignment horizontal="center" vertical="center"/>
    </xf>
    <xf numFmtId="0" fontId="0" fillId="0" borderId="0" xfId="0" applyAlignment="1">
      <alignment horizontal="center"/>
    </xf>
    <xf numFmtId="0" fontId="95" fillId="0" borderId="0" xfId="0" applyFont="1" applyBorder="1"/>
    <xf numFmtId="0" fontId="97" fillId="0" borderId="0" xfId="0" applyFont="1" applyBorder="1"/>
    <xf numFmtId="0" fontId="96" fillId="0" borderId="0" xfId="9" applyFont="1" applyFill="1" applyBorder="1" applyAlignment="1"/>
    <xf numFmtId="0" fontId="95" fillId="0" borderId="0" xfId="0" applyFont="1" applyBorder="1" applyAlignment="1">
      <alignment wrapText="1"/>
    </xf>
    <xf numFmtId="0" fontId="96" fillId="0" borderId="0" xfId="9" applyFont="1" applyFill="1" applyBorder="1" applyAlignment="1">
      <alignment wrapText="1"/>
    </xf>
    <xf numFmtId="0" fontId="0" fillId="0" borderId="0" xfId="0"/>
    <xf numFmtId="0" fontId="0" fillId="0" borderId="0" xfId="0"/>
    <xf numFmtId="0" fontId="0" fillId="0" borderId="0" xfId="0" applyFont="1"/>
    <xf numFmtId="0" fontId="0" fillId="0" borderId="0" xfId="0" applyFont="1" applyAlignment="1">
      <alignment horizontal="center"/>
    </xf>
    <xf numFmtId="0" fontId="0" fillId="0" borderId="0" xfId="0" applyFont="1" applyAlignment="1">
      <alignment vertical="top"/>
    </xf>
    <xf numFmtId="0" fontId="98" fillId="0" borderId="0" xfId="0" applyFont="1" applyBorder="1" applyAlignment="1">
      <alignment horizontal="left" wrapText="1"/>
    </xf>
    <xf numFmtId="0" fontId="99" fillId="0" borderId="0" xfId="0" applyFont="1"/>
    <xf numFmtId="0" fontId="0" fillId="0" borderId="0" xfId="0" applyFill="1" applyBorder="1" applyAlignment="1">
      <alignment horizontal="center"/>
    </xf>
    <xf numFmtId="0" fontId="41" fillId="0" borderId="0" xfId="0" applyFont="1" applyFill="1" applyBorder="1" applyAlignment="1">
      <alignment horizontal="justify"/>
    </xf>
    <xf numFmtId="0" fontId="41" fillId="0" borderId="0" xfId="0" applyFont="1" applyFill="1" applyBorder="1" applyAlignment="1">
      <alignment horizontal="left"/>
    </xf>
    <xf numFmtId="0" fontId="0" fillId="0" borderId="0" xfId="0" applyBorder="1" applyAlignment="1">
      <alignment horizontal="center"/>
    </xf>
    <xf numFmtId="0" fontId="41" fillId="0" borderId="0" xfId="0" applyFont="1"/>
    <xf numFmtId="0" fontId="0" fillId="0" borderId="0" xfId="0" applyAlignment="1">
      <alignment horizontal="center"/>
    </xf>
    <xf numFmtId="0" fontId="15" fillId="5" borderId="8" xfId="6" applyFont="1" applyFill="1" applyBorder="1" applyAlignment="1">
      <alignment horizontal="center" vertical="center"/>
    </xf>
    <xf numFmtId="0" fontId="0" fillId="0" borderId="0" xfId="0" applyAlignment="1">
      <alignment horizontal="center"/>
    </xf>
    <xf numFmtId="0" fontId="41" fillId="0" borderId="0" xfId="0" applyFont="1" applyFill="1" applyAlignment="1">
      <alignment horizontal="justify"/>
    </xf>
    <xf numFmtId="0" fontId="95" fillId="0" borderId="0" xfId="0" applyFont="1"/>
    <xf numFmtId="0" fontId="41" fillId="5" borderId="0" xfId="0" applyFont="1" applyFill="1"/>
    <xf numFmtId="0" fontId="41" fillId="0" borderId="0" xfId="0" applyFont="1" applyFill="1"/>
    <xf numFmtId="0" fontId="0" fillId="0" borderId="0" xfId="0"/>
    <xf numFmtId="0" fontId="13" fillId="0" borderId="0" xfId="0" applyFont="1"/>
    <xf numFmtId="0" fontId="24" fillId="78" borderId="120" xfId="0" applyFont="1" applyFill="1" applyBorder="1" applyAlignment="1">
      <alignment horizontal="center" vertical="center" wrapText="1"/>
    </xf>
    <xf numFmtId="0" fontId="23" fillId="78" borderId="97" xfId="0" applyFont="1" applyFill="1" applyBorder="1" applyAlignment="1">
      <alignment horizontal="center" vertical="center"/>
    </xf>
    <xf numFmtId="0" fontId="3" fillId="78" borderId="14" xfId="0" applyFont="1" applyFill="1" applyBorder="1" applyAlignment="1">
      <alignment horizontal="center" vertical="center" wrapText="1"/>
    </xf>
    <xf numFmtId="0" fontId="23" fillId="78" borderId="14" xfId="0" applyFont="1" applyFill="1" applyBorder="1" applyAlignment="1">
      <alignment horizontal="center" vertical="center"/>
    </xf>
    <xf numFmtId="0" fontId="23" fillId="78" borderId="7" xfId="0" applyFont="1" applyFill="1" applyBorder="1" applyAlignment="1">
      <alignment horizontal="center" vertical="center"/>
    </xf>
    <xf numFmtId="0" fontId="3" fillId="78" borderId="19" xfId="0" applyFont="1" applyFill="1" applyBorder="1" applyAlignment="1">
      <alignment horizontal="center" wrapText="1"/>
    </xf>
    <xf numFmtId="167" fontId="23" fillId="78" borderId="51" xfId="8" applyNumberFormat="1" applyFont="1" applyFill="1" applyBorder="1" applyAlignment="1">
      <alignment horizontal="center"/>
    </xf>
    <xf numFmtId="0" fontId="3" fillId="78" borderId="122" xfId="0" applyFont="1" applyFill="1" applyBorder="1" applyAlignment="1">
      <alignment horizontal="center" wrapText="1"/>
    </xf>
    <xf numFmtId="167" fontId="23" fillId="78" borderId="121" xfId="8" applyNumberFormat="1" applyFont="1" applyFill="1" applyBorder="1" applyAlignment="1">
      <alignment horizontal="center"/>
    </xf>
    <xf numFmtId="0" fontId="3" fillId="78" borderId="122" xfId="0" applyFont="1" applyFill="1" applyBorder="1" applyAlignment="1">
      <alignment horizontal="center"/>
    </xf>
    <xf numFmtId="0" fontId="23" fillId="78" borderId="122" xfId="0" applyFont="1" applyFill="1" applyBorder="1" applyAlignment="1">
      <alignment horizontal="center"/>
    </xf>
    <xf numFmtId="0" fontId="23" fillId="78" borderId="123" xfId="0" applyFont="1" applyFill="1" applyBorder="1" applyAlignment="1">
      <alignment horizontal="center"/>
    </xf>
    <xf numFmtId="167" fontId="23" fillId="78" borderId="124" xfId="8" applyNumberFormat="1" applyFont="1" applyFill="1" applyBorder="1" applyAlignment="1">
      <alignment horizontal="center"/>
    </xf>
    <xf numFmtId="1" fontId="0" fillId="0" borderId="0" xfId="0" applyNumberFormat="1" applyFont="1" applyFill="1" applyBorder="1" applyAlignment="1">
      <alignment horizontal="center" vertical="center"/>
    </xf>
    <xf numFmtId="2" fontId="0" fillId="0" borderId="0" xfId="0" applyNumberFormat="1" applyFont="1" applyFill="1" applyBorder="1" applyAlignment="1">
      <alignment horizontal="left" vertical="center"/>
    </xf>
    <xf numFmtId="0" fontId="56" fillId="70" borderId="8" xfId="9" applyFont="1" applyFill="1" applyBorder="1" applyAlignment="1">
      <alignment wrapText="1"/>
    </xf>
    <xf numFmtId="1" fontId="56" fillId="5" borderId="117" xfId="9" applyNumberFormat="1" applyFont="1" applyFill="1" applyBorder="1" applyAlignment="1">
      <alignment horizontal="center" wrapText="1"/>
    </xf>
    <xf numFmtId="0" fontId="0" fillId="0" borderId="0" xfId="0" applyAlignment="1">
      <alignment horizontal="center" vertical="center"/>
    </xf>
    <xf numFmtId="1" fontId="57" fillId="5" borderId="69" xfId="9" applyNumberFormat="1" applyFont="1" applyFill="1" applyBorder="1" applyAlignment="1">
      <alignment horizontal="center" wrapText="1"/>
    </xf>
    <xf numFmtId="0" fontId="57" fillId="5" borderId="45" xfId="9" applyFont="1" applyFill="1" applyBorder="1" applyAlignment="1"/>
    <xf numFmtId="0" fontId="0" fillId="0" borderId="0" xfId="0" applyAlignment="1">
      <alignment horizontal="left" vertical="center"/>
    </xf>
    <xf numFmtId="0" fontId="0" fillId="0" borderId="0" xfId="0" applyAlignment="1">
      <alignment horizontal="center" vertical="center"/>
    </xf>
    <xf numFmtId="0" fontId="0" fillId="0" borderId="0" xfId="0"/>
    <xf numFmtId="0" fontId="34" fillId="3" borderId="10" xfId="1" applyFont="1" applyFill="1" applyBorder="1" applyAlignment="1">
      <alignment vertical="center"/>
    </xf>
    <xf numFmtId="0" fontId="33" fillId="0" borderId="5" xfId="0" applyFont="1" applyBorder="1" applyAlignment="1">
      <alignment horizontal="center"/>
    </xf>
    <xf numFmtId="0" fontId="33" fillId="0" borderId="5" xfId="0" applyFont="1" applyFill="1" applyBorder="1" applyAlignment="1">
      <alignment horizontal="center"/>
    </xf>
    <xf numFmtId="0" fontId="33" fillId="0" borderId="18" xfId="0" applyFont="1" applyBorder="1" applyAlignment="1"/>
    <xf numFmtId="0" fontId="33" fillId="0" borderId="3" xfId="0" applyFont="1" applyBorder="1" applyAlignment="1"/>
    <xf numFmtId="0" fontId="108" fillId="3" borderId="9" xfId="1" applyFont="1" applyFill="1" applyBorder="1" applyAlignment="1">
      <alignment vertical="center"/>
    </xf>
    <xf numFmtId="0" fontId="67" fillId="0" borderId="19" xfId="9" applyFont="1" applyFill="1" applyBorder="1" applyAlignment="1">
      <alignment horizontal="left" wrapText="1"/>
    </xf>
    <xf numFmtId="1" fontId="67" fillId="0" borderId="57" xfId="9" applyNumberFormat="1" applyFont="1" applyFill="1" applyBorder="1" applyAlignment="1">
      <alignment horizontal="center" wrapText="1"/>
    </xf>
    <xf numFmtId="0" fontId="33" fillId="0" borderId="122" xfId="0" applyFont="1" applyFill="1" applyBorder="1" applyAlignment="1">
      <alignment horizontal="left" wrapText="1"/>
    </xf>
    <xf numFmtId="0" fontId="33" fillId="0" borderId="105" xfId="0" applyFont="1" applyFill="1" applyBorder="1" applyAlignment="1">
      <alignment horizontal="center" wrapText="1"/>
    </xf>
    <xf numFmtId="0" fontId="33" fillId="0" borderId="123" xfId="0" applyFont="1" applyFill="1" applyBorder="1" applyAlignment="1">
      <alignment horizontal="left" wrapText="1"/>
    </xf>
    <xf numFmtId="0" fontId="33" fillId="0" borderId="22" xfId="0" applyFont="1" applyFill="1" applyBorder="1" applyAlignment="1">
      <alignment horizontal="center" wrapText="1"/>
    </xf>
    <xf numFmtId="0" fontId="67" fillId="0" borderId="57" xfId="0" applyFont="1" applyFill="1" applyBorder="1" applyAlignment="1">
      <alignment horizontal="justify" vertical="center"/>
    </xf>
    <xf numFmtId="0" fontId="104" fillId="0" borderId="57" xfId="0" applyFont="1" applyBorder="1" applyAlignment="1">
      <alignment vertical="center"/>
    </xf>
    <xf numFmtId="0" fontId="67" fillId="0" borderId="105" xfId="0" applyFont="1" applyFill="1" applyBorder="1" applyAlignment="1">
      <alignment vertical="center"/>
    </xf>
    <xf numFmtId="0" fontId="106" fillId="0" borderId="105" xfId="0" applyFont="1" applyFill="1" applyBorder="1" applyAlignment="1">
      <alignment vertical="center"/>
    </xf>
    <xf numFmtId="0" fontId="107" fillId="0" borderId="105" xfId="0" applyFont="1" applyFill="1" applyBorder="1" applyAlignment="1">
      <alignment vertical="center"/>
    </xf>
    <xf numFmtId="0" fontId="106" fillId="0" borderId="22" xfId="0" applyFont="1" applyFill="1" applyBorder="1" applyAlignment="1">
      <alignment vertical="center"/>
    </xf>
    <xf numFmtId="0" fontId="67" fillId="0" borderId="105" xfId="0" applyFont="1" applyFill="1" applyBorder="1" applyAlignment="1">
      <alignment horizontal="left" vertical="center"/>
    </xf>
    <xf numFmtId="0" fontId="104" fillId="0" borderId="105" xfId="0" applyFont="1" applyBorder="1" applyAlignment="1">
      <alignment vertical="center"/>
    </xf>
    <xf numFmtId="0" fontId="103" fillId="0" borderId="105" xfId="0" applyFont="1" applyFill="1" applyBorder="1" applyAlignment="1">
      <alignment horizontal="center" wrapText="1"/>
    </xf>
    <xf numFmtId="0" fontId="33" fillId="0" borderId="105" xfId="0" applyFont="1" applyBorder="1" applyAlignment="1">
      <alignment horizontal="center" wrapText="1"/>
    </xf>
    <xf numFmtId="0" fontId="67" fillId="0" borderId="105" xfId="0" applyFont="1" applyFill="1" applyBorder="1" applyAlignment="1">
      <alignment horizontal="justify" vertical="center"/>
    </xf>
    <xf numFmtId="0" fontId="33" fillId="0" borderId="105" xfId="0" applyFont="1" applyFill="1" applyBorder="1" applyAlignment="1">
      <alignment horizontal="center" vertical="center" wrapText="1"/>
    </xf>
    <xf numFmtId="0" fontId="106" fillId="0" borderId="105" xfId="0" applyFont="1" applyBorder="1" applyAlignment="1">
      <alignment vertical="center"/>
    </xf>
    <xf numFmtId="0" fontId="103" fillId="0" borderId="19" xfId="0" applyFont="1" applyFill="1" applyBorder="1" applyAlignment="1">
      <alignment horizontal="left" wrapText="1"/>
    </xf>
    <xf numFmtId="0" fontId="33" fillId="0" borderId="57" xfId="0" applyFont="1" applyFill="1" applyBorder="1" applyAlignment="1">
      <alignment horizontal="center" wrapText="1"/>
    </xf>
    <xf numFmtId="0" fontId="67" fillId="0" borderId="57" xfId="0" applyFont="1" applyFill="1" applyBorder="1" applyAlignment="1">
      <alignment horizontal="left" vertical="center"/>
    </xf>
    <xf numFmtId="0" fontId="103" fillId="0" borderId="57" xfId="0" applyFont="1" applyFill="1" applyBorder="1" applyAlignment="1">
      <alignment horizontal="center" wrapText="1"/>
    </xf>
    <xf numFmtId="0" fontId="33" fillId="0" borderId="57" xfId="0" applyFont="1" applyBorder="1" applyAlignment="1">
      <alignment horizontal="center" wrapText="1"/>
    </xf>
    <xf numFmtId="0" fontId="33" fillId="0" borderId="51" xfId="0" applyFont="1" applyBorder="1" applyAlignment="1">
      <alignment horizontal="center" wrapText="1"/>
    </xf>
    <xf numFmtId="0" fontId="33" fillId="0" borderId="122" xfId="0" applyFont="1" applyFill="1" applyBorder="1" applyAlignment="1">
      <alignment horizontal="justify" wrapText="1"/>
    </xf>
    <xf numFmtId="0" fontId="33" fillId="0" borderId="121" xfId="0" applyFont="1" applyBorder="1" applyAlignment="1">
      <alignment horizontal="center" wrapText="1"/>
    </xf>
    <xf numFmtId="0" fontId="33" fillId="0" borderId="122" xfId="0" applyFont="1" applyBorder="1" applyAlignment="1">
      <alignment wrapText="1"/>
    </xf>
    <xf numFmtId="0" fontId="103" fillId="0" borderId="122" xfId="0" applyFont="1" applyFill="1" applyBorder="1" applyAlignment="1">
      <alignment horizontal="left" wrapText="1"/>
    </xf>
    <xf numFmtId="0" fontId="33" fillId="0" borderId="22" xfId="0" applyFont="1" applyBorder="1" applyAlignment="1">
      <alignment horizontal="center" wrapText="1"/>
    </xf>
    <xf numFmtId="0" fontId="67" fillId="0" borderId="22" xfId="0" applyFont="1" applyFill="1" applyBorder="1" applyAlignment="1">
      <alignment horizontal="justify" vertical="center"/>
    </xf>
    <xf numFmtId="0" fontId="33" fillId="0" borderId="22" xfId="0" applyFont="1" applyFill="1" applyBorder="1" applyAlignment="1">
      <alignment horizontal="center" vertical="center" wrapText="1"/>
    </xf>
    <xf numFmtId="0" fontId="33" fillId="0" borderId="124" xfId="0" applyFont="1" applyBorder="1" applyAlignment="1">
      <alignment horizontal="center" wrapText="1"/>
    </xf>
    <xf numFmtId="0" fontId="33" fillId="0" borderId="110" xfId="0" applyFont="1" applyFill="1" applyBorder="1" applyAlignment="1">
      <alignment horizontal="justify" wrapText="1"/>
    </xf>
    <xf numFmtId="0" fontId="33" fillId="0" borderId="114" xfId="0" applyFont="1" applyBorder="1" applyAlignment="1">
      <alignment horizontal="center" wrapText="1"/>
    </xf>
    <xf numFmtId="0" fontId="33" fillId="0" borderId="114" xfId="0" applyFont="1" applyFill="1" applyBorder="1" applyAlignment="1">
      <alignment horizontal="center" vertical="center" wrapText="1"/>
    </xf>
    <xf numFmtId="0" fontId="33" fillId="0" borderId="111" xfId="0" applyFont="1" applyBorder="1" applyAlignment="1">
      <alignment horizontal="center" wrapText="1"/>
    </xf>
    <xf numFmtId="0" fontId="33" fillId="0" borderId="114" xfId="0" applyFont="1" applyFill="1" applyBorder="1" applyAlignment="1">
      <alignment horizontal="center" wrapText="1"/>
    </xf>
    <xf numFmtId="0" fontId="104" fillId="0" borderId="114" xfId="0" applyFont="1" applyBorder="1" applyAlignment="1">
      <alignment vertical="center"/>
    </xf>
    <xf numFmtId="0" fontId="103" fillId="0" borderId="114" xfId="0" applyFont="1" applyFill="1" applyBorder="1" applyAlignment="1">
      <alignment horizontal="center" wrapText="1"/>
    </xf>
    <xf numFmtId="0" fontId="104" fillId="0" borderId="22" xfId="0" applyFont="1" applyBorder="1" applyAlignment="1">
      <alignment vertical="center"/>
    </xf>
    <xf numFmtId="0" fontId="67" fillId="0" borderId="105" xfId="0" applyFont="1" applyFill="1" applyBorder="1" applyAlignment="1">
      <alignment horizontal="center" wrapText="1"/>
    </xf>
    <xf numFmtId="0" fontId="67" fillId="0" borderId="105" xfId="0" applyFont="1" applyFill="1" applyBorder="1" applyAlignment="1">
      <alignment horizontal="left" vertical="center" wrapText="1"/>
    </xf>
    <xf numFmtId="0" fontId="67" fillId="0" borderId="122" xfId="0" applyFont="1" applyFill="1" applyBorder="1" applyAlignment="1">
      <alignment horizontal="left" wrapText="1"/>
    </xf>
    <xf numFmtId="0" fontId="103" fillId="0" borderId="122" xfId="0" applyFont="1" applyFill="1" applyBorder="1" applyAlignment="1">
      <alignment horizontal="left" vertical="center" wrapText="1"/>
    </xf>
    <xf numFmtId="0" fontId="67" fillId="0" borderId="110" xfId="0" applyFont="1" applyFill="1" applyBorder="1" applyAlignment="1">
      <alignment horizontal="left" wrapText="1"/>
    </xf>
    <xf numFmtId="0" fontId="67" fillId="0" borderId="114" xfId="0" applyFont="1" applyFill="1" applyBorder="1" applyAlignment="1">
      <alignment horizontal="center" wrapText="1"/>
    </xf>
    <xf numFmtId="0" fontId="67" fillId="0" borderId="114" xfId="0" applyFont="1" applyFill="1" applyBorder="1" applyAlignment="1">
      <alignment horizontal="left" vertical="center" wrapText="1"/>
    </xf>
    <xf numFmtId="0" fontId="104" fillId="0" borderId="114" xfId="0" applyFont="1" applyBorder="1" applyAlignment="1">
      <alignment vertical="center" wrapText="1"/>
    </xf>
    <xf numFmtId="0" fontId="67" fillId="0" borderId="19" xfId="0" applyFont="1" applyFill="1" applyBorder="1" applyAlignment="1">
      <alignment horizontal="left" wrapText="1"/>
    </xf>
    <xf numFmtId="0" fontId="67" fillId="0" borderId="57" xfId="0" applyFont="1" applyBorder="1" applyAlignment="1">
      <alignment horizontal="center" wrapText="1"/>
    </xf>
    <xf numFmtId="0" fontId="106" fillId="0" borderId="57" xfId="0" applyFont="1" applyBorder="1" applyAlignment="1">
      <alignment vertical="center"/>
    </xf>
    <xf numFmtId="0" fontId="67" fillId="0" borderId="57" xfId="0" applyFont="1" applyFill="1" applyBorder="1" applyAlignment="1">
      <alignment horizontal="center" wrapText="1"/>
    </xf>
    <xf numFmtId="0" fontId="67" fillId="0" borderId="51" xfId="0" applyFont="1" applyBorder="1" applyAlignment="1">
      <alignment horizontal="center" wrapText="1"/>
    </xf>
    <xf numFmtId="0" fontId="67" fillId="0" borderId="122" xfId="0" applyFont="1" applyFill="1" applyBorder="1" applyAlignment="1">
      <alignment horizontal="left" vertical="center" wrapText="1"/>
    </xf>
    <xf numFmtId="0" fontId="67" fillId="0" borderId="114" xfId="0" applyFont="1" applyFill="1" applyBorder="1" applyAlignment="1">
      <alignment horizontal="left" vertical="center"/>
    </xf>
    <xf numFmtId="0" fontId="67" fillId="0" borderId="114" xfId="0" applyFont="1" applyBorder="1" applyAlignment="1">
      <alignment horizontal="center" wrapText="1"/>
    </xf>
    <xf numFmtId="0" fontId="67" fillId="0" borderId="111" xfId="0" applyFont="1" applyBorder="1" applyAlignment="1">
      <alignment horizontal="center" wrapText="1"/>
    </xf>
    <xf numFmtId="0" fontId="67" fillId="0" borderId="105" xfId="0" applyNumberFormat="1" applyFont="1" applyBorder="1" applyAlignment="1">
      <alignment horizontal="center" wrapText="1"/>
    </xf>
    <xf numFmtId="0" fontId="33" fillId="0" borderId="57" xfId="0" applyNumberFormat="1" applyFont="1" applyBorder="1" applyAlignment="1">
      <alignment horizontal="center" wrapText="1"/>
    </xf>
    <xf numFmtId="0" fontId="67" fillId="0" borderId="121" xfId="0" applyFont="1" applyBorder="1" applyAlignment="1">
      <alignment horizontal="center" wrapText="1"/>
    </xf>
    <xf numFmtId="0" fontId="103" fillId="0" borderId="110" xfId="0" applyFont="1" applyFill="1" applyBorder="1" applyAlignment="1">
      <alignment horizontal="left" wrapText="1"/>
    </xf>
    <xf numFmtId="0" fontId="33" fillId="0" borderId="114" xfId="0" applyNumberFormat="1" applyFont="1" applyBorder="1" applyAlignment="1">
      <alignment horizontal="center" wrapText="1"/>
    </xf>
    <xf numFmtId="0" fontId="33" fillId="0" borderId="105" xfId="0" applyNumberFormat="1" applyFont="1" applyFill="1" applyBorder="1" applyAlignment="1">
      <alignment horizontal="center" wrapText="1"/>
    </xf>
    <xf numFmtId="0" fontId="67" fillId="0" borderId="57" xfId="0" applyFont="1" applyFill="1" applyBorder="1" applyAlignment="1">
      <alignment horizontal="left" vertical="center" wrapText="1"/>
    </xf>
    <xf numFmtId="0" fontId="104" fillId="0" borderId="57" xfId="0" applyFont="1" applyBorder="1" applyAlignment="1">
      <alignment vertical="center" wrapText="1"/>
    </xf>
    <xf numFmtId="0" fontId="33" fillId="0" borderId="114" xfId="0" applyNumberFormat="1" applyFont="1" applyFill="1" applyBorder="1" applyAlignment="1">
      <alignment horizontal="center" wrapText="1"/>
    </xf>
    <xf numFmtId="0" fontId="33" fillId="0" borderId="57" xfId="0" applyNumberFormat="1" applyFont="1" applyFill="1" applyBorder="1" applyAlignment="1">
      <alignment horizontal="center" wrapText="1"/>
    </xf>
    <xf numFmtId="0" fontId="33" fillId="0" borderId="19" xfId="0" applyFont="1" applyFill="1" applyBorder="1" applyAlignment="1">
      <alignment horizontal="left" vertical="center" wrapText="1"/>
    </xf>
    <xf numFmtId="0" fontId="67" fillId="0" borderId="57" xfId="0" applyNumberFormat="1" applyFont="1" applyFill="1" applyBorder="1" applyAlignment="1">
      <alignment horizontal="center" wrapText="1"/>
    </xf>
    <xf numFmtId="0" fontId="33" fillId="0" borderId="122" xfId="0" applyFont="1" applyFill="1" applyBorder="1" applyAlignment="1">
      <alignment horizontal="left" vertical="center" wrapText="1"/>
    </xf>
    <xf numFmtId="0" fontId="33" fillId="0" borderId="19" xfId="0" applyFont="1" applyFill="1" applyBorder="1" applyAlignment="1">
      <alignment horizontal="justify" wrapText="1"/>
    </xf>
    <xf numFmtId="0" fontId="105" fillId="0" borderId="57" xfId="9" applyFont="1" applyFill="1" applyBorder="1" applyAlignment="1">
      <alignment vertical="center"/>
    </xf>
    <xf numFmtId="0" fontId="33" fillId="0" borderId="57" xfId="0" applyFont="1" applyFill="1" applyBorder="1" applyAlignment="1">
      <alignment horizontal="center" vertical="center" wrapText="1"/>
    </xf>
    <xf numFmtId="0" fontId="67" fillId="0" borderId="22" xfId="0" applyFont="1" applyFill="1" applyBorder="1" applyAlignment="1">
      <alignment vertical="center"/>
    </xf>
    <xf numFmtId="0" fontId="23" fillId="8" borderId="117" xfId="0" applyFont="1" applyFill="1" applyBorder="1" applyAlignment="1">
      <alignment horizontal="justify" wrapText="1"/>
    </xf>
    <xf numFmtId="0" fontId="23" fillId="0" borderId="85" xfId="0" applyFont="1" applyBorder="1"/>
    <xf numFmtId="0" fontId="23" fillId="8" borderId="117" xfId="0" applyFont="1" applyFill="1" applyBorder="1" applyAlignment="1">
      <alignment horizontal="left" wrapText="1"/>
    </xf>
    <xf numFmtId="0" fontId="23" fillId="0" borderId="117" xfId="0" applyFont="1" applyBorder="1" applyAlignment="1">
      <alignment horizontal="justify" wrapText="1"/>
    </xf>
    <xf numFmtId="0" fontId="23" fillId="8" borderId="85" xfId="0" applyFont="1" applyFill="1" applyBorder="1" applyAlignment="1">
      <alignment horizontal="left" wrapText="1"/>
    </xf>
    <xf numFmtId="0" fontId="23" fillId="8" borderId="90" xfId="0" applyFont="1" applyFill="1" applyBorder="1" applyAlignment="1">
      <alignment horizontal="left" wrapText="1"/>
    </xf>
    <xf numFmtId="1" fontId="5" fillId="5" borderId="85" xfId="9" applyNumberFormat="1" applyFont="1" applyFill="1" applyBorder="1" applyAlignment="1">
      <alignment horizontal="left" wrapText="1"/>
    </xf>
    <xf numFmtId="0" fontId="23" fillId="0" borderId="25" xfId="0" applyFont="1" applyFill="1" applyBorder="1" applyAlignment="1">
      <alignment horizontal="left"/>
    </xf>
    <xf numFmtId="0" fontId="23" fillId="0" borderId="0" xfId="0" applyFont="1" applyFill="1" applyBorder="1" applyAlignment="1">
      <alignment horizontal="left"/>
    </xf>
    <xf numFmtId="0" fontId="109" fillId="0" borderId="0" xfId="0" applyFont="1" applyFill="1" applyBorder="1" applyAlignment="1">
      <alignment horizontal="left"/>
    </xf>
    <xf numFmtId="0" fontId="23" fillId="0" borderId="27" xfId="0" applyFont="1" applyFill="1" applyBorder="1" applyAlignment="1">
      <alignment horizontal="left"/>
    </xf>
    <xf numFmtId="0" fontId="23" fillId="0" borderId="85" xfId="0" applyFont="1" applyFill="1" applyBorder="1" applyAlignment="1">
      <alignment horizontal="left"/>
    </xf>
    <xf numFmtId="0" fontId="23" fillId="0" borderId="85" xfId="0" applyFont="1" applyBorder="1" applyAlignment="1">
      <alignment horizontal="left"/>
    </xf>
    <xf numFmtId="0" fontId="23" fillId="0" borderId="90" xfId="0" applyFont="1" applyBorder="1" applyAlignment="1">
      <alignment horizontal="justify" wrapText="1"/>
    </xf>
    <xf numFmtId="0" fontId="23" fillId="0" borderId="100" xfId="0" applyFont="1" applyFill="1" applyBorder="1" applyAlignment="1">
      <alignment horizontal="left"/>
    </xf>
    <xf numFmtId="0" fontId="23" fillId="0" borderId="44" xfId="0" applyFont="1" applyFill="1" applyBorder="1" applyAlignment="1">
      <alignment horizontal="left"/>
    </xf>
    <xf numFmtId="1" fontId="5" fillId="0" borderId="44" xfId="9" applyNumberFormat="1" applyFont="1" applyFill="1" applyBorder="1" applyAlignment="1">
      <alignment horizontal="left"/>
    </xf>
    <xf numFmtId="0" fontId="3" fillId="0" borderId="100" xfId="0" applyFont="1" applyFill="1" applyBorder="1" applyAlignment="1">
      <alignment horizontal="left"/>
    </xf>
    <xf numFmtId="0" fontId="3" fillId="0" borderId="44" xfId="0" applyFont="1" applyFill="1" applyBorder="1" applyAlignment="1">
      <alignment horizontal="left"/>
    </xf>
    <xf numFmtId="0" fontId="23" fillId="0" borderId="85" xfId="0" applyFont="1" applyFill="1" applyBorder="1" applyAlignment="1">
      <alignment horizontal="center" vertical="center"/>
    </xf>
    <xf numFmtId="0" fontId="23" fillId="0" borderId="100" xfId="0" applyFont="1" applyFill="1" applyBorder="1" applyAlignment="1">
      <alignment horizontal="center" vertical="center"/>
    </xf>
    <xf numFmtId="0" fontId="24" fillId="0" borderId="44" xfId="0" applyFont="1" applyFill="1" applyBorder="1" applyAlignment="1">
      <alignment horizontal="center"/>
    </xf>
    <xf numFmtId="0" fontId="23" fillId="0" borderId="44" xfId="0" applyFont="1" applyFill="1" applyBorder="1" applyAlignment="1">
      <alignment horizontal="center" vertical="center"/>
    </xf>
    <xf numFmtId="0" fontId="24" fillId="0" borderId="85" xfId="0" applyFont="1" applyFill="1" applyBorder="1" applyAlignment="1">
      <alignment horizontal="center"/>
    </xf>
    <xf numFmtId="0" fontId="24" fillId="0" borderId="100" xfId="0" applyFont="1" applyFill="1" applyBorder="1" applyAlignment="1">
      <alignment horizontal="center"/>
    </xf>
    <xf numFmtId="0" fontId="23" fillId="0" borderId="100" xfId="0" applyFont="1" applyFill="1" applyBorder="1" applyAlignment="1">
      <alignment horizontal="center"/>
    </xf>
    <xf numFmtId="0" fontId="72" fillId="7" borderId="9" xfId="0" applyFont="1" applyFill="1" applyBorder="1" applyAlignment="1">
      <alignment horizontal="center" vertical="center" wrapText="1"/>
    </xf>
    <xf numFmtId="0" fontId="56" fillId="10" borderId="128" xfId="9" applyFont="1" applyFill="1" applyBorder="1" applyAlignment="1">
      <alignment horizontal="center"/>
    </xf>
    <xf numFmtId="0" fontId="56" fillId="10" borderId="129" xfId="9" applyFont="1" applyFill="1" applyBorder="1" applyAlignment="1">
      <alignment horizontal="center"/>
    </xf>
    <xf numFmtId="0" fontId="64" fillId="10" borderId="11" xfId="9" applyFont="1" applyFill="1" applyBorder="1" applyAlignment="1">
      <alignment horizontal="center" vertical="center" wrapText="1"/>
    </xf>
    <xf numFmtId="0" fontId="64" fillId="10" borderId="10" xfId="9" applyFont="1" applyFill="1" applyBorder="1" applyAlignment="1">
      <alignment horizontal="center" vertical="center" wrapText="1"/>
    </xf>
    <xf numFmtId="0" fontId="97" fillId="0" borderId="0" xfId="0" applyFont="1" applyFill="1" applyBorder="1" applyAlignment="1">
      <alignment horizontal="left"/>
    </xf>
    <xf numFmtId="0" fontId="95" fillId="0" borderId="0" xfId="0" applyFont="1" applyFill="1" applyBorder="1"/>
    <xf numFmtId="0" fontId="0" fillId="0" borderId="0" xfId="0" applyAlignment="1">
      <alignment horizontal="center" vertical="center"/>
    </xf>
    <xf numFmtId="0" fontId="72" fillId="7" borderId="76" xfId="0" applyFont="1" applyFill="1" applyBorder="1" applyAlignment="1">
      <alignment horizontal="center" vertical="center" wrapText="1"/>
    </xf>
    <xf numFmtId="167" fontId="3" fillId="0" borderId="0" xfId="0" applyNumberFormat="1" applyFont="1" applyFill="1" applyBorder="1" applyAlignment="1">
      <alignment horizontal="center" vertical="center"/>
    </xf>
    <xf numFmtId="0" fontId="23" fillId="0" borderId="9" xfId="0" applyFont="1" applyFill="1" applyBorder="1" applyAlignment="1">
      <alignment horizontal="justify"/>
    </xf>
    <xf numFmtId="0" fontId="23" fillId="0" borderId="56" xfId="0" applyFont="1" applyFill="1" applyBorder="1" applyAlignment="1">
      <alignment horizontal="left"/>
    </xf>
    <xf numFmtId="0" fontId="23" fillId="0" borderId="10" xfId="0" applyFont="1" applyFill="1" applyBorder="1" applyAlignment="1">
      <alignment horizontal="left"/>
    </xf>
    <xf numFmtId="0" fontId="23" fillId="0" borderId="56" xfId="0" applyFont="1" applyFill="1" applyBorder="1" applyAlignment="1">
      <alignment horizontal="center" vertical="center"/>
    </xf>
    <xf numFmtId="0" fontId="0" fillId="0" borderId="9" xfId="0" applyBorder="1" applyAlignment="1"/>
    <xf numFmtId="0" fontId="5" fillId="0" borderId="18" xfId="9" applyFont="1" applyFill="1" applyBorder="1" applyAlignment="1">
      <alignment horizontal="center"/>
    </xf>
    <xf numFmtId="1" fontId="23" fillId="0" borderId="55" xfId="0" applyNumberFormat="1" applyFont="1" applyFill="1" applyBorder="1" applyAlignment="1">
      <alignment horizontal="left" vertical="center"/>
    </xf>
    <xf numFmtId="1" fontId="23" fillId="0" borderId="56" xfId="0" applyNumberFormat="1" applyFont="1" applyFill="1" applyBorder="1" applyAlignment="1">
      <alignment horizontal="left" vertical="center"/>
    </xf>
    <xf numFmtId="0" fontId="57" fillId="5" borderId="3" xfId="9" applyFont="1" applyFill="1" applyBorder="1" applyAlignment="1"/>
    <xf numFmtId="0" fontId="24" fillId="78" borderId="122" xfId="0" applyFont="1" applyFill="1" applyBorder="1" applyAlignment="1">
      <alignment horizontal="center" wrapText="1"/>
    </xf>
    <xf numFmtId="0" fontId="64" fillId="10" borderId="12" xfId="9" applyFont="1" applyFill="1" applyBorder="1" applyAlignment="1">
      <alignment horizontal="center" vertical="center" wrapText="1"/>
    </xf>
    <xf numFmtId="0" fontId="57" fillId="5" borderId="5" xfId="9" applyFont="1" applyFill="1" applyBorder="1" applyAlignment="1">
      <alignment horizontal="center" wrapText="1"/>
    </xf>
    <xf numFmtId="0" fontId="56" fillId="5" borderId="8" xfId="9" applyFont="1" applyFill="1" applyBorder="1" applyAlignment="1">
      <alignment horizontal="center" wrapText="1"/>
    </xf>
    <xf numFmtId="0" fontId="57" fillId="5" borderId="6" xfId="9" applyFont="1" applyFill="1" applyBorder="1" applyAlignment="1">
      <alignment horizontal="center" vertical="center" wrapText="1"/>
    </xf>
    <xf numFmtId="0" fontId="57" fillId="5" borderId="27" xfId="9" applyFont="1" applyFill="1" applyBorder="1" applyAlignment="1">
      <alignment horizontal="left"/>
    </xf>
    <xf numFmtId="0" fontId="1" fillId="0" borderId="3" xfId="0" applyFont="1" applyBorder="1" applyAlignment="1">
      <alignment horizontal="center"/>
    </xf>
    <xf numFmtId="167" fontId="1" fillId="0" borderId="4" xfId="0" applyNumberFormat="1" applyFont="1" applyBorder="1" applyAlignment="1">
      <alignment horizontal="center"/>
    </xf>
    <xf numFmtId="0" fontId="1" fillId="0" borderId="130" xfId="0" applyFont="1" applyBorder="1" applyAlignment="1">
      <alignment horizontal="center" vertical="center"/>
    </xf>
    <xf numFmtId="0" fontId="1" fillId="0" borderId="131" xfId="0" applyFont="1" applyBorder="1" applyAlignment="1">
      <alignment horizontal="center" vertical="center"/>
    </xf>
    <xf numFmtId="0" fontId="0" fillId="0" borderId="132" xfId="0" applyBorder="1" applyAlignment="1">
      <alignment vertical="center"/>
    </xf>
    <xf numFmtId="0" fontId="41" fillId="0" borderId="26" xfId="0" applyFont="1" applyFill="1" applyBorder="1" applyAlignment="1">
      <alignment horizontal="left"/>
    </xf>
    <xf numFmtId="0" fontId="57" fillId="0" borderId="132" xfId="94" applyFont="1" applyFill="1" applyBorder="1" applyAlignment="1">
      <alignment horizontal="left" vertical="center"/>
    </xf>
    <xf numFmtId="0" fontId="0" fillId="0" borderId="133" xfId="0" applyBorder="1" applyAlignment="1">
      <alignment horizontal="left"/>
    </xf>
    <xf numFmtId="0" fontId="13" fillId="0" borderId="18" xfId="0" applyFont="1" applyBorder="1" applyAlignment="1"/>
    <xf numFmtId="0" fontId="13" fillId="0" borderId="26" xfId="0" applyFont="1" applyFill="1" applyBorder="1" applyAlignment="1">
      <alignment horizontal="left"/>
    </xf>
    <xf numFmtId="0" fontId="0" fillId="0" borderId="133" xfId="0" applyBorder="1" applyAlignment="1"/>
    <xf numFmtId="0" fontId="57" fillId="0" borderId="134" xfId="94" applyFont="1" applyFill="1" applyBorder="1" applyAlignment="1">
      <alignment horizontal="left" vertical="center"/>
    </xf>
    <xf numFmtId="0" fontId="0" fillId="0" borderId="135" xfId="0" applyBorder="1" applyAlignment="1">
      <alignment horizontal="left"/>
    </xf>
    <xf numFmtId="167" fontId="23" fillId="78" borderId="12" xfId="8" applyNumberFormat="1" applyFont="1" applyFill="1" applyBorder="1" applyAlignment="1">
      <alignment horizontal="center" vertical="center"/>
    </xf>
    <xf numFmtId="0" fontId="0" fillId="0" borderId="0" xfId="0" applyAlignment="1">
      <alignment horizontal="center"/>
    </xf>
    <xf numFmtId="0" fontId="13" fillId="0" borderId="0" xfId="0" applyFont="1" applyFill="1"/>
    <xf numFmtId="0" fontId="111" fillId="79" borderId="136" xfId="100" applyFont="1" applyFill="1" applyBorder="1" applyAlignment="1">
      <alignment horizontal="center"/>
    </xf>
    <xf numFmtId="0" fontId="112" fillId="0" borderId="0" xfId="0" applyFont="1"/>
    <xf numFmtId="0" fontId="57" fillId="79" borderId="136" xfId="100" applyFont="1" applyFill="1" applyBorder="1" applyAlignment="1">
      <alignment horizontal="left"/>
    </xf>
    <xf numFmtId="0" fontId="0" fillId="0" borderId="0" xfId="0" applyFill="1" applyBorder="1" applyAlignment="1">
      <alignment horizontal="left"/>
    </xf>
    <xf numFmtId="0" fontId="91" fillId="5" borderId="0" xfId="9" applyFont="1" applyFill="1" applyBorder="1" applyAlignment="1">
      <alignment wrapText="1"/>
    </xf>
    <xf numFmtId="167" fontId="99" fillId="5" borderId="0" xfId="0" applyNumberFormat="1" applyFont="1" applyFill="1" applyBorder="1" applyAlignment="1">
      <alignment horizontal="center"/>
    </xf>
    <xf numFmtId="0" fontId="111" fillId="0" borderId="138" xfId="100" applyFont="1" applyFill="1" applyBorder="1" applyAlignment="1">
      <alignment horizontal="left" wrapText="1"/>
    </xf>
    <xf numFmtId="3" fontId="99" fillId="0" borderId="0" xfId="0" applyNumberFormat="1" applyFont="1" applyBorder="1" applyAlignment="1">
      <alignment horizontal="left"/>
    </xf>
    <xf numFmtId="0" fontId="24" fillId="8" borderId="122" xfId="0" applyFont="1" applyFill="1" applyBorder="1" applyAlignment="1">
      <alignment horizontal="center" wrapText="1"/>
    </xf>
    <xf numFmtId="0" fontId="23" fillId="8" borderId="122" xfId="0" applyFont="1" applyFill="1" applyBorder="1" applyAlignment="1">
      <alignment horizontal="center"/>
    </xf>
    <xf numFmtId="167" fontId="0" fillId="0" borderId="0" xfId="0" applyNumberFormat="1" applyFill="1" applyBorder="1" applyAlignment="1">
      <alignment horizontal="center" vertical="center"/>
    </xf>
    <xf numFmtId="0" fontId="0" fillId="0" borderId="54" xfId="0" applyBorder="1" applyAlignment="1">
      <alignment horizontal="left" vertical="center" wrapText="1"/>
    </xf>
    <xf numFmtId="0" fontId="0" fillId="5" borderId="0" xfId="0" applyFill="1" applyAlignment="1"/>
    <xf numFmtId="0" fontId="57" fillId="5" borderId="18" xfId="9" applyFont="1" applyFill="1" applyBorder="1" applyAlignment="1"/>
    <xf numFmtId="0" fontId="57" fillId="5" borderId="18" xfId="9" applyFont="1" applyFill="1" applyBorder="1" applyAlignment="1">
      <alignment horizontal="left"/>
    </xf>
    <xf numFmtId="0" fontId="86" fillId="0" borderId="0" xfId="0" applyFont="1" applyAlignment="1">
      <alignment wrapText="1"/>
    </xf>
    <xf numFmtId="167" fontId="23" fillId="78" borderId="142" xfId="8" applyNumberFormat="1" applyFont="1" applyFill="1" applyBorder="1" applyAlignment="1">
      <alignment horizontal="center"/>
    </xf>
    <xf numFmtId="0" fontId="41" fillId="0" borderId="0" xfId="0" applyFont="1" applyFill="1" applyBorder="1" applyAlignment="1">
      <alignment horizontal="left" vertical="center"/>
    </xf>
    <xf numFmtId="0" fontId="95" fillId="0" borderId="0" xfId="0" applyFont="1" applyBorder="1" applyAlignment="1">
      <alignment vertical="center"/>
    </xf>
    <xf numFmtId="0" fontId="23" fillId="78" borderId="143" xfId="0" applyFont="1" applyFill="1" applyBorder="1" applyAlignment="1">
      <alignment horizontal="center"/>
    </xf>
    <xf numFmtId="0" fontId="23" fillId="78" borderId="19" xfId="0" applyFont="1" applyFill="1" applyBorder="1" applyAlignment="1">
      <alignment horizontal="center"/>
    </xf>
    <xf numFmtId="0" fontId="69" fillId="0" borderId="0" xfId="0" applyFont="1" applyAlignment="1">
      <alignment wrapText="1"/>
    </xf>
    <xf numFmtId="0" fontId="33" fillId="0" borderId="1" xfId="0" applyFont="1" applyBorder="1" applyAlignment="1">
      <alignment horizontal="center" vertical="center" textRotation="90"/>
    </xf>
    <xf numFmtId="0" fontId="0" fillId="0" borderId="1" xfId="0" applyBorder="1"/>
    <xf numFmtId="0" fontId="0" fillId="0" borderId="2" xfId="0" applyBorder="1"/>
    <xf numFmtId="3" fontId="0" fillId="0" borderId="0" xfId="0" applyNumberFormat="1" applyBorder="1"/>
    <xf numFmtId="0" fontId="77" fillId="0" borderId="0" xfId="0" applyFont="1" applyBorder="1"/>
    <xf numFmtId="3" fontId="23" fillId="0" borderId="0" xfId="0" applyNumberFormat="1" applyFont="1" applyBorder="1"/>
    <xf numFmtId="0" fontId="77" fillId="0" borderId="27" xfId="0" applyFont="1" applyBorder="1"/>
    <xf numFmtId="3" fontId="0" fillId="0" borderId="27" xfId="0" applyNumberFormat="1" applyBorder="1"/>
    <xf numFmtId="167" fontId="0" fillId="0" borderId="27" xfId="0" applyNumberFormat="1" applyBorder="1" applyAlignment="1">
      <alignment horizontal="center"/>
    </xf>
    <xf numFmtId="3" fontId="57" fillId="0" borderId="0" xfId="9" applyNumberFormat="1" applyFont="1" applyFill="1" applyBorder="1" applyAlignment="1">
      <alignment vertical="center" wrapText="1"/>
    </xf>
    <xf numFmtId="3" fontId="41" fillId="0" borderId="0" xfId="0" applyNumberFormat="1" applyFont="1" applyAlignment="1">
      <alignment horizontal="center"/>
    </xf>
    <xf numFmtId="49" fontId="0" fillId="0" borderId="0" xfId="0" applyNumberFormat="1" applyAlignment="1">
      <alignment horizontal="center"/>
    </xf>
    <xf numFmtId="0" fontId="24" fillId="78" borderId="145" xfId="0" applyFont="1" applyFill="1" applyBorder="1" applyAlignment="1">
      <alignment horizontal="center" vertical="center" wrapText="1"/>
    </xf>
    <xf numFmtId="0" fontId="3" fillId="78" borderId="145" xfId="0" applyFont="1" applyFill="1" applyBorder="1" applyAlignment="1">
      <alignment horizontal="center" vertical="center" wrapText="1"/>
    </xf>
    <xf numFmtId="0" fontId="23" fillId="78" borderId="145" xfId="0" applyFont="1" applyFill="1" applyBorder="1" applyAlignment="1">
      <alignment horizontal="center" vertical="center"/>
    </xf>
    <xf numFmtId="167" fontId="13" fillId="0" borderId="0" xfId="0" applyNumberFormat="1" applyFont="1" applyFill="1" applyBorder="1" applyAlignment="1">
      <alignment horizontal="center"/>
    </xf>
    <xf numFmtId="167" fontId="99" fillId="0" borderId="0" xfId="0" applyNumberFormat="1" applyFont="1" applyFill="1" applyBorder="1" applyAlignment="1">
      <alignment horizontal="center"/>
    </xf>
    <xf numFmtId="3" fontId="0" fillId="0" borderId="0" xfId="0" applyNumberFormat="1" applyAlignment="1">
      <alignment horizontal="center" vertical="center"/>
    </xf>
    <xf numFmtId="0" fontId="59" fillId="80" borderId="6" xfId="0" applyFont="1" applyFill="1" applyBorder="1" applyAlignment="1">
      <alignment horizontal="left"/>
    </xf>
    <xf numFmtId="0" fontId="59" fillId="0" borderId="0" xfId="0" applyFont="1" applyBorder="1" applyAlignment="1"/>
    <xf numFmtId="0" fontId="0" fillId="0" borderId="0" xfId="0" applyFont="1" applyAlignment="1">
      <alignment vertical="center"/>
    </xf>
    <xf numFmtId="0" fontId="113" fillId="0" borderId="0" xfId="0" applyFont="1" applyBorder="1" applyAlignment="1"/>
    <xf numFmtId="0" fontId="3" fillId="0" borderId="0" xfId="0" applyFont="1" applyFill="1" applyAlignment="1"/>
    <xf numFmtId="167" fontId="99" fillId="0" borderId="0" xfId="0" applyNumberFormat="1" applyFont="1" applyFill="1" applyBorder="1" applyAlignment="1">
      <alignment horizontal="center" vertical="center"/>
    </xf>
    <xf numFmtId="0" fontId="34" fillId="3" borderId="151" xfId="0" applyFont="1" applyFill="1" applyBorder="1" applyAlignment="1">
      <alignment vertical="center"/>
    </xf>
    <xf numFmtId="0" fontId="34" fillId="3" borderId="10" xfId="0" applyFont="1" applyFill="1" applyBorder="1" applyAlignment="1">
      <alignment vertical="center"/>
    </xf>
    <xf numFmtId="0" fontId="33" fillId="0" borderId="0" xfId="0" applyFont="1" applyBorder="1" applyAlignment="1">
      <alignment wrapText="1"/>
    </xf>
    <xf numFmtId="0" fontId="23" fillId="8" borderId="8" xfId="0" applyFont="1" applyFill="1" applyBorder="1" applyAlignment="1">
      <alignment horizontal="center"/>
    </xf>
    <xf numFmtId="2" fontId="38" fillId="0" borderId="9" xfId="0" applyNumberFormat="1" applyFont="1" applyFill="1" applyBorder="1" applyAlignment="1">
      <alignment horizontal="center"/>
    </xf>
    <xf numFmtId="2" fontId="32" fillId="0" borderId="105" xfId="0" applyNumberFormat="1" applyFont="1" applyFill="1" applyBorder="1" applyAlignment="1">
      <alignment horizontal="center" vertical="center" wrapText="1"/>
    </xf>
    <xf numFmtId="2" fontId="38" fillId="0" borderId="9" xfId="0" applyNumberFormat="1" applyFont="1" applyFill="1" applyBorder="1" applyAlignment="1">
      <alignment horizontal="left" vertical="center"/>
    </xf>
    <xf numFmtId="0" fontId="57" fillId="44" borderId="5" xfId="9" applyFont="1" applyFill="1" applyBorder="1" applyAlignment="1">
      <alignment horizontal="center" wrapText="1"/>
    </xf>
    <xf numFmtId="0" fontId="57" fillId="44" borderId="8" xfId="9" applyFont="1" applyFill="1" applyBorder="1" applyAlignment="1">
      <alignment horizontal="center" wrapText="1"/>
    </xf>
    <xf numFmtId="0" fontId="57" fillId="45" borderId="8" xfId="9" applyFont="1" applyFill="1" applyBorder="1" applyAlignment="1">
      <alignment horizontal="center" wrapText="1"/>
    </xf>
    <xf numFmtId="0" fontId="57" fillId="46" borderId="8" xfId="9" applyFont="1" applyFill="1" applyBorder="1" applyAlignment="1">
      <alignment horizontal="center" wrapText="1"/>
    </xf>
    <xf numFmtId="0" fontId="57" fillId="47" borderId="8" xfId="9" applyFont="1" applyFill="1" applyBorder="1" applyAlignment="1">
      <alignment horizontal="center" wrapText="1"/>
    </xf>
    <xf numFmtId="0" fontId="57" fillId="48" borderId="8" xfId="9" applyFont="1" applyFill="1" applyBorder="1" applyAlignment="1">
      <alignment horizontal="center" wrapText="1"/>
    </xf>
    <xf numFmtId="0" fontId="57" fillId="51" borderId="8" xfId="9" applyFont="1" applyFill="1" applyBorder="1" applyAlignment="1">
      <alignment horizontal="center" wrapText="1"/>
    </xf>
    <xf numFmtId="0" fontId="23" fillId="8" borderId="26" xfId="0" applyFont="1" applyFill="1" applyBorder="1" applyAlignment="1">
      <alignment horizontal="center"/>
    </xf>
    <xf numFmtId="0" fontId="3" fillId="8" borderId="8" xfId="0" applyFont="1" applyFill="1" applyBorder="1" applyAlignment="1">
      <alignment horizontal="center"/>
    </xf>
    <xf numFmtId="0" fontId="2" fillId="3" borderId="10" xfId="1" applyFont="1" applyFill="1" applyBorder="1" applyAlignment="1">
      <alignment vertical="center"/>
    </xf>
    <xf numFmtId="0" fontId="0" fillId="5" borderId="1" xfId="0" applyFill="1" applyBorder="1" applyAlignment="1">
      <alignment vertical="center" textRotation="90"/>
    </xf>
    <xf numFmtId="0" fontId="0" fillId="5" borderId="18" xfId="0" applyFill="1" applyBorder="1" applyAlignment="1">
      <alignment vertical="center" textRotation="90"/>
    </xf>
    <xf numFmtId="1" fontId="57" fillId="44" borderId="153" xfId="9" applyNumberFormat="1" applyFont="1" applyFill="1" applyBorder="1" applyAlignment="1">
      <alignment horizontal="center" wrapText="1"/>
    </xf>
    <xf numFmtId="0" fontId="57" fillId="44" borderId="154" xfId="9" applyFont="1" applyFill="1" applyBorder="1" applyAlignment="1">
      <alignment horizontal="center" wrapText="1"/>
    </xf>
    <xf numFmtId="0" fontId="57" fillId="5" borderId="155" xfId="9" applyFont="1" applyFill="1" applyBorder="1" applyAlignment="1">
      <alignment horizontal="center" wrapText="1"/>
    </xf>
    <xf numFmtId="0" fontId="57" fillId="5" borderId="73" xfId="9" applyFont="1" applyFill="1" applyBorder="1" applyAlignment="1">
      <alignment horizontal="center" wrapText="1"/>
    </xf>
    <xf numFmtId="1" fontId="0" fillId="0" borderId="86" xfId="0" applyNumberFormat="1" applyFont="1" applyFill="1" applyBorder="1" applyAlignment="1">
      <alignment horizontal="center"/>
    </xf>
    <xf numFmtId="0" fontId="34" fillId="3" borderId="9" xfId="0" applyFont="1" applyFill="1" applyBorder="1" applyAlignment="1">
      <alignment vertical="center"/>
    </xf>
    <xf numFmtId="0" fontId="15" fillId="3" borderId="11" xfId="0" applyFont="1" applyFill="1" applyBorder="1" applyAlignment="1">
      <alignment vertical="center"/>
    </xf>
    <xf numFmtId="0" fontId="57" fillId="5" borderId="5" xfId="9" applyNumberFormat="1" applyFont="1" applyFill="1" applyBorder="1" applyAlignment="1">
      <alignment horizontal="center" wrapText="1"/>
    </xf>
    <xf numFmtId="0" fontId="57" fillId="5" borderId="12" xfId="9" applyNumberFormat="1" applyFont="1" applyFill="1" applyBorder="1" applyAlignment="1">
      <alignment horizontal="center" wrapText="1"/>
    </xf>
    <xf numFmtId="0" fontId="15" fillId="3" borderId="11" xfId="0" applyFont="1" applyFill="1" applyBorder="1" applyAlignment="1">
      <alignment horizontal="left" vertical="center"/>
    </xf>
    <xf numFmtId="0" fontId="23" fillId="8" borderId="153" xfId="0" applyFont="1" applyFill="1" applyBorder="1" applyAlignment="1">
      <alignment horizontal="left" wrapText="1"/>
    </xf>
    <xf numFmtId="0" fontId="23" fillId="8" borderId="153" xfId="0" applyFont="1" applyFill="1" applyBorder="1" applyAlignment="1">
      <alignment horizontal="justify" wrapText="1"/>
    </xf>
    <xf numFmtId="0" fontId="23" fillId="8" borderId="91" xfId="0" applyFont="1" applyFill="1" applyBorder="1" applyAlignment="1">
      <alignment horizontal="center" vertical="center" wrapText="1"/>
    </xf>
    <xf numFmtId="0" fontId="23" fillId="8" borderId="147" xfId="0" applyFont="1" applyFill="1" applyBorder="1" applyAlignment="1">
      <alignment horizontal="left" wrapText="1"/>
    </xf>
    <xf numFmtId="0" fontId="23" fillId="8" borderId="147" xfId="0" applyFont="1" applyFill="1" applyBorder="1" applyAlignment="1">
      <alignment horizontal="justify" wrapText="1"/>
    </xf>
    <xf numFmtId="0" fontId="23" fillId="8" borderId="155" xfId="0" applyFont="1" applyFill="1" applyBorder="1" applyAlignment="1">
      <alignment horizontal="center" vertical="center" wrapText="1"/>
    </xf>
    <xf numFmtId="0" fontId="23" fillId="0" borderId="147" xfId="0" applyFont="1" applyBorder="1" applyAlignment="1">
      <alignment horizontal="justify" wrapText="1"/>
    </xf>
    <xf numFmtId="1" fontId="5" fillId="5" borderId="147" xfId="9" applyNumberFormat="1" applyFont="1" applyFill="1" applyBorder="1" applyAlignment="1">
      <alignment horizontal="left" wrapText="1"/>
    </xf>
    <xf numFmtId="0" fontId="109" fillId="0" borderId="147" xfId="0" applyFont="1" applyBorder="1"/>
    <xf numFmtId="0" fontId="3" fillId="8" borderId="147" xfId="0" applyFont="1" applyFill="1" applyBorder="1" applyAlignment="1">
      <alignment horizontal="left" wrapText="1"/>
    </xf>
    <xf numFmtId="0" fontId="3" fillId="8" borderId="147" xfId="0" applyFont="1" applyFill="1" applyBorder="1" applyAlignment="1">
      <alignment horizontal="justify" wrapText="1"/>
    </xf>
    <xf numFmtId="0" fontId="3" fillId="8" borderId="155" xfId="0" applyFont="1" applyFill="1" applyBorder="1" applyAlignment="1">
      <alignment horizontal="center" vertical="center" wrapText="1"/>
    </xf>
    <xf numFmtId="0" fontId="23" fillId="8" borderId="86" xfId="0" applyFont="1" applyFill="1" applyBorder="1" applyAlignment="1">
      <alignment horizontal="center" vertical="center" wrapText="1"/>
    </xf>
    <xf numFmtId="0" fontId="23" fillId="0" borderId="152" xfId="0" applyFont="1" applyBorder="1" applyAlignment="1">
      <alignment horizontal="justify" wrapText="1"/>
    </xf>
    <xf numFmtId="0" fontId="23" fillId="8" borderId="152" xfId="0" applyFont="1" applyFill="1" applyBorder="1" applyAlignment="1">
      <alignment horizontal="left" wrapText="1"/>
    </xf>
    <xf numFmtId="0" fontId="23" fillId="8" borderId="2" xfId="0" applyFont="1" applyFill="1" applyBorder="1" applyAlignment="1">
      <alignment horizontal="center" vertical="center" wrapText="1"/>
    </xf>
    <xf numFmtId="0" fontId="23" fillId="8" borderId="26" xfId="0" applyFont="1" applyFill="1" applyBorder="1" applyAlignment="1">
      <alignment horizontal="center" vertical="center" wrapText="1"/>
    </xf>
    <xf numFmtId="0" fontId="23" fillId="8" borderId="4" xfId="0" applyFont="1" applyFill="1" applyBorder="1" applyAlignment="1">
      <alignment horizontal="center" vertical="center" wrapText="1"/>
    </xf>
    <xf numFmtId="0" fontId="3" fillId="8" borderId="147" xfId="0" applyFont="1" applyFill="1" applyBorder="1" applyAlignment="1">
      <alignment horizontal="left"/>
    </xf>
    <xf numFmtId="0" fontId="24" fillId="8" borderId="147" xfId="0" applyFont="1" applyFill="1" applyBorder="1" applyAlignment="1">
      <alignment horizontal="left" wrapText="1"/>
    </xf>
    <xf numFmtId="0" fontId="23" fillId="8" borderId="4" xfId="0" applyFont="1" applyFill="1" applyBorder="1" applyAlignment="1">
      <alignment horizontal="center"/>
    </xf>
    <xf numFmtId="0" fontId="23" fillId="8" borderId="76" xfId="0" applyFont="1" applyFill="1" applyBorder="1" applyAlignment="1">
      <alignment horizontal="center" vertical="center" wrapText="1"/>
    </xf>
    <xf numFmtId="0" fontId="2" fillId="3" borderId="10" xfId="1" applyFont="1" applyFill="1" applyBorder="1" applyAlignment="1">
      <alignment vertical="center" wrapText="1"/>
    </xf>
    <xf numFmtId="0" fontId="3" fillId="6" borderId="140" xfId="7" applyFont="1" applyFill="1" applyBorder="1" applyAlignment="1">
      <alignment wrapText="1"/>
    </xf>
    <xf numFmtId="0" fontId="3" fillId="8" borderId="139" xfId="0" applyFont="1" applyFill="1" applyBorder="1" applyAlignment="1">
      <alignment horizontal="center"/>
    </xf>
    <xf numFmtId="0" fontId="3" fillId="6" borderId="139" xfId="7" applyFont="1" applyFill="1" applyBorder="1" applyAlignment="1">
      <alignment wrapText="1"/>
    </xf>
    <xf numFmtId="0" fontId="3" fillId="6" borderId="141" xfId="7" applyFont="1" applyFill="1" applyBorder="1" applyAlignment="1">
      <alignment horizontal="center" wrapText="1"/>
    </xf>
    <xf numFmtId="0" fontId="5" fillId="6" borderId="140" xfId="7" applyFont="1" applyFill="1" applyBorder="1" applyAlignment="1">
      <alignment wrapText="1"/>
    </xf>
    <xf numFmtId="0" fontId="23" fillId="8" borderId="139" xfId="0" applyFont="1" applyFill="1" applyBorder="1" applyAlignment="1">
      <alignment horizontal="center"/>
    </xf>
    <xf numFmtId="0" fontId="29" fillId="6" borderId="139" xfId="7" applyFont="1" applyFill="1" applyBorder="1" applyAlignment="1">
      <alignment wrapText="1"/>
    </xf>
    <xf numFmtId="0" fontId="5" fillId="6" borderId="141" xfId="7" applyFont="1" applyFill="1" applyBorder="1" applyAlignment="1">
      <alignment horizontal="center" wrapText="1"/>
    </xf>
    <xf numFmtId="0" fontId="29" fillId="6" borderId="140" xfId="7" applyFont="1" applyFill="1" applyBorder="1" applyAlignment="1">
      <alignment wrapText="1"/>
    </xf>
    <xf numFmtId="0" fontId="5" fillId="6" borderId="139" xfId="7" applyFont="1" applyFill="1" applyBorder="1" applyAlignment="1">
      <alignment wrapText="1"/>
    </xf>
    <xf numFmtId="0" fontId="24" fillId="8" borderId="140" xfId="0" applyFont="1" applyFill="1" applyBorder="1" applyAlignment="1">
      <alignment horizontal="left" wrapText="1"/>
    </xf>
    <xf numFmtId="0" fontId="24" fillId="0" borderId="139" xfId="0" applyFont="1" applyFill="1" applyBorder="1" applyAlignment="1">
      <alignment horizontal="left" wrapText="1"/>
    </xf>
    <xf numFmtId="1" fontId="5" fillId="5" borderId="139" xfId="9" applyNumberFormat="1" applyFont="1" applyFill="1" applyBorder="1" applyAlignment="1">
      <alignment horizontal="center" wrapText="1"/>
    </xf>
    <xf numFmtId="0" fontId="23" fillId="0" borderId="139" xfId="0" applyFont="1" applyBorder="1"/>
    <xf numFmtId="0" fontId="29" fillId="6" borderId="143" xfId="7" applyFont="1" applyFill="1" applyBorder="1" applyAlignment="1">
      <alignment wrapText="1"/>
    </xf>
    <xf numFmtId="0" fontId="3" fillId="8" borderId="148" xfId="0" applyFont="1" applyFill="1" applyBorder="1" applyAlignment="1">
      <alignment horizontal="center"/>
    </xf>
    <xf numFmtId="0" fontId="3" fillId="8" borderId="144" xfId="0" applyFont="1" applyFill="1" applyBorder="1" applyAlignment="1">
      <alignment horizontal="center"/>
    </xf>
    <xf numFmtId="0" fontId="23" fillId="0" borderId="149" xfId="0" applyFont="1" applyBorder="1" applyAlignment="1">
      <alignment horizontal="center"/>
    </xf>
    <xf numFmtId="0" fontId="29" fillId="6" borderId="149" xfId="7" applyFont="1" applyFill="1" applyBorder="1" applyAlignment="1">
      <alignment wrapText="1"/>
    </xf>
    <xf numFmtId="0" fontId="5" fillId="6" borderId="150" xfId="7" applyFont="1" applyFill="1" applyBorder="1" applyAlignment="1">
      <alignment horizontal="center" wrapText="1"/>
    </xf>
    <xf numFmtId="0" fontId="24" fillId="8" borderId="141" xfId="0" applyFont="1" applyFill="1" applyBorder="1" applyAlignment="1">
      <alignment horizontal="center" wrapText="1"/>
    </xf>
    <xf numFmtId="0" fontId="23" fillId="0" borderId="146" xfId="0" applyFont="1" applyFill="1" applyBorder="1" applyAlignment="1">
      <alignment horizontal="center"/>
    </xf>
    <xf numFmtId="0" fontId="24" fillId="8" borderId="139" xfId="0" applyFont="1" applyFill="1" applyBorder="1" applyAlignment="1">
      <alignment horizontal="left" wrapText="1"/>
    </xf>
    <xf numFmtId="0" fontId="24" fillId="8" borderId="123" xfId="0" applyFont="1" applyFill="1" applyBorder="1" applyAlignment="1">
      <alignment horizontal="left" wrapText="1"/>
    </xf>
    <xf numFmtId="0" fontId="24" fillId="8" borderId="124" xfId="0" applyFont="1" applyFill="1" applyBorder="1" applyAlignment="1">
      <alignment horizontal="center" wrapText="1"/>
    </xf>
    <xf numFmtId="0" fontId="5" fillId="6" borderId="73" xfId="7" applyFont="1" applyFill="1" applyBorder="1" applyAlignment="1">
      <alignment horizontal="center" wrapText="1"/>
    </xf>
    <xf numFmtId="0" fontId="23" fillId="0" borderId="139" xfId="0" applyFont="1" applyFill="1" applyBorder="1" applyAlignment="1">
      <alignment horizontal="center"/>
    </xf>
    <xf numFmtId="0" fontId="5" fillId="6" borderId="141" xfId="7" applyFont="1" applyFill="1" applyBorder="1" applyAlignment="1">
      <alignment horizontal="center" vertical="center" wrapText="1"/>
    </xf>
    <xf numFmtId="0" fontId="23" fillId="0" borderId="148" xfId="0" applyFont="1" applyBorder="1" applyAlignment="1">
      <alignment horizontal="center"/>
    </xf>
    <xf numFmtId="0" fontId="29" fillId="6" borderId="148" xfId="7" applyFont="1" applyFill="1" applyBorder="1" applyAlignment="1">
      <alignment wrapText="1"/>
    </xf>
    <xf numFmtId="0" fontId="5" fillId="6" borderId="144" xfId="7" applyFont="1" applyFill="1" applyBorder="1" applyAlignment="1">
      <alignment horizontal="center" wrapText="1"/>
    </xf>
    <xf numFmtId="0" fontId="23" fillId="8" borderId="140" xfId="0" applyFont="1" applyFill="1" applyBorder="1" applyAlignment="1">
      <alignment horizontal="left"/>
    </xf>
    <xf numFmtId="0" fontId="23" fillId="0" borderId="139" xfId="0" applyFont="1" applyBorder="1" applyAlignment="1">
      <alignment horizontal="center"/>
    </xf>
    <xf numFmtId="0" fontId="23" fillId="8" borderId="139" xfId="0" applyFont="1" applyFill="1" applyBorder="1" applyAlignment="1">
      <alignment horizontal="left"/>
    </xf>
    <xf numFmtId="0" fontId="23" fillId="8" borderId="141" xfId="0" applyFont="1" applyFill="1" applyBorder="1" applyAlignment="1">
      <alignment horizontal="center"/>
    </xf>
    <xf numFmtId="0" fontId="26" fillId="5" borderId="123" xfId="6" applyFill="1" applyBorder="1"/>
    <xf numFmtId="0" fontId="3" fillId="5" borderId="124" xfId="6" applyFont="1" applyFill="1" applyBorder="1" applyAlignment="1">
      <alignment horizontal="center"/>
    </xf>
    <xf numFmtId="0" fontId="3" fillId="5" borderId="0" xfId="6" applyFont="1" applyFill="1" applyBorder="1" applyAlignment="1">
      <alignment horizontal="center"/>
    </xf>
    <xf numFmtId="167" fontId="3" fillId="5" borderId="0" xfId="6" applyNumberFormat="1" applyFont="1" applyFill="1" applyBorder="1" applyAlignment="1">
      <alignment horizontal="center" vertical="center"/>
    </xf>
    <xf numFmtId="0" fontId="23" fillId="0" borderId="39" xfId="0" applyFont="1" applyFill="1" applyBorder="1" applyAlignment="1">
      <alignment horizontal="center"/>
    </xf>
    <xf numFmtId="0" fontId="23" fillId="0" borderId="41" xfId="0" applyFont="1" applyFill="1" applyBorder="1" applyAlignment="1">
      <alignment horizontal="center"/>
    </xf>
    <xf numFmtId="0" fontId="23" fillId="0" borderId="42" xfId="0" applyFont="1" applyFill="1" applyBorder="1" applyAlignment="1">
      <alignment horizontal="center"/>
    </xf>
    <xf numFmtId="0" fontId="23" fillId="0" borderId="3" xfId="0" applyFont="1" applyFill="1" applyBorder="1" applyAlignment="1">
      <alignment horizontal="center"/>
    </xf>
    <xf numFmtId="0" fontId="23" fillId="0" borderId="40" xfId="0" applyFont="1" applyFill="1" applyBorder="1" applyAlignment="1">
      <alignment horizontal="center"/>
    </xf>
    <xf numFmtId="0" fontId="24" fillId="0" borderId="5" xfId="0" applyFont="1" applyFill="1" applyBorder="1" applyAlignment="1">
      <alignment horizontal="left" wrapText="1"/>
    </xf>
    <xf numFmtId="0" fontId="24" fillId="0" borderId="30" xfId="0" applyFont="1" applyFill="1" applyBorder="1" applyAlignment="1">
      <alignment horizontal="left" wrapText="1"/>
    </xf>
    <xf numFmtId="0" fontId="24" fillId="0" borderId="8" xfId="0" applyFont="1" applyFill="1" applyBorder="1" applyAlignment="1">
      <alignment horizontal="left" wrapText="1"/>
    </xf>
    <xf numFmtId="0" fontId="24" fillId="0" borderId="32" xfId="0" applyFont="1" applyFill="1" applyBorder="1" applyAlignment="1">
      <alignment horizontal="left" wrapText="1"/>
    </xf>
    <xf numFmtId="0" fontId="24" fillId="0" borderId="33" xfId="0" applyFont="1" applyFill="1" applyBorder="1" applyAlignment="1">
      <alignment horizontal="left" wrapText="1"/>
    </xf>
    <xf numFmtId="0" fontId="24" fillId="0" borderId="6" xfId="0" applyFont="1" applyFill="1" applyBorder="1" applyAlignment="1">
      <alignment horizontal="left" wrapText="1"/>
    </xf>
    <xf numFmtId="0" fontId="23" fillId="0" borderId="31" xfId="0" applyFont="1" applyFill="1" applyBorder="1" applyAlignment="1">
      <alignment horizontal="left"/>
    </xf>
    <xf numFmtId="0" fontId="24" fillId="0" borderId="5" xfId="0" applyFont="1" applyBorder="1" applyAlignment="1">
      <alignment horizontal="center" wrapText="1"/>
    </xf>
    <xf numFmtId="0" fontId="24" fillId="0" borderId="8" xfId="0" applyFont="1" applyBorder="1" applyAlignment="1">
      <alignment horizontal="center" wrapText="1"/>
    </xf>
    <xf numFmtId="0" fontId="8" fillId="0" borderId="8" xfId="0" applyFont="1" applyBorder="1" applyAlignment="1">
      <alignment horizontal="center" wrapText="1"/>
    </xf>
    <xf numFmtId="0" fontId="24" fillId="0" borderId="6" xfId="0" applyFont="1" applyBorder="1" applyAlignment="1">
      <alignment horizontal="center" wrapText="1"/>
    </xf>
    <xf numFmtId="0" fontId="56" fillId="5" borderId="8" xfId="9" applyNumberFormat="1" applyFont="1" applyFill="1" applyBorder="1" applyAlignment="1">
      <alignment horizontal="center" wrapText="1"/>
    </xf>
    <xf numFmtId="0" fontId="0" fillId="0" borderId="12" xfId="0" applyFill="1" applyBorder="1" applyAlignment="1">
      <alignment horizontal="center" vertical="center" wrapText="1"/>
    </xf>
    <xf numFmtId="0" fontId="23" fillId="78" borderId="55" xfId="0" applyFont="1" applyFill="1" applyBorder="1" applyAlignment="1">
      <alignment horizontal="center"/>
    </xf>
    <xf numFmtId="0" fontId="13" fillId="0" borderId="0" xfId="0" applyFont="1" applyAlignment="1">
      <alignment horizontal="left"/>
    </xf>
    <xf numFmtId="0" fontId="24" fillId="8" borderId="156" xfId="0" applyFont="1" applyFill="1" applyBorder="1" applyAlignment="1">
      <alignment horizontal="left" wrapText="1"/>
    </xf>
    <xf numFmtId="0" fontId="3" fillId="8" borderId="156" xfId="0" applyFont="1" applyFill="1" applyBorder="1" applyAlignment="1">
      <alignment horizontal="left" wrapText="1"/>
    </xf>
    <xf numFmtId="0" fontId="23" fillId="8" borderId="12" xfId="0" applyFont="1" applyFill="1" applyBorder="1" applyAlignment="1">
      <alignment horizontal="center"/>
    </xf>
    <xf numFmtId="0" fontId="3" fillId="8" borderId="12" xfId="0" applyFont="1" applyFill="1" applyBorder="1" applyAlignment="1">
      <alignment horizontal="center" wrapText="1"/>
    </xf>
    <xf numFmtId="0" fontId="3" fillId="78" borderId="48" xfId="0" applyFont="1" applyFill="1" applyBorder="1" applyAlignment="1">
      <alignment horizontal="center" wrapText="1"/>
    </xf>
    <xf numFmtId="0" fontId="24" fillId="78" borderId="125" xfId="0" applyFont="1" applyFill="1" applyBorder="1" applyAlignment="1">
      <alignment horizontal="center" wrapText="1"/>
    </xf>
    <xf numFmtId="0" fontId="24" fillId="78" borderId="98" xfId="0" applyFont="1" applyFill="1" applyBorder="1" applyAlignment="1">
      <alignment horizontal="center" wrapText="1"/>
    </xf>
    <xf numFmtId="0" fontId="23" fillId="8" borderId="157" xfId="0" applyFont="1" applyFill="1" applyBorder="1" applyAlignment="1">
      <alignment horizontal="center"/>
    </xf>
    <xf numFmtId="0" fontId="23" fillId="8" borderId="121" xfId="0" applyFont="1" applyFill="1" applyBorder="1" applyAlignment="1">
      <alignment horizontal="center"/>
    </xf>
    <xf numFmtId="0" fontId="24" fillId="8" borderId="93" xfId="0" applyFont="1" applyFill="1" applyBorder="1" applyAlignment="1">
      <alignment horizontal="left" wrapText="1"/>
    </xf>
    <xf numFmtId="0" fontId="23" fillId="8" borderId="51" xfId="0" applyFont="1" applyFill="1" applyBorder="1" applyAlignment="1">
      <alignment horizontal="center"/>
    </xf>
    <xf numFmtId="0" fontId="23" fillId="8" borderId="124" xfId="0" applyFont="1" applyFill="1" applyBorder="1" applyAlignment="1">
      <alignment horizontal="center"/>
    </xf>
    <xf numFmtId="0" fontId="24" fillId="8" borderId="158" xfId="0" applyFont="1" applyFill="1" applyBorder="1" applyAlignment="1">
      <alignment horizontal="left" wrapText="1"/>
    </xf>
    <xf numFmtId="0" fontId="24" fillId="8" borderId="159" xfId="0" applyFont="1" applyFill="1" applyBorder="1" applyAlignment="1">
      <alignment horizontal="left" wrapText="1"/>
    </xf>
    <xf numFmtId="0" fontId="3" fillId="8" borderId="13" xfId="0" applyFont="1" applyFill="1" applyBorder="1" applyAlignment="1">
      <alignment horizontal="center" wrapText="1"/>
    </xf>
    <xf numFmtId="0" fontId="24" fillId="8" borderId="14" xfId="0" applyFont="1" applyFill="1" applyBorder="1" applyAlignment="1">
      <alignment horizontal="center" wrapText="1"/>
    </xf>
    <xf numFmtId="0" fontId="23" fillId="8" borderId="14" xfId="0" applyFont="1" applyFill="1" applyBorder="1" applyAlignment="1">
      <alignment horizontal="center"/>
    </xf>
    <xf numFmtId="0" fontId="24" fillId="8" borderId="7" xfId="0" applyFont="1" applyFill="1" applyBorder="1" applyAlignment="1">
      <alignment horizontal="center" wrapText="1"/>
    </xf>
    <xf numFmtId="0" fontId="24" fillId="8" borderId="161" xfId="0" applyFont="1" applyFill="1" applyBorder="1" applyAlignment="1">
      <alignment horizontal="left" wrapText="1"/>
    </xf>
    <xf numFmtId="0" fontId="56" fillId="5" borderId="117" xfId="9" applyFont="1" applyFill="1" applyBorder="1" applyAlignment="1">
      <alignment wrapText="1"/>
    </xf>
    <xf numFmtId="0" fontId="23" fillId="8" borderId="161" xfId="0" applyFont="1" applyFill="1" applyBorder="1" applyAlignment="1">
      <alignment horizontal="left" wrapText="1"/>
    </xf>
    <xf numFmtId="0" fontId="3" fillId="0" borderId="117" xfId="0" applyFont="1" applyBorder="1"/>
    <xf numFmtId="0" fontId="24" fillId="0" borderId="79" xfId="0" applyFont="1" applyFill="1" applyBorder="1" applyAlignment="1">
      <alignment horizontal="left" wrapText="1"/>
    </xf>
    <xf numFmtId="0" fontId="24" fillId="0" borderId="161" xfId="0" applyFont="1" applyFill="1" applyBorder="1" applyAlignment="1">
      <alignment horizontal="left" wrapText="1"/>
    </xf>
    <xf numFmtId="0" fontId="24" fillId="5" borderId="161" xfId="0" applyFont="1" applyFill="1" applyBorder="1" applyAlignment="1">
      <alignment horizontal="left" wrapText="1"/>
    </xf>
    <xf numFmtId="0" fontId="24" fillId="5" borderId="80" xfId="0" applyFont="1" applyFill="1" applyBorder="1" applyAlignment="1">
      <alignment horizontal="left" wrapText="1"/>
    </xf>
    <xf numFmtId="0" fontId="24" fillId="8" borderId="13" xfId="0" applyFont="1" applyFill="1" applyBorder="1" applyAlignment="1">
      <alignment horizontal="center" wrapText="1"/>
    </xf>
    <xf numFmtId="0" fontId="3" fillId="8" borderId="14" xfId="0" applyFont="1" applyFill="1" applyBorder="1" applyAlignment="1">
      <alignment horizontal="center" wrapText="1"/>
    </xf>
    <xf numFmtId="0" fontId="3" fillId="8" borderId="14" xfId="0" applyFont="1" applyFill="1" applyBorder="1" applyAlignment="1">
      <alignment horizontal="center"/>
    </xf>
    <xf numFmtId="0" fontId="3" fillId="8" borderId="160" xfId="0" applyFont="1" applyFill="1" applyBorder="1" applyAlignment="1">
      <alignment horizontal="center"/>
    </xf>
    <xf numFmtId="0" fontId="24" fillId="8" borderId="15" xfId="0" applyFont="1" applyFill="1" applyBorder="1" applyAlignment="1">
      <alignment horizontal="center" wrapText="1"/>
    </xf>
    <xf numFmtId="0" fontId="24" fillId="0" borderId="14" xfId="0" applyFont="1" applyFill="1" applyBorder="1" applyAlignment="1">
      <alignment horizontal="center" wrapText="1"/>
    </xf>
    <xf numFmtId="0" fontId="24" fillId="78" borderId="13" xfId="0" applyFont="1" applyFill="1" applyBorder="1" applyAlignment="1">
      <alignment horizontal="center" vertical="center" wrapText="1"/>
    </xf>
    <xf numFmtId="0" fontId="24" fillId="78" borderId="160" xfId="0" applyFont="1" applyFill="1" applyBorder="1" applyAlignment="1">
      <alignment horizontal="center" wrapText="1"/>
    </xf>
    <xf numFmtId="0" fontId="24" fillId="8" borderId="115" xfId="0" applyFont="1" applyFill="1" applyBorder="1" applyAlignment="1">
      <alignment horizontal="left" wrapText="1"/>
    </xf>
    <xf numFmtId="0" fontId="23" fillId="8" borderId="113" xfId="0" applyFont="1" applyFill="1" applyBorder="1" applyAlignment="1">
      <alignment horizontal="left"/>
    </xf>
    <xf numFmtId="0" fontId="11" fillId="3" borderId="10" xfId="1" applyFont="1" applyFill="1" applyBorder="1" applyAlignment="1">
      <alignment vertical="center" wrapText="1"/>
    </xf>
    <xf numFmtId="0" fontId="11" fillId="3" borderId="9" xfId="1" applyFont="1" applyFill="1" applyBorder="1" applyAlignment="1">
      <alignment vertical="center"/>
    </xf>
    <xf numFmtId="0" fontId="24" fillId="5" borderId="122" xfId="0" applyFont="1" applyFill="1" applyBorder="1" applyAlignment="1">
      <alignment horizontal="left" wrapText="1"/>
    </xf>
    <xf numFmtId="0" fontId="23" fillId="0" borderId="22" xfId="0" applyFont="1" applyBorder="1" applyAlignment="1">
      <alignment horizontal="center" vertical="center"/>
    </xf>
    <xf numFmtId="0" fontId="24" fillId="78" borderId="17" xfId="0" applyFont="1" applyFill="1" applyBorder="1" applyAlignment="1">
      <alignment horizontal="center" vertical="center" wrapText="1"/>
    </xf>
    <xf numFmtId="167" fontId="8" fillId="78" borderId="13" xfId="8" applyNumberFormat="1" applyFont="1" applyFill="1" applyBorder="1" applyAlignment="1">
      <alignment horizontal="center"/>
    </xf>
    <xf numFmtId="0" fontId="24" fillId="0" borderId="161" xfId="0" applyFont="1" applyBorder="1" applyAlignment="1">
      <alignment horizontal="left" wrapText="1"/>
    </xf>
    <xf numFmtId="0" fontId="0" fillId="0" borderId="161" xfId="0" applyBorder="1"/>
    <xf numFmtId="0" fontId="23" fillId="8" borderId="7" xfId="0" applyFont="1" applyFill="1" applyBorder="1" applyAlignment="1">
      <alignment horizontal="center" vertical="center"/>
    </xf>
    <xf numFmtId="0" fontId="11" fillId="3" borderId="9" xfId="1" applyFont="1" applyFill="1" applyBorder="1" applyAlignment="1">
      <alignment vertical="center" wrapText="1"/>
    </xf>
    <xf numFmtId="0" fontId="11" fillId="3" borderId="12" xfId="1" applyFont="1" applyFill="1" applyBorder="1" applyAlignment="1">
      <alignment vertical="center" wrapText="1"/>
    </xf>
    <xf numFmtId="0" fontId="3" fillId="0" borderId="6" xfId="0" applyFont="1" applyFill="1" applyBorder="1" applyAlignment="1">
      <alignment horizontal="center" vertical="center" wrapText="1"/>
    </xf>
    <xf numFmtId="167" fontId="3" fillId="78" borderId="7" xfId="8" applyNumberFormat="1" applyFont="1" applyFill="1" applyBorder="1" applyAlignment="1">
      <alignment horizontal="center" vertical="center"/>
    </xf>
    <xf numFmtId="2" fontId="4" fillId="10" borderId="6" xfId="0" applyNumberFormat="1" applyFont="1" applyFill="1" applyBorder="1" applyAlignment="1">
      <alignment horizontal="center" vertical="center" wrapText="1"/>
    </xf>
    <xf numFmtId="2" fontId="4" fillId="10" borderId="8" xfId="0" applyNumberFormat="1" applyFont="1" applyFill="1" applyBorder="1" applyAlignment="1">
      <alignment horizontal="center" vertical="center" wrapText="1"/>
    </xf>
    <xf numFmtId="0" fontId="1" fillId="0" borderId="0" xfId="0" applyFont="1" applyBorder="1" applyAlignment="1">
      <alignment horizontal="center"/>
    </xf>
    <xf numFmtId="0" fontId="11" fillId="3" borderId="0" xfId="1" applyFont="1" applyFill="1" applyBorder="1" applyAlignment="1">
      <alignment horizontal="center" vertical="center" wrapText="1"/>
    </xf>
    <xf numFmtId="164" fontId="2" fillId="10" borderId="0" xfId="0" applyNumberFormat="1" applyFont="1" applyFill="1" applyBorder="1" applyAlignment="1">
      <alignment horizontal="center" vertical="center" wrapText="1"/>
    </xf>
    <xf numFmtId="167" fontId="23" fillId="78" borderId="0" xfId="8" applyNumberFormat="1" applyFont="1" applyFill="1" applyBorder="1" applyAlignment="1">
      <alignment horizontal="center"/>
    </xf>
    <xf numFmtId="167" fontId="23" fillId="78" borderId="0" xfId="8" applyNumberFormat="1" applyFont="1" applyFill="1" applyBorder="1" applyAlignment="1">
      <alignment horizontal="center" vertical="center"/>
    </xf>
    <xf numFmtId="167" fontId="1" fillId="0" borderId="0" xfId="0" applyNumberFormat="1" applyFont="1" applyBorder="1"/>
    <xf numFmtId="164" fontId="2" fillId="0" borderId="5" xfId="0" applyNumberFormat="1" applyFont="1" applyFill="1" applyBorder="1" applyAlignment="1">
      <alignment horizontal="center" vertical="center" wrapText="1"/>
    </xf>
    <xf numFmtId="167" fontId="23" fillId="0" borderId="13" xfId="8" applyNumberFormat="1" applyFont="1" applyFill="1" applyBorder="1" applyAlignment="1">
      <alignment horizontal="center"/>
    </xf>
    <xf numFmtId="167" fontId="23" fillId="0" borderId="15" xfId="8" applyNumberFormat="1" applyFont="1" applyFill="1" applyBorder="1" applyAlignment="1">
      <alignment horizontal="center"/>
    </xf>
    <xf numFmtId="167" fontId="23" fillId="0" borderId="7" xfId="8" applyNumberFormat="1" applyFont="1" applyFill="1" applyBorder="1" applyAlignment="1">
      <alignment horizontal="center"/>
    </xf>
    <xf numFmtId="2" fontId="4" fillId="0" borderId="0" xfId="0" applyNumberFormat="1" applyFont="1" applyFill="1" applyBorder="1" applyAlignment="1">
      <alignment horizontal="center" vertical="center" wrapText="1"/>
    </xf>
    <xf numFmtId="0" fontId="3" fillId="8" borderId="8" xfId="0" applyFont="1" applyFill="1" applyBorder="1" applyAlignment="1">
      <alignment horizontal="left" vertical="center"/>
    </xf>
    <xf numFmtId="167" fontId="23" fillId="78" borderId="160" xfId="8" applyNumberFormat="1" applyFont="1" applyFill="1" applyBorder="1" applyAlignment="1">
      <alignment horizontal="center"/>
    </xf>
    <xf numFmtId="164" fontId="2" fillId="10" borderId="12" xfId="0" applyNumberFormat="1" applyFont="1" applyFill="1" applyBorder="1" applyAlignment="1">
      <alignment horizontal="center" vertical="center" wrapText="1"/>
    </xf>
    <xf numFmtId="2" fontId="8" fillId="0" borderId="0" xfId="0" applyNumberFormat="1" applyFont="1" applyFill="1" applyBorder="1" applyAlignment="1">
      <alignment horizontal="left" vertical="center"/>
    </xf>
    <xf numFmtId="0" fontId="57" fillId="70" borderId="8" xfId="9" applyFont="1" applyFill="1" applyBorder="1" applyAlignment="1">
      <alignment vertical="center" wrapText="1"/>
    </xf>
    <xf numFmtId="0" fontId="118" fillId="3" borderId="9" xfId="1" applyFont="1" applyFill="1" applyBorder="1" applyAlignment="1">
      <alignment vertical="center"/>
    </xf>
    <xf numFmtId="0" fontId="118" fillId="3" borderId="10" xfId="1" applyFont="1" applyFill="1" applyBorder="1" applyAlignment="1">
      <alignment vertical="center" wrapText="1"/>
    </xf>
    <xf numFmtId="0" fontId="119" fillId="3" borderId="10" xfId="1" applyFont="1" applyFill="1" applyBorder="1" applyAlignment="1">
      <alignment horizontal="center" vertical="center" wrapText="1"/>
    </xf>
    <xf numFmtId="0" fontId="118" fillId="3" borderId="11" xfId="1" applyFont="1" applyFill="1" applyBorder="1" applyAlignment="1">
      <alignment horizontal="left" vertical="center" wrapText="1"/>
    </xf>
    <xf numFmtId="0" fontId="118" fillId="3" borderId="11" xfId="1" applyFont="1" applyFill="1" applyBorder="1" applyAlignment="1">
      <alignment horizontal="center" vertical="center" wrapText="1"/>
    </xf>
    <xf numFmtId="0" fontId="23" fillId="78" borderId="120" xfId="0" applyFont="1" applyFill="1" applyBorder="1" applyAlignment="1">
      <alignment horizontal="center"/>
    </xf>
    <xf numFmtId="0" fontId="0" fillId="0" borderId="0" xfId="0" applyAlignment="1">
      <alignment horizontal="center" vertical="center"/>
    </xf>
    <xf numFmtId="0" fontId="1" fillId="0" borderId="0" xfId="0" applyFont="1" applyFill="1" applyBorder="1" applyAlignment="1">
      <alignment horizontal="center"/>
    </xf>
    <xf numFmtId="0" fontId="11" fillId="0" borderId="0" xfId="1" applyFont="1" applyFill="1" applyBorder="1" applyAlignment="1">
      <alignment horizontal="center" vertical="center" wrapText="1"/>
    </xf>
    <xf numFmtId="164" fontId="2" fillId="0" borderId="0" xfId="0" applyNumberFormat="1" applyFont="1" applyFill="1" applyBorder="1" applyAlignment="1">
      <alignment horizontal="center" vertical="center" wrapText="1"/>
    </xf>
    <xf numFmtId="0" fontId="3" fillId="0" borderId="0" xfId="0" applyFont="1" applyFill="1" applyBorder="1" applyAlignment="1">
      <alignment horizontal="center" wrapText="1"/>
    </xf>
    <xf numFmtId="167" fontId="23" fillId="0" borderId="0" xfId="8" applyNumberFormat="1" applyFont="1" applyFill="1" applyBorder="1" applyAlignment="1">
      <alignment horizontal="center"/>
    </xf>
    <xf numFmtId="167" fontId="3" fillId="0" borderId="0" xfId="8" applyNumberFormat="1" applyFont="1" applyFill="1" applyBorder="1" applyAlignment="1">
      <alignment horizontal="center"/>
    </xf>
    <xf numFmtId="0" fontId="24" fillId="0" borderId="0" xfId="0" applyFont="1" applyFill="1" applyBorder="1" applyAlignment="1">
      <alignment horizontal="center" vertical="center" wrapText="1"/>
    </xf>
    <xf numFmtId="167" fontId="23" fillId="0" borderId="0" xfId="8" applyNumberFormat="1" applyFont="1" applyFill="1" applyBorder="1" applyAlignment="1">
      <alignment horizontal="center" vertical="center"/>
    </xf>
    <xf numFmtId="167" fontId="1" fillId="0" borderId="0" xfId="0" applyNumberFormat="1" applyFont="1" applyFill="1" applyBorder="1" applyAlignment="1">
      <alignment horizontal="center"/>
    </xf>
    <xf numFmtId="0" fontId="11" fillId="3" borderId="11" xfId="1" applyFont="1" applyFill="1" applyBorder="1" applyAlignment="1">
      <alignment horizontal="left" vertical="center" wrapText="1"/>
    </xf>
    <xf numFmtId="0" fontId="11" fillId="3" borderId="10" xfId="1" applyFont="1" applyFill="1" applyBorder="1" applyAlignment="1">
      <alignment horizontal="center" vertical="center" wrapText="1"/>
    </xf>
    <xf numFmtId="0" fontId="11" fillId="3" borderId="11" xfId="1" applyFont="1" applyFill="1" applyBorder="1" applyAlignment="1">
      <alignment horizontal="center" vertical="center" wrapText="1"/>
    </xf>
    <xf numFmtId="2" fontId="4" fillId="10" borderId="9" xfId="0" applyNumberFormat="1"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167" fontId="3" fillId="78" borderId="0" xfId="8" applyNumberFormat="1" applyFont="1" applyFill="1" applyBorder="1" applyAlignment="1">
      <alignment horizontal="center"/>
    </xf>
    <xf numFmtId="1" fontId="23" fillId="8" borderId="157" xfId="0" applyNumberFormat="1" applyFont="1" applyFill="1" applyBorder="1" applyAlignment="1">
      <alignment horizontal="center"/>
    </xf>
    <xf numFmtId="1" fontId="3" fillId="5" borderId="147" xfId="9" applyNumberFormat="1" applyFont="1" applyFill="1" applyBorder="1" applyAlignment="1">
      <alignment horizontal="center" wrapText="1"/>
    </xf>
    <xf numFmtId="0" fontId="3" fillId="0" borderId="162" xfId="0" applyFont="1" applyBorder="1"/>
    <xf numFmtId="0" fontId="3" fillId="8" borderId="163" xfId="0" applyFont="1" applyFill="1" applyBorder="1" applyAlignment="1">
      <alignment horizontal="center"/>
    </xf>
    <xf numFmtId="0" fontId="3" fillId="0" borderId="123" xfId="0" applyFont="1" applyBorder="1"/>
    <xf numFmtId="0" fontId="3" fillId="8" borderId="80" xfId="0" applyFont="1" applyFill="1" applyBorder="1" applyAlignment="1">
      <alignment horizontal="left" wrapText="1"/>
    </xf>
    <xf numFmtId="0" fontId="3" fillId="8" borderId="7" xfId="0" applyFont="1" applyFill="1" applyBorder="1" applyAlignment="1">
      <alignment horizontal="center" wrapText="1"/>
    </xf>
    <xf numFmtId="0" fontId="3" fillId="78" borderId="7" xfId="0" applyFont="1" applyFill="1" applyBorder="1" applyAlignment="1">
      <alignment horizontal="center" vertical="center" wrapText="1"/>
    </xf>
    <xf numFmtId="0" fontId="34" fillId="3" borderId="9" xfId="0" applyFont="1" applyFill="1" applyBorder="1" applyAlignment="1">
      <alignment horizontal="left" vertical="center"/>
    </xf>
    <xf numFmtId="0" fontId="34" fillId="3" borderId="10" xfId="0" applyFont="1" applyFill="1" applyBorder="1" applyAlignment="1">
      <alignment horizontal="left" vertical="center"/>
    </xf>
    <xf numFmtId="0" fontId="37" fillId="12" borderId="11" xfId="0" applyFont="1" applyFill="1" applyBorder="1" applyAlignment="1">
      <alignment horizontal="center" vertical="center" wrapText="1"/>
    </xf>
    <xf numFmtId="0" fontId="34" fillId="3" borderId="11" xfId="1" applyFont="1" applyFill="1" applyBorder="1" applyAlignment="1">
      <alignment horizontal="left" wrapText="1"/>
    </xf>
    <xf numFmtId="0" fontId="23" fillId="5" borderId="5" xfId="0" applyFont="1" applyFill="1" applyBorder="1" applyAlignment="1">
      <alignment horizontal="center"/>
    </xf>
    <xf numFmtId="0" fontId="23" fillId="5" borderId="6" xfId="0" applyFont="1" applyFill="1" applyBorder="1" applyAlignment="1">
      <alignment horizontal="center"/>
    </xf>
    <xf numFmtId="0" fontId="23" fillId="5" borderId="1" xfId="0" applyFont="1" applyFill="1" applyBorder="1" applyAlignment="1">
      <alignment horizontal="center"/>
    </xf>
    <xf numFmtId="0" fontId="0" fillId="5" borderId="3" xfId="0" applyFill="1" applyBorder="1" applyAlignment="1">
      <alignment horizontal="center" vertical="center" textRotation="90"/>
    </xf>
    <xf numFmtId="0" fontId="23" fillId="5" borderId="6" xfId="0" applyFont="1" applyFill="1" applyBorder="1" applyAlignment="1">
      <alignment horizontal="center" vertical="center"/>
    </xf>
    <xf numFmtId="0" fontId="0" fillId="5" borderId="8" xfId="0" applyFill="1" applyBorder="1" applyAlignment="1">
      <alignment horizontal="center" vertical="center" wrapText="1"/>
    </xf>
    <xf numFmtId="0" fontId="0" fillId="5" borderId="6" xfId="0" applyFill="1" applyBorder="1" applyAlignment="1">
      <alignment horizontal="center" vertical="center" wrapText="1"/>
    </xf>
    <xf numFmtId="0" fontId="3" fillId="0" borderId="5" xfId="0" applyFont="1" applyFill="1" applyBorder="1" applyAlignment="1">
      <alignment horizontal="center" vertical="center" wrapText="1"/>
    </xf>
    <xf numFmtId="0" fontId="11" fillId="3" borderId="9" xfId="1" applyFont="1" applyFill="1" applyBorder="1" applyAlignment="1">
      <alignment horizontal="left" vertical="center" wrapText="1"/>
    </xf>
    <xf numFmtId="0" fontId="11" fillId="3" borderId="11" xfId="1" applyFont="1" applyFill="1" applyBorder="1" applyAlignment="1">
      <alignment horizontal="left" vertical="center" wrapText="1"/>
    </xf>
    <xf numFmtId="0" fontId="0" fillId="0" borderId="3" xfId="0" applyBorder="1" applyAlignment="1">
      <alignment horizontal="center" vertical="center" textRotation="90"/>
    </xf>
    <xf numFmtId="0" fontId="0" fillId="5" borderId="0" xfId="0" applyFill="1" applyAlignment="1">
      <alignment horizont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0" fillId="0" borderId="0" xfId="0" applyAlignment="1">
      <alignment horizontal="center" vertical="center" wrapText="1"/>
    </xf>
    <xf numFmtId="0" fontId="23" fillId="8" borderId="153" xfId="0" applyFont="1" applyFill="1" applyBorder="1" applyAlignment="1">
      <alignment horizontal="center"/>
    </xf>
    <xf numFmtId="0" fontId="24" fillId="8" borderId="152" xfId="0" applyFont="1" applyFill="1" applyBorder="1" applyAlignment="1">
      <alignment horizontal="left" wrapText="1"/>
    </xf>
    <xf numFmtId="0" fontId="24" fillId="8" borderId="166" xfId="0" applyFont="1" applyFill="1" applyBorder="1" applyAlignment="1">
      <alignment horizontal="left" wrapText="1"/>
    </xf>
    <xf numFmtId="0" fontId="23" fillId="8" borderId="163" xfId="0" applyFont="1" applyFill="1" applyBorder="1" applyAlignment="1">
      <alignment horizontal="center"/>
    </xf>
    <xf numFmtId="0" fontId="24" fillId="8" borderId="162" xfId="0" applyFont="1" applyFill="1" applyBorder="1" applyAlignment="1">
      <alignment horizontal="center" wrapText="1"/>
    </xf>
    <xf numFmtId="0" fontId="24" fillId="0" borderId="122" xfId="0" applyFont="1" applyFill="1" applyBorder="1" applyAlignment="1">
      <alignment horizontal="left" wrapText="1"/>
    </xf>
    <xf numFmtId="0" fontId="23" fillId="0" borderId="157" xfId="0" applyFont="1" applyFill="1" applyBorder="1" applyAlignment="1">
      <alignment horizontal="center"/>
    </xf>
    <xf numFmtId="0" fontId="24" fillId="5" borderId="123" xfId="0" applyFont="1" applyFill="1" applyBorder="1" applyAlignment="1">
      <alignment horizontal="left" wrapText="1"/>
    </xf>
    <xf numFmtId="0" fontId="3" fillId="8" borderId="122" xfId="0" applyFont="1" applyFill="1" applyBorder="1" applyAlignment="1">
      <alignment horizontal="center" wrapText="1"/>
    </xf>
    <xf numFmtId="0" fontId="23" fillId="8" borderId="166" xfId="0" applyFont="1" applyFill="1" applyBorder="1" applyAlignment="1">
      <alignment horizontal="left"/>
    </xf>
    <xf numFmtId="0" fontId="23" fillId="0" borderId="163" xfId="0" applyFont="1" applyBorder="1" applyAlignment="1">
      <alignment horizontal="center"/>
    </xf>
    <xf numFmtId="0" fontId="23" fillId="0" borderId="123" xfId="0" applyFont="1" applyBorder="1" applyAlignment="1">
      <alignment horizontal="center"/>
    </xf>
    <xf numFmtId="0" fontId="3" fillId="8" borderId="153" xfId="0" applyFont="1" applyFill="1" applyBorder="1" applyAlignment="1">
      <alignment horizontal="center"/>
    </xf>
    <xf numFmtId="0" fontId="23" fillId="8" borderId="149" xfId="0" applyFont="1" applyFill="1" applyBorder="1" applyAlignment="1">
      <alignment horizontal="center"/>
    </xf>
    <xf numFmtId="0" fontId="3" fillId="8" borderId="149" xfId="0" applyFont="1" applyFill="1" applyBorder="1" applyAlignment="1">
      <alignment horizontal="center"/>
    </xf>
    <xf numFmtId="0" fontId="23" fillId="8" borderId="162" xfId="0" applyFont="1" applyFill="1" applyBorder="1" applyAlignment="1">
      <alignment horizontal="left"/>
    </xf>
    <xf numFmtId="0" fontId="57" fillId="5" borderId="155" xfId="9" applyFont="1" applyFill="1" applyBorder="1" applyAlignment="1">
      <alignment wrapText="1"/>
    </xf>
    <xf numFmtId="1" fontId="3" fillId="5" borderId="157" xfId="9" applyNumberFormat="1" applyFont="1" applyFill="1" applyBorder="1" applyAlignment="1">
      <alignment horizontal="center" wrapText="1"/>
    </xf>
    <xf numFmtId="0" fontId="3" fillId="0" borderId="155" xfId="0" applyFont="1" applyBorder="1"/>
    <xf numFmtId="0" fontId="24" fillId="0" borderId="121" xfId="0" applyFont="1" applyFill="1" applyBorder="1" applyAlignment="1">
      <alignment horizontal="left" wrapText="1"/>
    </xf>
    <xf numFmtId="0" fontId="24" fillId="8" borderId="166" xfId="0" applyFont="1" applyFill="1" applyBorder="1" applyAlignment="1">
      <alignment horizontal="center" wrapText="1"/>
    </xf>
    <xf numFmtId="0" fontId="24" fillId="0" borderId="166" xfId="0" applyFont="1" applyFill="1" applyBorder="1" applyAlignment="1">
      <alignment horizontal="center" wrapText="1"/>
    </xf>
    <xf numFmtId="0" fontId="24" fillId="5" borderId="121" xfId="0" applyFont="1" applyFill="1" applyBorder="1" applyAlignment="1">
      <alignment horizontal="left" wrapText="1"/>
    </xf>
    <xf numFmtId="0" fontId="24" fillId="5" borderId="124" xfId="0" applyFont="1" applyFill="1" applyBorder="1" applyAlignment="1">
      <alignment horizontal="left" wrapText="1"/>
    </xf>
    <xf numFmtId="0" fontId="3" fillId="8" borderId="149" xfId="0" applyFont="1" applyFill="1" applyBorder="1" applyAlignment="1">
      <alignment horizontal="center" wrapText="1"/>
    </xf>
    <xf numFmtId="0" fontId="24" fillId="8" borderId="126" xfId="0" applyFont="1" applyFill="1" applyBorder="1" applyAlignment="1">
      <alignment horizontal="left" wrapText="1"/>
    </xf>
    <xf numFmtId="0" fontId="24" fillId="0" borderId="126" xfId="0" applyFont="1" applyBorder="1"/>
    <xf numFmtId="0" fontId="23" fillId="8" borderId="161" xfId="0" applyFont="1" applyFill="1" applyBorder="1" applyAlignment="1">
      <alignment horizontal="center"/>
    </xf>
    <xf numFmtId="0" fontId="24" fillId="8" borderId="162" xfId="0" applyFont="1" applyFill="1" applyBorder="1" applyAlignment="1">
      <alignment horizontal="left" wrapText="1"/>
    </xf>
    <xf numFmtId="0" fontId="23" fillId="8" borderId="164" xfId="0" applyFont="1" applyFill="1" applyBorder="1" applyAlignment="1">
      <alignment horizontal="center"/>
    </xf>
    <xf numFmtId="0" fontId="24" fillId="0" borderId="160" xfId="0" applyFont="1" applyBorder="1" applyAlignment="1">
      <alignment horizontal="left" wrapText="1"/>
    </xf>
    <xf numFmtId="1" fontId="23" fillId="8" borderId="161" xfId="0" applyNumberFormat="1" applyFont="1" applyFill="1" applyBorder="1" applyAlignment="1">
      <alignment horizontal="center"/>
    </xf>
    <xf numFmtId="0" fontId="23" fillId="8" borderId="166" xfId="0" applyFont="1" applyFill="1" applyBorder="1" applyAlignment="1">
      <alignment horizontal="center"/>
    </xf>
    <xf numFmtId="0" fontId="23" fillId="0" borderId="161" xfId="0" applyFont="1" applyFill="1" applyBorder="1" applyAlignment="1">
      <alignment horizontal="center"/>
    </xf>
    <xf numFmtId="0" fontId="3" fillId="8" borderId="166" xfId="0" applyFont="1" applyFill="1" applyBorder="1" applyAlignment="1">
      <alignment horizontal="center" wrapText="1"/>
    </xf>
    <xf numFmtId="0" fontId="23" fillId="8" borderId="113" xfId="0" applyFont="1" applyFill="1" applyBorder="1" applyAlignment="1">
      <alignment horizontal="center"/>
    </xf>
    <xf numFmtId="0" fontId="23" fillId="0" borderId="161" xfId="0" applyFont="1" applyBorder="1" applyAlignment="1">
      <alignment horizontal="center"/>
    </xf>
    <xf numFmtId="0" fontId="23" fillId="0" borderId="166" xfId="0" applyFont="1" applyBorder="1" applyAlignment="1">
      <alignment horizontal="center"/>
    </xf>
    <xf numFmtId="0" fontId="3" fillId="8" borderId="152" xfId="0" applyFont="1" applyFill="1" applyBorder="1" applyAlignment="1">
      <alignment horizontal="center"/>
    </xf>
    <xf numFmtId="0" fontId="3" fillId="8" borderId="164" xfId="0" applyFont="1" applyFill="1" applyBorder="1" applyAlignment="1">
      <alignment horizontal="center"/>
    </xf>
    <xf numFmtId="3" fontId="32" fillId="0" borderId="0" xfId="94" applyNumberFormat="1" applyFont="1" applyFill="1" applyBorder="1" applyAlignment="1">
      <alignment horizontal="center" vertical="center"/>
    </xf>
    <xf numFmtId="0" fontId="31" fillId="0" borderId="152" xfId="0" applyFont="1" applyFill="1" applyBorder="1" applyAlignment="1">
      <alignment horizontal="left" vertical="top" wrapText="1"/>
    </xf>
    <xf numFmtId="3" fontId="31" fillId="0" borderId="168" xfId="10" applyNumberFormat="1" applyFont="1" applyFill="1" applyBorder="1" applyAlignment="1">
      <alignment horizontal="center" vertical="center"/>
    </xf>
    <xf numFmtId="0" fontId="31" fillId="0" borderId="5" xfId="94" applyFont="1" applyFill="1" applyBorder="1" applyAlignment="1">
      <alignment horizontal="center" vertical="center"/>
    </xf>
    <xf numFmtId="0" fontId="31" fillId="0" borderId="164" xfId="0" applyFont="1" applyBorder="1" applyAlignment="1">
      <alignment horizontal="left" vertical="top" wrapText="1"/>
    </xf>
    <xf numFmtId="3" fontId="32" fillId="0" borderId="165" xfId="94" applyNumberFormat="1" applyFont="1" applyFill="1" applyBorder="1" applyAlignment="1">
      <alignment horizontal="center" vertical="top"/>
    </xf>
    <xf numFmtId="0" fontId="32" fillId="0" borderId="120" xfId="94" applyFont="1" applyFill="1" applyBorder="1" applyAlignment="1">
      <alignment vertical="top"/>
    </xf>
    <xf numFmtId="0" fontId="32" fillId="0" borderId="160" xfId="94" applyFont="1" applyFill="1" applyBorder="1" applyAlignment="1">
      <alignment horizontal="center" vertical="center"/>
    </xf>
    <xf numFmtId="3" fontId="32" fillId="0" borderId="95" xfId="94" applyNumberFormat="1" applyFont="1" applyFill="1" applyBorder="1" applyAlignment="1">
      <alignment horizontal="center" vertical="top"/>
    </xf>
    <xf numFmtId="0" fontId="32" fillId="0" borderId="97" xfId="94" applyFont="1" applyFill="1" applyBorder="1" applyAlignment="1">
      <alignment vertical="top"/>
    </xf>
    <xf numFmtId="0" fontId="32" fillId="0" borderId="15" xfId="94" applyFont="1" applyFill="1" applyBorder="1" applyAlignment="1">
      <alignment horizontal="center" vertical="center"/>
    </xf>
    <xf numFmtId="0" fontId="31" fillId="0" borderId="117" xfId="0" applyFont="1" applyBorder="1" applyAlignment="1">
      <alignment horizontal="left" vertical="top" wrapText="1"/>
    </xf>
    <xf numFmtId="3" fontId="32" fillId="0" borderId="26" xfId="94" applyNumberFormat="1" applyFont="1" applyFill="1" applyBorder="1" applyAlignment="1">
      <alignment horizontal="center" vertical="top"/>
    </xf>
    <xf numFmtId="0" fontId="32" fillId="0" borderId="18" xfId="94" applyFont="1" applyFill="1" applyBorder="1" applyAlignment="1">
      <alignment vertical="top"/>
    </xf>
    <xf numFmtId="0" fontId="32" fillId="0" borderId="8" xfId="94" applyFont="1" applyFill="1" applyBorder="1" applyAlignment="1">
      <alignment horizontal="center" vertical="center"/>
    </xf>
    <xf numFmtId="0" fontId="31" fillId="0" borderId="117" xfId="0" applyFont="1" applyFill="1" applyBorder="1" applyAlignment="1">
      <alignment horizontal="left" vertical="top" wrapText="1"/>
    </xf>
    <xf numFmtId="0" fontId="32" fillId="0" borderId="120" xfId="94" applyFont="1" applyFill="1" applyBorder="1" applyAlignment="1">
      <alignment vertical="top" wrapText="1"/>
    </xf>
    <xf numFmtId="3" fontId="31" fillId="0" borderId="26" xfId="94" applyNumberFormat="1" applyFont="1" applyFill="1" applyBorder="1" applyAlignment="1">
      <alignment horizontal="center" vertical="top"/>
    </xf>
    <xf numFmtId="0" fontId="31" fillId="0" borderId="18" xfId="94" applyFont="1" applyFill="1" applyBorder="1" applyAlignment="1">
      <alignment vertical="top"/>
    </xf>
    <xf numFmtId="0" fontId="31" fillId="0" borderId="8" xfId="94" applyFont="1" applyFill="1" applyBorder="1" applyAlignment="1">
      <alignment horizontal="center" vertical="center"/>
    </xf>
    <xf numFmtId="3" fontId="31" fillId="0" borderId="95" xfId="94" applyNumberFormat="1" applyFont="1" applyFill="1" applyBorder="1" applyAlignment="1">
      <alignment horizontal="center" vertical="top"/>
    </xf>
    <xf numFmtId="0" fontId="31" fillId="0" borderId="97" xfId="94" applyFont="1" applyFill="1" applyBorder="1" applyAlignment="1">
      <alignment vertical="top"/>
    </xf>
    <xf numFmtId="0" fontId="31" fillId="0" borderId="15" xfId="94" applyFont="1" applyFill="1" applyBorder="1" applyAlignment="1">
      <alignment horizontal="center" vertical="center"/>
    </xf>
    <xf numFmtId="0" fontId="32" fillId="0" borderId="157" xfId="0" applyFont="1" applyFill="1" applyBorder="1" applyAlignment="1">
      <alignment horizontal="center" vertical="center" wrapText="1"/>
    </xf>
    <xf numFmtId="0" fontId="32" fillId="0" borderId="126" xfId="0" applyFont="1" applyFill="1" applyBorder="1" applyAlignment="1">
      <alignment horizontal="center" vertical="center" wrapText="1"/>
    </xf>
    <xf numFmtId="0" fontId="31" fillId="0" borderId="126" xfId="1" applyNumberFormat="1" applyFont="1" applyFill="1" applyBorder="1" applyAlignment="1">
      <alignment horizontal="center" vertical="center" wrapText="1"/>
    </xf>
    <xf numFmtId="0" fontId="32" fillId="0" borderId="126" xfId="0" applyFont="1" applyFill="1" applyBorder="1" applyAlignment="1">
      <alignment horizontal="left" vertical="center" wrapText="1"/>
    </xf>
    <xf numFmtId="0" fontId="32" fillId="0" borderId="126" xfId="94" applyFont="1" applyFill="1" applyBorder="1" applyAlignment="1">
      <alignment horizontal="center" vertical="center"/>
    </xf>
    <xf numFmtId="0" fontId="32" fillId="0" borderId="18" xfId="0" applyFont="1" applyFill="1" applyBorder="1" applyAlignment="1">
      <alignment horizontal="center" vertical="center" wrapText="1"/>
    </xf>
    <xf numFmtId="3" fontId="32" fillId="0" borderId="164" xfId="0" applyNumberFormat="1" applyFont="1" applyFill="1" applyBorder="1" applyAlignment="1">
      <alignment horizontal="center" vertical="center" wrapText="1"/>
    </xf>
    <xf numFmtId="3" fontId="32" fillId="0" borderId="113" xfId="0" applyNumberFormat="1" applyFont="1" applyFill="1" applyBorder="1" applyAlignment="1">
      <alignment horizontal="center" vertical="center" wrapText="1"/>
    </xf>
    <xf numFmtId="3" fontId="32" fillId="0" borderId="26" xfId="0" applyNumberFormat="1" applyFont="1" applyFill="1" applyBorder="1" applyAlignment="1">
      <alignment horizontal="left" vertical="center" wrapText="1"/>
    </xf>
    <xf numFmtId="0" fontId="32" fillId="0" borderId="168" xfId="10" applyNumberFormat="1" applyFont="1" applyFill="1" applyBorder="1" applyAlignment="1">
      <alignment horizontal="center" vertical="center"/>
    </xf>
    <xf numFmtId="0" fontId="32" fillId="0" borderId="5" xfId="94" applyFont="1" applyFill="1" applyBorder="1" applyAlignment="1">
      <alignment horizontal="center" vertical="center"/>
    </xf>
    <xf numFmtId="0" fontId="10" fillId="4" borderId="169" xfId="1" applyFont="1" applyFill="1" applyBorder="1" applyAlignment="1">
      <alignment horizontal="center" vertical="center" wrapText="1"/>
    </xf>
    <xf numFmtId="0" fontId="10" fillId="4" borderId="169" xfId="1" quotePrefix="1" applyFont="1" applyFill="1" applyBorder="1" applyAlignment="1">
      <alignment horizontal="center" vertical="center" wrapText="1"/>
    </xf>
    <xf numFmtId="0" fontId="16" fillId="5" borderId="122" xfId="0" applyFont="1" applyFill="1" applyBorder="1" applyAlignment="1">
      <alignment horizontal="center" vertical="center" wrapText="1"/>
    </xf>
    <xf numFmtId="0" fontId="17" fillId="5" borderId="157" xfId="0" applyFont="1" applyFill="1" applyBorder="1" applyAlignment="1">
      <alignment horizontal="center" vertical="center" wrapText="1"/>
    </xf>
    <xf numFmtId="0" fontId="79" fillId="5" borderId="157" xfId="0" applyFont="1" applyFill="1" applyBorder="1" applyAlignment="1">
      <alignment horizontal="center" vertical="center" wrapText="1"/>
    </xf>
    <xf numFmtId="1" fontId="14" fillId="5" borderId="157" xfId="0" applyNumberFormat="1" applyFont="1" applyFill="1" applyBorder="1" applyAlignment="1">
      <alignment horizontal="center" vertical="center" wrapText="1"/>
    </xf>
    <xf numFmtId="0" fontId="16" fillId="5" borderId="123" xfId="0" applyFont="1" applyFill="1" applyBorder="1" applyAlignment="1">
      <alignment horizontal="center" vertical="center" wrapText="1"/>
    </xf>
    <xf numFmtId="3" fontId="17" fillId="5" borderId="157" xfId="0" applyNumberFormat="1" applyFont="1" applyFill="1" applyBorder="1" applyAlignment="1">
      <alignment horizontal="center" vertical="center" wrapText="1"/>
    </xf>
    <xf numFmtId="0" fontId="21" fillId="5" borderId="157" xfId="0" applyFont="1" applyFill="1" applyBorder="1" applyAlignment="1">
      <alignment horizontal="center" vertical="center" wrapText="1"/>
    </xf>
    <xf numFmtId="3" fontId="21" fillId="5" borderId="157" xfId="0" applyNumberFormat="1" applyFont="1" applyFill="1" applyBorder="1" applyAlignment="1">
      <alignment horizontal="center" vertical="center" wrapText="1"/>
    </xf>
    <xf numFmtId="1" fontId="15" fillId="5" borderId="157" xfId="0" applyNumberFormat="1" applyFont="1" applyFill="1" applyBorder="1" applyAlignment="1">
      <alignment horizontal="center" vertical="center" wrapText="1"/>
    </xf>
    <xf numFmtId="0" fontId="17" fillId="5" borderId="157" xfId="0" applyFont="1" applyFill="1" applyBorder="1" applyAlignment="1">
      <alignment horizontal="center" wrapText="1"/>
    </xf>
    <xf numFmtId="0" fontId="16" fillId="5" borderId="162" xfId="0" applyFont="1" applyFill="1" applyBorder="1" applyAlignment="1">
      <alignment horizontal="center" vertical="center" wrapText="1"/>
    </xf>
    <xf numFmtId="0" fontId="17" fillId="5" borderId="163" xfId="0" applyFont="1" applyFill="1" applyBorder="1" applyAlignment="1">
      <alignment horizontal="center" vertical="center" wrapText="1"/>
    </xf>
    <xf numFmtId="3" fontId="17" fillId="5" borderId="163" xfId="0" applyNumberFormat="1" applyFont="1" applyFill="1" applyBorder="1" applyAlignment="1">
      <alignment horizontal="center" vertical="center" wrapText="1"/>
    </xf>
    <xf numFmtId="1" fontId="14" fillId="5" borderId="163" xfId="0" applyNumberFormat="1" applyFont="1" applyFill="1" applyBorder="1" applyAlignment="1">
      <alignment horizontal="center" vertical="center" wrapText="1"/>
    </xf>
    <xf numFmtId="0" fontId="17" fillId="5" borderId="149" xfId="0" applyFont="1" applyFill="1" applyBorder="1" applyAlignment="1">
      <alignment horizontal="center" vertical="center" wrapText="1"/>
    </xf>
    <xf numFmtId="1" fontId="14" fillId="5" borderId="149" xfId="0" applyNumberFormat="1" applyFont="1" applyFill="1" applyBorder="1" applyAlignment="1">
      <alignment horizontal="center" vertical="center" wrapText="1"/>
    </xf>
    <xf numFmtId="0" fontId="5" fillId="0" borderId="123" xfId="0" applyFont="1" applyFill="1" applyBorder="1" applyAlignment="1">
      <alignment horizontal="center" vertical="center" wrapText="1"/>
    </xf>
    <xf numFmtId="2" fontId="15" fillId="0" borderId="12" xfId="0" applyNumberFormat="1" applyFont="1" applyFill="1" applyBorder="1" applyAlignment="1">
      <alignment horizontal="center" vertical="center" wrapText="1"/>
    </xf>
    <xf numFmtId="0" fontId="38" fillId="0" borderId="122" xfId="0" applyFont="1" applyBorder="1" applyAlignment="1">
      <alignment wrapText="1"/>
    </xf>
    <xf numFmtId="0" fontId="38" fillId="0" borderId="157" xfId="0" applyFont="1" applyBorder="1" applyAlignment="1">
      <alignment wrapText="1"/>
    </xf>
    <xf numFmtId="3" fontId="3" fillId="0" borderId="157" xfId="1" applyNumberFormat="1" applyFont="1" applyFill="1" applyBorder="1" applyAlignment="1">
      <alignment horizontal="center" vertical="center" wrapText="1"/>
    </xf>
    <xf numFmtId="0" fontId="38" fillId="0" borderId="157" xfId="0" applyFont="1" applyBorder="1" applyAlignment="1">
      <alignment horizontal="center" wrapText="1"/>
    </xf>
    <xf numFmtId="0" fontId="73" fillId="0" borderId="122" xfId="0" applyFont="1" applyBorder="1" applyAlignment="1">
      <alignment wrapText="1"/>
    </xf>
    <xf numFmtId="0" fontId="73" fillId="0" borderId="157" xfId="0" applyFont="1" applyBorder="1" applyAlignment="1">
      <alignment wrapText="1"/>
    </xf>
    <xf numFmtId="0" fontId="13" fillId="0" borderId="157" xfId="0" applyFont="1" applyBorder="1"/>
    <xf numFmtId="0" fontId="73" fillId="0" borderId="157" xfId="0" applyFont="1" applyBorder="1" applyAlignment="1">
      <alignment horizontal="center" wrapText="1"/>
    </xf>
    <xf numFmtId="0" fontId="31" fillId="0" borderId="122" xfId="0" applyFont="1" applyBorder="1" applyAlignment="1">
      <alignment wrapText="1"/>
    </xf>
    <xf numFmtId="0" fontId="31" fillId="0" borderId="157" xfId="0" applyFont="1" applyBorder="1" applyAlignment="1">
      <alignment wrapText="1"/>
    </xf>
    <xf numFmtId="0" fontId="31" fillId="0" borderId="157" xfId="0" applyFont="1" applyBorder="1" applyAlignment="1">
      <alignment horizontal="center" wrapText="1"/>
    </xf>
    <xf numFmtId="0" fontId="8" fillId="8" borderId="157" xfId="0" applyFont="1" applyFill="1" applyBorder="1" applyAlignment="1">
      <alignment horizontal="left" wrapText="1"/>
    </xf>
    <xf numFmtId="0" fontId="8" fillId="8" borderId="157" xfId="0" applyFont="1" applyFill="1" applyBorder="1" applyAlignment="1">
      <alignment horizontal="center"/>
    </xf>
    <xf numFmtId="0" fontId="0" fillId="0" borderId="157" xfId="0" applyBorder="1" applyAlignment="1">
      <alignment horizontal="left" vertical="center"/>
    </xf>
    <xf numFmtId="3" fontId="8" fillId="0" borderId="157" xfId="1" applyNumberFormat="1" applyFont="1" applyFill="1" applyBorder="1" applyAlignment="1">
      <alignment horizontal="center" vertical="center" wrapText="1"/>
    </xf>
    <xf numFmtId="0" fontId="73" fillId="0" borderId="123" xfId="0" applyFont="1" applyBorder="1" applyAlignment="1">
      <alignment wrapText="1"/>
    </xf>
    <xf numFmtId="164" fontId="2" fillId="4" borderId="9" xfId="0" applyNumberFormat="1" applyFont="1" applyFill="1" applyBorder="1" applyAlignment="1">
      <alignment horizontal="center" vertical="center" wrapText="1"/>
    </xf>
    <xf numFmtId="1" fontId="5" fillId="5" borderId="3" xfId="0" applyNumberFormat="1" applyFont="1" applyFill="1" applyBorder="1" applyAlignment="1">
      <alignment horizontal="center" vertical="center" wrapText="1"/>
    </xf>
    <xf numFmtId="0" fontId="23" fillId="5" borderId="18" xfId="0" applyFont="1" applyFill="1" applyBorder="1" applyAlignment="1">
      <alignment horizontal="center"/>
    </xf>
    <xf numFmtId="1" fontId="5" fillId="5" borderId="1" xfId="0" applyNumberFormat="1" applyFont="1" applyFill="1" applyBorder="1" applyAlignment="1">
      <alignment horizontal="center" vertical="center" wrapText="1"/>
    </xf>
    <xf numFmtId="1" fontId="5" fillId="5" borderId="18" xfId="0" applyNumberFormat="1" applyFont="1" applyFill="1" applyBorder="1" applyAlignment="1">
      <alignment horizontal="center" vertical="center" wrapText="1"/>
    </xf>
    <xf numFmtId="0" fontId="1" fillId="0" borderId="123" xfId="0" applyFont="1" applyBorder="1" applyAlignment="1">
      <alignment horizontal="center" vertical="center"/>
    </xf>
    <xf numFmtId="0" fontId="1" fillId="0" borderId="124" xfId="0" applyFont="1" applyBorder="1"/>
    <xf numFmtId="164" fontId="2" fillId="4" borderId="10" xfId="0" applyNumberFormat="1" applyFont="1" applyFill="1" applyBorder="1" applyAlignment="1">
      <alignment horizontal="center" vertical="center" wrapText="1"/>
    </xf>
    <xf numFmtId="0" fontId="5" fillId="74" borderId="12" xfId="94" applyFont="1" applyFill="1" applyBorder="1" applyAlignment="1">
      <alignment horizontal="center"/>
    </xf>
    <xf numFmtId="0" fontId="5" fillId="74" borderId="11" xfId="94" applyFont="1" applyFill="1" applyBorder="1" applyAlignment="1">
      <alignment horizontal="center"/>
    </xf>
    <xf numFmtId="0" fontId="5" fillId="75" borderId="25" xfId="94" applyFont="1" applyFill="1" applyBorder="1" applyAlignment="1">
      <alignment wrapText="1"/>
    </xf>
    <xf numFmtId="0" fontId="5" fillId="75" borderId="25" xfId="94" applyFont="1" applyFill="1" applyBorder="1" applyAlignment="1">
      <alignment horizontal="center" wrapText="1"/>
    </xf>
    <xf numFmtId="0" fontId="5" fillId="75" borderId="2" xfId="94" applyFont="1" applyFill="1" applyBorder="1" applyAlignment="1">
      <alignment wrapText="1"/>
    </xf>
    <xf numFmtId="0" fontId="5" fillId="75" borderId="0" xfId="94" applyFont="1" applyFill="1" applyBorder="1" applyAlignment="1">
      <alignment wrapText="1"/>
    </xf>
    <xf numFmtId="0" fontId="5" fillId="75" borderId="0" xfId="94" applyFont="1" applyFill="1" applyBorder="1" applyAlignment="1">
      <alignment horizontal="center" wrapText="1"/>
    </xf>
    <xf numFmtId="0" fontId="5" fillId="75" borderId="26" xfId="94" applyFont="1" applyFill="1" applyBorder="1" applyAlignment="1">
      <alignment wrapText="1"/>
    </xf>
    <xf numFmtId="0" fontId="5" fillId="75" borderId="0" xfId="94" applyFont="1" applyFill="1" applyBorder="1" applyAlignment="1">
      <alignment horizontal="left" vertical="center" wrapText="1"/>
    </xf>
    <xf numFmtId="0" fontId="5" fillId="75" borderId="0" xfId="94" applyFont="1" applyFill="1" applyBorder="1" applyAlignment="1">
      <alignment vertical="center" wrapText="1"/>
    </xf>
    <xf numFmtId="0" fontId="5" fillId="75" borderId="0" xfId="94" applyFont="1" applyFill="1" applyBorder="1" applyAlignment="1">
      <alignment horizontal="left" wrapText="1"/>
    </xf>
    <xf numFmtId="0" fontId="60" fillId="52" borderId="0" xfId="0" applyFont="1" applyFill="1" applyBorder="1" applyAlignment="1">
      <alignment horizontal="left" wrapText="1"/>
    </xf>
    <xf numFmtId="0" fontId="60" fillId="53" borderId="0" xfId="0" applyFont="1" applyFill="1" applyBorder="1" applyAlignment="1">
      <alignment horizontal="left" wrapText="1"/>
    </xf>
    <xf numFmtId="0" fontId="60" fillId="54" borderId="0" xfId="0" applyFont="1" applyFill="1" applyBorder="1" applyAlignment="1">
      <alignment horizontal="left" wrapText="1"/>
    </xf>
    <xf numFmtId="0" fontId="60" fillId="54" borderId="0" xfId="0" applyFont="1" applyFill="1" applyBorder="1" applyAlignment="1"/>
    <xf numFmtId="0" fontId="60" fillId="55" borderId="0" xfId="0" applyFont="1" applyFill="1" applyBorder="1" applyAlignment="1">
      <alignment horizontal="left" wrapText="1"/>
    </xf>
    <xf numFmtId="0" fontId="60" fillId="56" borderId="0" xfId="0" applyFont="1" applyFill="1" applyBorder="1" applyAlignment="1">
      <alignment horizontal="left" wrapText="1"/>
    </xf>
    <xf numFmtId="0" fontId="60" fillId="57" borderId="0" xfId="0" applyFont="1" applyFill="1" applyBorder="1" applyAlignment="1">
      <alignment horizontal="left" wrapText="1"/>
    </xf>
    <xf numFmtId="0" fontId="60" fillId="58" borderId="0" xfId="0" applyFont="1" applyFill="1" applyBorder="1" applyAlignment="1">
      <alignment horizontal="left" wrapText="1"/>
    </xf>
    <xf numFmtId="0" fontId="60" fillId="59" borderId="0" xfId="0" applyFont="1" applyFill="1" applyBorder="1" applyAlignment="1">
      <alignment horizontal="left" wrapText="1"/>
    </xf>
    <xf numFmtId="0" fontId="60" fillId="8" borderId="0" xfId="0" applyFont="1" applyFill="1" applyBorder="1" applyAlignment="1">
      <alignment horizontal="left" wrapText="1"/>
    </xf>
    <xf numFmtId="0" fontId="60" fillId="8" borderId="0" xfId="0" applyFont="1" applyFill="1" applyBorder="1" applyAlignment="1">
      <alignment horizontal="left"/>
    </xf>
    <xf numFmtId="0" fontId="60" fillId="8" borderId="0" xfId="0" applyFont="1" applyFill="1" applyBorder="1" applyAlignment="1">
      <alignment horizontal="left" vertical="center" wrapText="1"/>
    </xf>
    <xf numFmtId="2" fontId="0" fillId="0" borderId="16" xfId="0" applyNumberFormat="1" applyFont="1" applyFill="1" applyBorder="1" applyAlignment="1">
      <alignment horizontal="left" vertical="center"/>
    </xf>
    <xf numFmtId="1" fontId="41" fillId="0" borderId="13" xfId="1" applyNumberFormat="1" applyFont="1" applyFill="1" applyBorder="1" applyAlignment="1">
      <alignment horizontal="center" vertical="center" wrapText="1"/>
    </xf>
    <xf numFmtId="0" fontId="11" fillId="3" borderId="164" xfId="1" applyFont="1" applyFill="1" applyBorder="1" applyAlignment="1">
      <alignment vertical="center" wrapText="1"/>
    </xf>
    <xf numFmtId="0" fontId="56" fillId="10" borderId="170" xfId="9" applyFont="1" applyFill="1" applyBorder="1" applyAlignment="1">
      <alignment horizontal="center"/>
    </xf>
    <xf numFmtId="0" fontId="56" fillId="10" borderId="171" xfId="9" applyFont="1" applyFill="1" applyBorder="1" applyAlignment="1">
      <alignment horizontal="center"/>
    </xf>
    <xf numFmtId="0" fontId="57" fillId="5" borderId="157" xfId="9" applyFont="1" applyFill="1" applyBorder="1" applyAlignment="1">
      <alignment wrapText="1"/>
    </xf>
    <xf numFmtId="1" fontId="31" fillId="0" borderId="157" xfId="1" applyNumberFormat="1" applyFont="1" applyFill="1" applyBorder="1" applyAlignment="1">
      <alignment horizontal="center" vertical="center" wrapText="1"/>
    </xf>
    <xf numFmtId="0" fontId="70" fillId="5" borderId="157" xfId="9" applyFont="1" applyFill="1" applyBorder="1" applyAlignment="1">
      <alignment wrapText="1"/>
    </xf>
    <xf numFmtId="1" fontId="32" fillId="0" borderId="157" xfId="0" applyNumberFormat="1" applyFont="1" applyFill="1" applyBorder="1" applyAlignment="1">
      <alignment horizontal="center" vertical="center" wrapText="1"/>
    </xf>
    <xf numFmtId="0" fontId="57" fillId="46" borderId="0" xfId="9" applyFont="1" applyFill="1" applyBorder="1" applyAlignment="1"/>
    <xf numFmtId="0" fontId="57" fillId="5" borderId="0" xfId="9" applyFont="1" applyFill="1" applyBorder="1" applyAlignment="1">
      <alignment horizontal="left"/>
    </xf>
    <xf numFmtId="0" fontId="66" fillId="5" borderId="27" xfId="9" applyFont="1" applyFill="1" applyBorder="1" applyAlignment="1"/>
    <xf numFmtId="0" fontId="57" fillId="5" borderId="149" xfId="9" applyFont="1" applyFill="1" applyBorder="1" applyAlignment="1">
      <alignment wrapText="1"/>
    </xf>
    <xf numFmtId="1" fontId="41" fillId="0" borderId="149" xfId="1" applyNumberFormat="1" applyFont="1" applyFill="1" applyBorder="1" applyAlignment="1">
      <alignment horizontal="center" vertical="center" wrapText="1"/>
    </xf>
    <xf numFmtId="1" fontId="38" fillId="0" borderId="12" xfId="0" applyNumberFormat="1" applyFont="1" applyFill="1" applyBorder="1" applyAlignment="1">
      <alignment horizontal="center"/>
    </xf>
    <xf numFmtId="0" fontId="57" fillId="5" borderId="9" xfId="9" applyFont="1" applyFill="1" applyBorder="1" applyAlignment="1">
      <alignment wrapText="1"/>
    </xf>
    <xf numFmtId="0" fontId="57" fillId="5" borderId="12" xfId="9" applyFont="1" applyFill="1" applyBorder="1" applyAlignment="1">
      <alignment horizontal="center" wrapText="1"/>
    </xf>
    <xf numFmtId="0" fontId="57" fillId="44" borderId="44" xfId="9" applyNumberFormat="1" applyFont="1" applyFill="1" applyBorder="1" applyAlignment="1">
      <alignment horizontal="center" wrapText="1"/>
    </xf>
    <xf numFmtId="0" fontId="57" fillId="45" borderId="44" xfId="9" applyNumberFormat="1" applyFont="1" applyFill="1" applyBorder="1" applyAlignment="1">
      <alignment horizontal="center" wrapText="1"/>
    </xf>
    <xf numFmtId="1" fontId="57" fillId="46" borderId="44" xfId="9" applyNumberFormat="1" applyFont="1" applyFill="1" applyBorder="1" applyAlignment="1">
      <alignment horizontal="center" wrapText="1"/>
    </xf>
    <xf numFmtId="1" fontId="57" fillId="47" borderId="44" xfId="9" applyNumberFormat="1" applyFont="1" applyFill="1" applyBorder="1" applyAlignment="1">
      <alignment horizontal="center" wrapText="1"/>
    </xf>
    <xf numFmtId="1" fontId="57" fillId="48" borderId="44" xfId="9" applyNumberFormat="1" applyFont="1" applyFill="1" applyBorder="1" applyAlignment="1">
      <alignment horizontal="center" wrapText="1"/>
    </xf>
    <xf numFmtId="1" fontId="57" fillId="49" borderId="44" xfId="9" applyNumberFormat="1" applyFont="1" applyFill="1" applyBorder="1" applyAlignment="1">
      <alignment horizontal="center" wrapText="1"/>
    </xf>
    <xf numFmtId="1" fontId="57" fillId="50" borderId="44" xfId="9" applyNumberFormat="1" applyFont="1" applyFill="1" applyBorder="1" applyAlignment="1">
      <alignment horizontal="center" wrapText="1"/>
    </xf>
    <xf numFmtId="1" fontId="57" fillId="51" borderId="44" xfId="9" applyNumberFormat="1" applyFont="1" applyFill="1" applyBorder="1" applyAlignment="1">
      <alignment horizontal="center" wrapText="1"/>
    </xf>
    <xf numFmtId="1" fontId="57" fillId="5" borderId="44" xfId="9" applyNumberFormat="1" applyFont="1" applyFill="1" applyBorder="1" applyAlignment="1">
      <alignment horizontal="center" wrapText="1"/>
    </xf>
    <xf numFmtId="0" fontId="57" fillId="5" borderId="44" xfId="9" applyNumberFormat="1" applyFont="1" applyFill="1" applyBorder="1" applyAlignment="1">
      <alignment horizontal="center" wrapText="1"/>
    </xf>
    <xf numFmtId="0" fontId="3" fillId="8" borderId="44" xfId="0" applyFont="1" applyFill="1" applyBorder="1" applyAlignment="1">
      <alignment horizontal="center"/>
    </xf>
    <xf numFmtId="0" fontId="57" fillId="65" borderId="172" xfId="86" applyFont="1" applyFill="1" applyBorder="1" applyAlignment="1">
      <alignment horizontal="center" wrapText="1"/>
    </xf>
    <xf numFmtId="0" fontId="57" fillId="50" borderId="172" xfId="86" applyFont="1" applyFill="1" applyBorder="1" applyAlignment="1">
      <alignment horizontal="center" wrapText="1"/>
    </xf>
    <xf numFmtId="0" fontId="57" fillId="5" borderId="172" xfId="86" applyFont="1" applyFill="1" applyBorder="1" applyAlignment="1">
      <alignment horizontal="center" wrapText="1"/>
    </xf>
    <xf numFmtId="0" fontId="57" fillId="62" borderId="0" xfId="9" applyFont="1" applyFill="1" applyBorder="1" applyAlignment="1">
      <alignment horizontal="center" wrapText="1"/>
    </xf>
    <xf numFmtId="0" fontId="32" fillId="0" borderId="173" xfId="0" applyFont="1" applyFill="1" applyBorder="1" applyAlignment="1">
      <alignment horizontal="center" vertical="center" wrapText="1"/>
    </xf>
    <xf numFmtId="0" fontId="57" fillId="5" borderId="174" xfId="9" applyFont="1" applyFill="1" applyBorder="1" applyAlignment="1">
      <alignment horizontal="center" wrapText="1"/>
    </xf>
    <xf numFmtId="0" fontId="56" fillId="5" borderId="174" xfId="9" applyFont="1" applyFill="1" applyBorder="1" applyAlignment="1">
      <alignment wrapText="1"/>
    </xf>
    <xf numFmtId="1" fontId="32" fillId="0" borderId="174" xfId="0" applyNumberFormat="1" applyFont="1" applyFill="1" applyBorder="1" applyAlignment="1">
      <alignment horizontal="center" vertical="center" wrapText="1"/>
    </xf>
    <xf numFmtId="0" fontId="3" fillId="5" borderId="174" xfId="9" applyNumberFormat="1" applyFont="1" applyFill="1" applyBorder="1" applyAlignment="1">
      <alignment horizontal="center" vertical="center" wrapText="1"/>
    </xf>
    <xf numFmtId="1" fontId="32" fillId="0" borderId="166" xfId="0" applyNumberFormat="1" applyFont="1" applyFill="1" applyBorder="1" applyAlignment="1">
      <alignment horizontal="center" vertical="center" wrapText="1"/>
    </xf>
    <xf numFmtId="0" fontId="57" fillId="44" borderId="81" xfId="9" applyFont="1" applyFill="1" applyBorder="1" applyAlignment="1">
      <alignment horizontal="center" wrapText="1"/>
    </xf>
    <xf numFmtId="0" fontId="57" fillId="45" borderId="81" xfId="9" applyFont="1" applyFill="1" applyBorder="1" applyAlignment="1">
      <alignment horizontal="center" wrapText="1"/>
    </xf>
    <xf numFmtId="0" fontId="57" fillId="46" borderId="81" xfId="9" applyFont="1" applyFill="1" applyBorder="1" applyAlignment="1">
      <alignment horizontal="center" wrapText="1"/>
    </xf>
    <xf numFmtId="0" fontId="57" fillId="47" borderId="81" xfId="9" applyFont="1" applyFill="1" applyBorder="1" applyAlignment="1">
      <alignment horizontal="center" wrapText="1"/>
    </xf>
    <xf numFmtId="0" fontId="57" fillId="48" borderId="81" xfId="9" applyFont="1" applyFill="1" applyBorder="1" applyAlignment="1">
      <alignment horizontal="center" wrapText="1"/>
    </xf>
    <xf numFmtId="0" fontId="57" fillId="49" borderId="81" xfId="9" applyFont="1" applyFill="1" applyBorder="1" applyAlignment="1">
      <alignment horizontal="center" wrapText="1"/>
    </xf>
    <xf numFmtId="0" fontId="57" fillId="50" borderId="81" xfId="9" applyFont="1" applyFill="1" applyBorder="1" applyAlignment="1">
      <alignment horizontal="center" wrapText="1"/>
    </xf>
    <xf numFmtId="0" fontId="57" fillId="51" borderId="81" xfId="9" applyFont="1" applyFill="1" applyBorder="1" applyAlignment="1">
      <alignment horizontal="center" wrapText="1"/>
    </xf>
    <xf numFmtId="0" fontId="57" fillId="5" borderId="81" xfId="9" applyFont="1" applyFill="1" applyBorder="1" applyAlignment="1">
      <alignment horizontal="center" wrapText="1"/>
    </xf>
    <xf numFmtId="0" fontId="23" fillId="8" borderId="81" xfId="0" applyFont="1" applyFill="1" applyBorder="1" applyAlignment="1">
      <alignment horizontal="center"/>
    </xf>
    <xf numFmtId="0" fontId="57" fillId="44" borderId="1" xfId="9" applyFont="1" applyFill="1" applyBorder="1" applyAlignment="1">
      <alignment horizontal="center" wrapText="1"/>
    </xf>
    <xf numFmtId="0" fontId="57" fillId="44" borderId="18" xfId="9" applyFont="1" applyFill="1" applyBorder="1" applyAlignment="1">
      <alignment horizontal="center" wrapText="1"/>
    </xf>
    <xf numFmtId="0" fontId="57" fillId="45" borderId="18" xfId="9" applyFont="1" applyFill="1" applyBorder="1" applyAlignment="1">
      <alignment horizontal="center" wrapText="1"/>
    </xf>
    <xf numFmtId="0" fontId="57" fillId="46" borderId="18" xfId="9" applyFont="1" applyFill="1" applyBorder="1" applyAlignment="1">
      <alignment horizontal="center" wrapText="1"/>
    </xf>
    <xf numFmtId="0" fontId="57" fillId="47" borderId="18" xfId="9" applyFont="1" applyFill="1" applyBorder="1" applyAlignment="1">
      <alignment horizontal="center" wrapText="1"/>
    </xf>
    <xf numFmtId="0" fontId="57" fillId="48" borderId="18" xfId="9" applyFont="1" applyFill="1" applyBorder="1" applyAlignment="1">
      <alignment horizontal="center" wrapText="1"/>
    </xf>
    <xf numFmtId="0" fontId="57" fillId="49" borderId="18" xfId="9" applyFont="1" applyFill="1" applyBorder="1" applyAlignment="1">
      <alignment horizontal="center" wrapText="1"/>
    </xf>
    <xf numFmtId="0" fontId="57" fillId="50" borderId="18" xfId="9" applyFont="1" applyFill="1" applyBorder="1" applyAlignment="1">
      <alignment horizontal="center" wrapText="1"/>
    </xf>
    <xf numFmtId="0" fontId="57" fillId="51" borderId="18" xfId="9" applyFont="1" applyFill="1" applyBorder="1" applyAlignment="1">
      <alignment horizontal="center" wrapText="1"/>
    </xf>
    <xf numFmtId="0" fontId="57" fillId="5" borderId="18" xfId="9" applyFont="1" applyFill="1" applyBorder="1" applyAlignment="1">
      <alignment horizontal="center" vertical="center" wrapText="1"/>
    </xf>
    <xf numFmtId="0" fontId="57" fillId="5" borderId="97" xfId="9" applyFont="1" applyFill="1" applyBorder="1" applyAlignment="1">
      <alignment horizontal="center" wrapText="1"/>
    </xf>
    <xf numFmtId="0" fontId="57" fillId="50" borderId="5" xfId="9" applyFont="1" applyFill="1" applyBorder="1" applyAlignment="1">
      <alignment horizontal="center" wrapText="1"/>
    </xf>
    <xf numFmtId="167" fontId="23" fillId="78" borderId="175" xfId="8" applyNumberFormat="1" applyFont="1" applyFill="1" applyBorder="1" applyAlignment="1">
      <alignment horizontal="center"/>
    </xf>
    <xf numFmtId="167" fontId="23" fillId="78" borderId="176" xfId="8" applyNumberFormat="1" applyFont="1" applyFill="1" applyBorder="1" applyAlignment="1">
      <alignment horizontal="center"/>
    </xf>
    <xf numFmtId="167" fontId="23" fillId="78" borderId="76" xfId="8" applyNumberFormat="1" applyFont="1" applyFill="1" applyBorder="1" applyAlignment="1">
      <alignment horizontal="center"/>
    </xf>
    <xf numFmtId="167" fontId="23" fillId="78" borderId="177" xfId="8" applyNumberFormat="1" applyFont="1" applyFill="1" applyBorder="1" applyAlignment="1">
      <alignment horizontal="center"/>
    </xf>
    <xf numFmtId="167" fontId="23" fillId="78" borderId="178" xfId="8" applyNumberFormat="1" applyFont="1" applyFill="1" applyBorder="1" applyAlignment="1">
      <alignment horizontal="center"/>
    </xf>
    <xf numFmtId="167" fontId="23" fillId="0" borderId="177" xfId="8" applyNumberFormat="1" applyFont="1" applyFill="1" applyBorder="1" applyAlignment="1">
      <alignment horizontal="center"/>
    </xf>
    <xf numFmtId="167" fontId="23" fillId="0" borderId="178" xfId="8" applyNumberFormat="1" applyFont="1" applyFill="1" applyBorder="1" applyAlignment="1">
      <alignment horizontal="center"/>
    </xf>
    <xf numFmtId="167" fontId="3" fillId="78" borderId="177" xfId="8" applyNumberFormat="1" applyFont="1" applyFill="1" applyBorder="1" applyAlignment="1">
      <alignment horizontal="center"/>
    </xf>
    <xf numFmtId="167" fontId="3" fillId="0" borderId="177" xfId="8" applyNumberFormat="1" applyFont="1" applyFill="1" applyBorder="1" applyAlignment="1">
      <alignment horizontal="center"/>
    </xf>
    <xf numFmtId="167" fontId="23" fillId="78" borderId="177" xfId="8" applyNumberFormat="1" applyFont="1" applyFill="1" applyBorder="1" applyAlignment="1">
      <alignment horizontal="center" vertical="center"/>
    </xf>
    <xf numFmtId="167" fontId="23" fillId="78" borderId="178" xfId="8" applyNumberFormat="1" applyFont="1" applyFill="1" applyBorder="1" applyAlignment="1">
      <alignment horizontal="center" vertical="center"/>
    </xf>
    <xf numFmtId="167" fontId="23" fillId="78" borderId="179" xfId="8" applyNumberFormat="1" applyFont="1" applyFill="1" applyBorder="1" applyAlignment="1">
      <alignment horizontal="center" vertical="center"/>
    </xf>
    <xf numFmtId="167" fontId="8" fillId="78" borderId="179" xfId="8" applyNumberFormat="1" applyFont="1" applyFill="1" applyBorder="1" applyAlignment="1">
      <alignment horizontal="center"/>
    </xf>
    <xf numFmtId="167" fontId="8" fillId="78" borderId="177" xfId="8" applyNumberFormat="1" applyFont="1" applyFill="1" applyBorder="1" applyAlignment="1">
      <alignment horizontal="center"/>
    </xf>
    <xf numFmtId="0" fontId="23" fillId="8" borderId="162" xfId="0" applyFont="1" applyFill="1" applyBorder="1" applyAlignment="1">
      <alignment horizontal="center"/>
    </xf>
    <xf numFmtId="0" fontId="24" fillId="8" borderId="140" xfId="0" applyFont="1" applyFill="1" applyBorder="1" applyAlignment="1">
      <alignment horizontal="center" wrapText="1"/>
    </xf>
    <xf numFmtId="0" fontId="23" fillId="8" borderId="140" xfId="0" applyFont="1" applyFill="1" applyBorder="1" applyAlignment="1">
      <alignment horizontal="center"/>
    </xf>
    <xf numFmtId="0" fontId="3" fillId="0" borderId="140" xfId="0" applyFont="1" applyBorder="1"/>
    <xf numFmtId="0" fontId="23" fillId="8" borderId="173" xfId="0" applyFont="1" applyFill="1" applyBorder="1" applyAlignment="1">
      <alignment horizontal="center"/>
    </xf>
    <xf numFmtId="0" fontId="24" fillId="0" borderId="140" xfId="0" applyFont="1" applyFill="1" applyBorder="1" applyAlignment="1">
      <alignment horizontal="left" wrapText="1"/>
    </xf>
    <xf numFmtId="0" fontId="24" fillId="5" borderId="140" xfId="0" applyFont="1" applyFill="1" applyBorder="1" applyAlignment="1">
      <alignment horizontal="left" wrapText="1"/>
    </xf>
    <xf numFmtId="0" fontId="24" fillId="5" borderId="173" xfId="0" applyFont="1" applyFill="1" applyBorder="1" applyAlignment="1">
      <alignment horizontal="left" wrapText="1"/>
    </xf>
    <xf numFmtId="0" fontId="23" fillId="8" borderId="174" xfId="0" applyFont="1" applyFill="1" applyBorder="1" applyAlignment="1">
      <alignment horizontal="center"/>
    </xf>
    <xf numFmtId="0" fontId="24" fillId="8" borderId="183" xfId="0" applyFont="1" applyFill="1" applyBorder="1" applyAlignment="1">
      <alignment horizontal="center" wrapText="1"/>
    </xf>
    <xf numFmtId="0" fontId="3" fillId="8" borderId="140" xfId="0" applyFont="1" applyFill="1" applyBorder="1" applyAlignment="1">
      <alignment horizontal="center" wrapText="1"/>
    </xf>
    <xf numFmtId="0" fontId="23" fillId="0" borderId="174" xfId="0" applyFont="1" applyBorder="1" applyAlignment="1">
      <alignment horizontal="center"/>
    </xf>
    <xf numFmtId="0" fontId="23" fillId="0" borderId="173" xfId="0" applyFont="1" applyBorder="1" applyAlignment="1">
      <alignment horizontal="center"/>
    </xf>
    <xf numFmtId="0" fontId="24" fillId="78" borderId="182" xfId="0" applyFont="1" applyFill="1" applyBorder="1" applyAlignment="1">
      <alignment horizontal="center" vertical="center" wrapText="1"/>
    </xf>
    <xf numFmtId="0" fontId="0" fillId="0" borderId="0" xfId="0" applyAlignment="1">
      <alignment wrapText="1"/>
    </xf>
    <xf numFmtId="0" fontId="11" fillId="3" borderId="10" xfId="1" applyFont="1" applyFill="1" applyBorder="1" applyAlignment="1">
      <alignment horizontal="center" vertical="center"/>
    </xf>
    <xf numFmtId="0" fontId="93" fillId="3" borderId="11" xfId="1" applyFont="1" applyFill="1" applyBorder="1" applyAlignment="1">
      <alignment horizontal="left" vertical="center"/>
    </xf>
    <xf numFmtId="2" fontId="4" fillId="10" borderId="5" xfId="0" applyNumberFormat="1" applyFont="1" applyFill="1" applyBorder="1" applyAlignment="1">
      <alignment horizontal="center" vertical="center"/>
    </xf>
    <xf numFmtId="0" fontId="24" fillId="8" borderId="23" xfId="0" applyFont="1" applyFill="1" applyBorder="1" applyAlignment="1">
      <alignment horizontal="left"/>
    </xf>
    <xf numFmtId="0" fontId="24" fillId="8" borderId="152" xfId="0" applyFont="1" applyFill="1" applyBorder="1" applyAlignment="1">
      <alignment horizontal="left"/>
    </xf>
    <xf numFmtId="0" fontId="3" fillId="8" borderId="19" xfId="0" applyFont="1" applyFill="1" applyBorder="1" applyAlignment="1">
      <alignment horizontal="center"/>
    </xf>
    <xf numFmtId="0" fontId="24" fillId="8" borderId="140" xfId="0" applyFont="1" applyFill="1" applyBorder="1" applyAlignment="1">
      <alignment horizontal="left"/>
    </xf>
    <xf numFmtId="0" fontId="24" fillId="8" borderId="161" xfId="0" applyFont="1" applyFill="1" applyBorder="1" applyAlignment="1">
      <alignment horizontal="left"/>
    </xf>
    <xf numFmtId="0" fontId="24" fillId="8" borderId="140" xfId="0" applyFont="1" applyFill="1" applyBorder="1" applyAlignment="1">
      <alignment horizontal="center"/>
    </xf>
    <xf numFmtId="0" fontId="24" fillId="0" borderId="0" xfId="0" applyFont="1" applyBorder="1" applyAlignment="1"/>
    <xf numFmtId="0" fontId="24" fillId="8" borderId="162" xfId="0" applyFont="1" applyFill="1" applyBorder="1" applyAlignment="1">
      <alignment horizontal="left"/>
    </xf>
    <xf numFmtId="0" fontId="24" fillId="8" borderId="164" xfId="0" applyFont="1" applyFill="1" applyBorder="1" applyAlignment="1">
      <alignment horizontal="left"/>
    </xf>
    <xf numFmtId="0" fontId="24" fillId="8" borderId="162" xfId="0" applyFont="1" applyFill="1" applyBorder="1" applyAlignment="1">
      <alignment horizontal="center"/>
    </xf>
    <xf numFmtId="0" fontId="24" fillId="8" borderId="19" xfId="0" applyFont="1" applyFill="1" applyBorder="1" applyAlignment="1">
      <alignment horizontal="left"/>
    </xf>
    <xf numFmtId="0" fontId="24" fillId="0" borderId="51" xfId="0" applyFont="1" applyBorder="1" applyAlignment="1">
      <alignment horizontal="left"/>
    </xf>
    <xf numFmtId="0" fontId="24" fillId="8" borderId="67" xfId="0" applyFont="1" applyFill="1" applyBorder="1" applyAlignment="1">
      <alignment horizontal="center"/>
    </xf>
    <xf numFmtId="0" fontId="24" fillId="8" borderId="175" xfId="0" applyFont="1" applyFill="1" applyBorder="1" applyAlignment="1">
      <alignment horizontal="left"/>
    </xf>
    <xf numFmtId="0" fontId="24" fillId="8" borderId="166" xfId="0" applyFont="1" applyFill="1" applyBorder="1" applyAlignment="1">
      <alignment horizontal="center"/>
    </xf>
    <xf numFmtId="1" fontId="57" fillId="5" borderId="117" xfId="9" applyNumberFormat="1" applyFont="1" applyFill="1" applyBorder="1" applyAlignment="1">
      <alignment horizontal="center"/>
    </xf>
    <xf numFmtId="0" fontId="57" fillId="5" borderId="155" xfId="9" applyFont="1" applyFill="1" applyBorder="1" applyAlignment="1"/>
    <xf numFmtId="0" fontId="23" fillId="8" borderId="175" xfId="0" applyFont="1" applyFill="1" applyBorder="1" applyAlignment="1">
      <alignment horizontal="left"/>
    </xf>
    <xf numFmtId="0" fontId="3" fillId="0" borderId="140" xfId="0" applyFont="1" applyBorder="1" applyAlignment="1"/>
    <xf numFmtId="1" fontId="3" fillId="5" borderId="157" xfId="9" applyNumberFormat="1" applyFont="1" applyFill="1" applyBorder="1" applyAlignment="1">
      <alignment horizontal="center"/>
    </xf>
    <xf numFmtId="0" fontId="3" fillId="0" borderId="155" xfId="0" applyFont="1" applyBorder="1" applyAlignment="1"/>
    <xf numFmtId="0" fontId="3" fillId="0" borderId="162" xfId="0" applyFont="1" applyBorder="1" applyAlignment="1"/>
    <xf numFmtId="0" fontId="3" fillId="8" borderId="167" xfId="0" applyFont="1" applyFill="1" applyBorder="1" applyAlignment="1">
      <alignment horizontal="left"/>
    </xf>
    <xf numFmtId="0" fontId="24" fillId="0" borderId="19" xfId="0" applyFont="1" applyFill="1" applyBorder="1" applyAlignment="1">
      <alignment horizontal="left"/>
    </xf>
    <xf numFmtId="0" fontId="24" fillId="0" borderId="51" xfId="0" applyFont="1" applyFill="1" applyBorder="1" applyAlignment="1">
      <alignment horizontal="left"/>
    </xf>
    <xf numFmtId="0" fontId="24" fillId="8" borderId="47" xfId="0" applyFont="1" applyFill="1" applyBorder="1" applyAlignment="1">
      <alignment horizontal="center"/>
    </xf>
    <xf numFmtId="0" fontId="24" fillId="0" borderId="140" xfId="0" applyFont="1" applyFill="1" applyBorder="1" applyAlignment="1">
      <alignment horizontal="left"/>
    </xf>
    <xf numFmtId="0" fontId="24" fillId="0" borderId="175" xfId="0" applyFont="1" applyFill="1" applyBorder="1" applyAlignment="1">
      <alignment horizontal="left"/>
    </xf>
    <xf numFmtId="0" fontId="24" fillId="0" borderId="166" xfId="0" applyFont="1" applyFill="1" applyBorder="1" applyAlignment="1">
      <alignment horizontal="center"/>
    </xf>
    <xf numFmtId="0" fontId="24" fillId="5" borderId="140" xfId="0" applyFont="1" applyFill="1" applyBorder="1" applyAlignment="1">
      <alignment horizontal="left"/>
    </xf>
    <xf numFmtId="0" fontId="24" fillId="5" borderId="175" xfId="0" applyFont="1" applyFill="1" applyBorder="1" applyAlignment="1">
      <alignment horizontal="left"/>
    </xf>
    <xf numFmtId="0" fontId="24" fillId="5" borderId="173" xfId="0" applyFont="1" applyFill="1" applyBorder="1" applyAlignment="1">
      <alignment horizontal="left"/>
    </xf>
    <xf numFmtId="0" fontId="24" fillId="5" borderId="124" xfId="0" applyFont="1" applyFill="1" applyBorder="1" applyAlignment="1">
      <alignment horizontal="left"/>
    </xf>
    <xf numFmtId="0" fontId="24" fillId="8" borderId="183" xfId="0" applyFont="1" applyFill="1" applyBorder="1" applyAlignment="1">
      <alignment horizontal="center"/>
    </xf>
    <xf numFmtId="0" fontId="24" fillId="8" borderId="72" xfId="0" applyFont="1" applyFill="1" applyBorder="1" applyAlignment="1">
      <alignment horizontal="left"/>
    </xf>
    <xf numFmtId="0" fontId="24" fillId="8" borderId="79" xfId="0" applyFont="1" applyFill="1" applyBorder="1" applyAlignment="1">
      <alignment horizontal="left"/>
    </xf>
    <xf numFmtId="0" fontId="24" fillId="8" borderId="19" xfId="0" applyFont="1" applyFill="1" applyBorder="1" applyAlignment="1">
      <alignment horizontal="center"/>
    </xf>
    <xf numFmtId="0" fontId="3" fillId="8" borderId="140" xfId="0" applyFont="1" applyFill="1" applyBorder="1" applyAlignment="1">
      <alignment horizontal="center"/>
    </xf>
    <xf numFmtId="0" fontId="24" fillId="0" borderId="161" xfId="0" applyFont="1" applyBorder="1" applyAlignment="1">
      <alignment horizontal="left"/>
    </xf>
    <xf numFmtId="0" fontId="23" fillId="8" borderId="161" xfId="0" applyFont="1" applyFill="1" applyBorder="1" applyAlignment="1">
      <alignment horizontal="left"/>
    </xf>
    <xf numFmtId="0" fontId="0" fillId="0" borderId="161" xfId="0" applyBorder="1" applyAlignment="1"/>
    <xf numFmtId="0" fontId="23" fillId="0" borderId="3" xfId="0" applyFont="1" applyBorder="1" applyAlignment="1"/>
    <xf numFmtId="0" fontId="23" fillId="0" borderId="27" xfId="0" applyFont="1" applyBorder="1" applyAlignment="1"/>
    <xf numFmtId="0" fontId="23" fillId="8" borderId="152" xfId="0" applyFont="1" applyFill="1" applyBorder="1" applyAlignment="1">
      <alignment horizontal="left" vertical="center"/>
    </xf>
    <xf numFmtId="0" fontId="24" fillId="8" borderId="48" xfId="0" applyFont="1" applyFill="1" applyBorder="1" applyAlignment="1">
      <alignment horizontal="left"/>
    </xf>
    <xf numFmtId="0" fontId="23" fillId="8" borderId="0" xfId="0" applyFont="1" applyFill="1" applyBorder="1" applyAlignment="1">
      <alignment horizontal="center"/>
    </xf>
    <xf numFmtId="0" fontId="64" fillId="10" borderId="26" xfId="9" applyFont="1" applyFill="1" applyBorder="1" applyAlignment="1">
      <alignment horizontal="center" vertical="center" wrapText="1"/>
    </xf>
    <xf numFmtId="0" fontId="23" fillId="11" borderId="26" xfId="0" applyFont="1" applyFill="1" applyBorder="1" applyAlignment="1">
      <alignment horizontal="center"/>
    </xf>
    <xf numFmtId="0" fontId="58" fillId="11" borderId="0" xfId="0" applyFont="1" applyFill="1" applyBorder="1" applyAlignment="1">
      <alignment horizontal="center"/>
    </xf>
    <xf numFmtId="0" fontId="10" fillId="10" borderId="84" xfId="1" applyFont="1" applyFill="1" applyBorder="1" applyAlignment="1">
      <alignment horizontal="center" vertical="center" wrapText="1"/>
    </xf>
    <xf numFmtId="0" fontId="10" fillId="10" borderId="85" xfId="1" applyFont="1" applyFill="1" applyBorder="1" applyAlignment="1">
      <alignment horizontal="center" vertical="center" wrapText="1"/>
    </xf>
    <xf numFmtId="0" fontId="4" fillId="10" borderId="6" xfId="0" applyFont="1" applyFill="1" applyBorder="1" applyAlignment="1">
      <alignment horizontal="center" vertical="center" wrapText="1"/>
    </xf>
    <xf numFmtId="0" fontId="10" fillId="10" borderId="85" xfId="1" quotePrefix="1" applyFont="1" applyFill="1" applyBorder="1" applyAlignment="1">
      <alignment horizontal="center" vertical="center" wrapText="1"/>
    </xf>
    <xf numFmtId="164" fontId="2" fillId="4" borderId="12" xfId="0" applyNumberFormat="1" applyFont="1" applyFill="1" applyBorder="1" applyAlignment="1">
      <alignment horizontal="center" vertical="center" wrapText="1"/>
    </xf>
    <xf numFmtId="0" fontId="37" fillId="12" borderId="26" xfId="0" applyFont="1" applyFill="1" applyBorder="1" applyAlignment="1">
      <alignment horizontal="center" vertical="top"/>
    </xf>
    <xf numFmtId="0" fontId="37" fillId="12" borderId="26" xfId="0" applyFont="1" applyFill="1" applyBorder="1" applyAlignment="1">
      <alignment vertical="top"/>
    </xf>
    <xf numFmtId="0" fontId="56" fillId="10" borderId="18" xfId="9" applyFont="1" applyFill="1" applyBorder="1" applyAlignment="1">
      <alignment vertical="center"/>
    </xf>
    <xf numFmtId="0" fontId="0" fillId="0" borderId="0" xfId="0" applyAlignment="1">
      <alignment horizontal="center"/>
    </xf>
    <xf numFmtId="0" fontId="0" fillId="0" borderId="0" xfId="0" applyAlignment="1">
      <alignment horizontal="center"/>
    </xf>
    <xf numFmtId="0" fontId="67" fillId="0" borderId="157" xfId="0" applyFont="1" applyFill="1" applyBorder="1" applyAlignment="1">
      <alignment horizontal="justify" vertical="center"/>
    </xf>
    <xf numFmtId="0" fontId="104" fillId="0" borderId="157" xfId="0" applyFont="1" applyBorder="1" applyAlignment="1">
      <alignment vertical="center"/>
    </xf>
    <xf numFmtId="0" fontId="33" fillId="0" borderId="157" xfId="0" applyFont="1" applyFill="1" applyBorder="1" applyAlignment="1">
      <alignment horizontal="center" vertical="center" wrapText="1"/>
    </xf>
    <xf numFmtId="0" fontId="104" fillId="0" borderId="163" xfId="0" applyFont="1" applyBorder="1" applyAlignment="1">
      <alignment vertical="center"/>
    </xf>
    <xf numFmtId="0" fontId="67" fillId="0" borderId="174" xfId="0" applyFont="1" applyFill="1" applyBorder="1" applyAlignment="1">
      <alignment horizontal="justify" vertical="center"/>
    </xf>
    <xf numFmtId="0" fontId="104" fillId="0" borderId="174" xfId="0" applyFont="1" applyBorder="1" applyAlignment="1">
      <alignment vertical="center"/>
    </xf>
    <xf numFmtId="0" fontId="33" fillId="0" borderId="174" xfId="0" applyFont="1" applyFill="1" applyBorder="1" applyAlignment="1">
      <alignment horizontal="center" vertical="center" wrapText="1"/>
    </xf>
    <xf numFmtId="0" fontId="67" fillId="0" borderId="69" xfId="0" applyFont="1" applyFill="1" applyBorder="1" applyAlignment="1">
      <alignment horizontal="justify" vertical="center"/>
    </xf>
    <xf numFmtId="0" fontId="104" fillId="0" borderId="69" xfId="0" applyFont="1" applyBorder="1" applyAlignment="1">
      <alignment vertical="center"/>
    </xf>
    <xf numFmtId="0" fontId="33" fillId="0" borderId="69" xfId="0" applyFont="1" applyFill="1" applyBorder="1" applyAlignment="1">
      <alignment horizontal="center" vertical="center" wrapText="1"/>
    </xf>
    <xf numFmtId="0" fontId="67" fillId="0" borderId="157" xfId="0" applyFont="1" applyFill="1" applyBorder="1" applyAlignment="1">
      <alignment horizontal="left" vertical="center"/>
    </xf>
    <xf numFmtId="0" fontId="67" fillId="0" borderId="163" xfId="0" applyFont="1" applyFill="1" applyBorder="1" applyAlignment="1">
      <alignment horizontal="left" vertical="center"/>
    </xf>
    <xf numFmtId="0" fontId="67" fillId="0" borderId="174" xfId="0" applyFont="1" applyFill="1" applyBorder="1" applyAlignment="1">
      <alignment horizontal="left" vertical="center"/>
    </xf>
    <xf numFmtId="0" fontId="0" fillId="0" borderId="0" xfId="0" applyAlignment="1">
      <alignment horizontal="center"/>
    </xf>
    <xf numFmtId="0" fontId="34" fillId="3" borderId="9" xfId="0" applyFont="1" applyFill="1" applyBorder="1" applyAlignment="1">
      <alignment horizontal="left" vertical="center"/>
    </xf>
    <xf numFmtId="0" fontId="0" fillId="0" borderId="0" xfId="0" applyAlignment="1">
      <alignment horizontal="center"/>
    </xf>
    <xf numFmtId="0" fontId="67" fillId="0" borderId="0" xfId="0" applyFont="1" applyFill="1" applyBorder="1" applyAlignment="1">
      <alignment horizontal="justify" vertical="center"/>
    </xf>
    <xf numFmtId="0" fontId="104" fillId="0" borderId="0" xfId="0" applyFont="1" applyBorder="1" applyAlignment="1">
      <alignment vertical="center"/>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xf>
    <xf numFmtId="0" fontId="41" fillId="0" borderId="0" xfId="0" applyFont="1" applyAlignment="1">
      <alignment horizontal="center" wrapText="1"/>
    </xf>
    <xf numFmtId="0" fontId="3" fillId="0" borderId="0" xfId="0" applyFont="1" applyAlignment="1">
      <alignment horizontal="center"/>
    </xf>
    <xf numFmtId="0" fontId="114" fillId="80" borderId="1" xfId="0" applyFont="1" applyFill="1" applyBorder="1" applyAlignment="1"/>
    <xf numFmtId="0" fontId="114" fillId="80" borderId="2" xfId="0" applyFont="1" applyFill="1" applyBorder="1" applyAlignment="1"/>
    <xf numFmtId="0" fontId="114" fillId="80" borderId="5" xfId="0" applyFont="1" applyFill="1" applyBorder="1" applyAlignment="1">
      <alignment horizontal="center"/>
    </xf>
    <xf numFmtId="0" fontId="0" fillId="80" borderId="6" xfId="0" applyFill="1" applyBorder="1"/>
    <xf numFmtId="0" fontId="15" fillId="3" borderId="10" xfId="1" applyFont="1" applyFill="1" applyBorder="1" applyAlignment="1">
      <alignment vertical="center"/>
    </xf>
    <xf numFmtId="0" fontId="0" fillId="0" borderId="157" xfId="0" applyBorder="1"/>
    <xf numFmtId="0" fontId="121" fillId="0" borderId="174" xfId="0" applyFont="1" applyBorder="1" applyAlignment="1">
      <alignment horizontal="left" vertical="center"/>
    </xf>
    <xf numFmtId="0" fontId="121" fillId="0" borderId="69" xfId="0" applyFont="1" applyBorder="1" applyAlignment="1">
      <alignment horizontal="left" vertical="center"/>
    </xf>
    <xf numFmtId="0" fontId="122" fillId="0" borderId="0" xfId="0" applyFont="1" applyBorder="1" applyAlignment="1">
      <alignment vertical="center"/>
    </xf>
    <xf numFmtId="0" fontId="121" fillId="0" borderId="57" xfId="0" applyFont="1" applyBorder="1" applyAlignment="1">
      <alignment horizontal="left" vertical="center"/>
    </xf>
    <xf numFmtId="0" fontId="121" fillId="0" borderId="147" xfId="0" applyFont="1" applyBorder="1" applyAlignment="1">
      <alignment horizontal="left" vertical="center"/>
    </xf>
    <xf numFmtId="0" fontId="115" fillId="0" borderId="57" xfId="0" applyFont="1" applyBorder="1" applyAlignment="1">
      <alignment horizontal="center" vertical="center"/>
    </xf>
    <xf numFmtId="0" fontId="115" fillId="0" borderId="51" xfId="0" applyFont="1" applyBorder="1" applyAlignment="1">
      <alignment horizontal="center" vertical="center"/>
    </xf>
    <xf numFmtId="0" fontId="115" fillId="0" borderId="175" xfId="0" applyFont="1" applyBorder="1" applyAlignment="1">
      <alignment horizontal="center" vertical="center"/>
    </xf>
    <xf numFmtId="0" fontId="123" fillId="0" borderId="174" xfId="0" applyFont="1" applyBorder="1" applyAlignment="1">
      <alignment horizontal="left" vertical="center"/>
    </xf>
    <xf numFmtId="0" fontId="115" fillId="0" borderId="174" xfId="0" applyFont="1" applyBorder="1" applyAlignment="1">
      <alignment horizontal="center" vertical="center"/>
    </xf>
    <xf numFmtId="0" fontId="123" fillId="0" borderId="69" xfId="0" applyFont="1" applyBorder="1" applyAlignment="1">
      <alignment horizontal="left" vertical="center"/>
    </xf>
    <xf numFmtId="0" fontId="115" fillId="0" borderId="69" xfId="0" applyFont="1" applyBorder="1" applyAlignment="1">
      <alignment horizontal="center" vertical="center"/>
    </xf>
    <xf numFmtId="0" fontId="115" fillId="0" borderId="73" xfId="0" applyFont="1" applyBorder="1" applyAlignment="1">
      <alignment horizontal="center" vertical="center"/>
    </xf>
    <xf numFmtId="0" fontId="115" fillId="0" borderId="140" xfId="0" applyFont="1" applyBorder="1" applyAlignment="1">
      <alignment horizontal="left" vertical="center"/>
    </xf>
    <xf numFmtId="0" fontId="123" fillId="0" borderId="57" xfId="0" applyFont="1" applyBorder="1" applyAlignment="1">
      <alignment horizontal="left" vertical="center"/>
    </xf>
    <xf numFmtId="0" fontId="115" fillId="0" borderId="142" xfId="0" applyFont="1" applyBorder="1" applyAlignment="1">
      <alignment horizontal="center" vertical="center"/>
    </xf>
    <xf numFmtId="0" fontId="115" fillId="0" borderId="150" xfId="0" applyFont="1" applyBorder="1" applyAlignment="1">
      <alignment horizontal="center" vertical="center"/>
    </xf>
    <xf numFmtId="0" fontId="123" fillId="0" borderId="147" xfId="0" applyFont="1" applyBorder="1" applyAlignment="1">
      <alignment horizontal="left" vertical="center"/>
    </xf>
    <xf numFmtId="0" fontId="115" fillId="0" borderId="147" xfId="0" applyFont="1" applyBorder="1" applyAlignment="1">
      <alignment horizontal="center" vertical="center"/>
    </xf>
    <xf numFmtId="0" fontId="115" fillId="0" borderId="155" xfId="0" applyFont="1" applyBorder="1" applyAlignment="1">
      <alignment horizontal="center" vertical="center"/>
    </xf>
    <xf numFmtId="0" fontId="124" fillId="0" borderId="57" xfId="0" applyFont="1" applyBorder="1" applyAlignment="1">
      <alignment horizontal="center" vertical="center"/>
    </xf>
    <xf numFmtId="0" fontId="124" fillId="0" borderId="174" xfId="0" applyFont="1" applyBorder="1" applyAlignment="1">
      <alignment horizontal="left" vertical="center"/>
    </xf>
    <xf numFmtId="10" fontId="3" fillId="78" borderId="16" xfId="0" applyNumberFormat="1" applyFont="1" applyFill="1" applyBorder="1" applyAlignment="1">
      <alignment horizontal="center"/>
    </xf>
    <xf numFmtId="10" fontId="24" fillId="78" borderId="182" xfId="0" applyNumberFormat="1" applyFont="1" applyFill="1" applyBorder="1" applyAlignment="1">
      <alignment horizontal="center"/>
    </xf>
    <xf numFmtId="10" fontId="24" fillId="78" borderId="16" xfId="0" applyNumberFormat="1" applyFont="1" applyFill="1" applyBorder="1" applyAlignment="1">
      <alignment horizontal="center"/>
    </xf>
    <xf numFmtId="10" fontId="23" fillId="78" borderId="182" xfId="0" applyNumberFormat="1" applyFont="1" applyFill="1" applyBorder="1" applyAlignment="1">
      <alignment horizontal="center"/>
    </xf>
    <xf numFmtId="10" fontId="24" fillId="78" borderId="17" xfId="0" applyNumberFormat="1" applyFont="1" applyFill="1" applyBorder="1" applyAlignment="1">
      <alignment horizontal="center"/>
    </xf>
    <xf numFmtId="10" fontId="24" fillId="78" borderId="97" xfId="0" applyNumberFormat="1" applyFont="1" applyFill="1" applyBorder="1" applyAlignment="1">
      <alignment horizontal="center"/>
    </xf>
    <xf numFmtId="10" fontId="3" fillId="78" borderId="182" xfId="0" applyNumberFormat="1" applyFont="1" applyFill="1" applyBorder="1" applyAlignment="1">
      <alignment horizontal="center"/>
    </xf>
    <xf numFmtId="10" fontId="23" fillId="78" borderId="182" xfId="0" applyNumberFormat="1" applyFont="1" applyFill="1" applyBorder="1" applyAlignment="1">
      <alignment horizontal="center" vertical="center"/>
    </xf>
    <xf numFmtId="10" fontId="23" fillId="78" borderId="17" xfId="0" applyNumberFormat="1" applyFont="1" applyFill="1" applyBorder="1" applyAlignment="1">
      <alignment horizontal="center"/>
    </xf>
    <xf numFmtId="10" fontId="24" fillId="78" borderId="182" xfId="0" applyNumberFormat="1" applyFont="1" applyFill="1" applyBorder="1" applyAlignment="1">
      <alignment horizontal="center" vertical="center"/>
    </xf>
    <xf numFmtId="10" fontId="23" fillId="78" borderId="16" xfId="0" applyNumberFormat="1" applyFont="1" applyFill="1" applyBorder="1" applyAlignment="1">
      <alignment horizontal="center"/>
    </xf>
    <xf numFmtId="10" fontId="23" fillId="78" borderId="187" xfId="0" applyNumberFormat="1" applyFont="1" applyFill="1" applyBorder="1" applyAlignment="1">
      <alignment horizontal="center"/>
    </xf>
    <xf numFmtId="10" fontId="23" fillId="78" borderId="9" xfId="0" applyNumberFormat="1" applyFont="1" applyFill="1" applyBorder="1" applyAlignment="1">
      <alignment horizontal="center"/>
    </xf>
    <xf numFmtId="0" fontId="0" fillId="0" borderId="157" xfId="0" applyBorder="1" applyAlignment="1">
      <alignment horizontal="center"/>
    </xf>
    <xf numFmtId="10" fontId="0" fillId="0" borderId="157" xfId="0" applyNumberFormat="1" applyBorder="1" applyAlignment="1">
      <alignment horizontal="center" vertical="center"/>
    </xf>
    <xf numFmtId="0" fontId="115" fillId="0" borderId="188" xfId="0" applyFont="1" applyBorder="1" applyAlignment="1">
      <alignment horizontal="center" vertical="center"/>
    </xf>
    <xf numFmtId="0" fontId="124" fillId="0" borderId="174" xfId="0" applyFont="1" applyBorder="1" applyAlignment="1">
      <alignment horizontal="center" vertical="center"/>
    </xf>
    <xf numFmtId="0" fontId="124" fillId="0" borderId="188" xfId="0" applyFont="1" applyBorder="1" applyAlignment="1">
      <alignment horizontal="center" vertical="center"/>
    </xf>
    <xf numFmtId="0" fontId="115" fillId="0" borderId="176" xfId="0" applyFont="1" applyBorder="1" applyAlignment="1">
      <alignment horizontal="center" vertical="center"/>
    </xf>
    <xf numFmtId="0" fontId="123" fillId="0" borderId="188" xfId="0" applyFont="1" applyBorder="1" applyAlignment="1">
      <alignment horizontal="left" vertical="center"/>
    </xf>
    <xf numFmtId="0" fontId="124" fillId="0" borderId="69" xfId="0" applyFont="1" applyBorder="1" applyAlignment="1">
      <alignment horizontal="center" vertical="center"/>
    </xf>
    <xf numFmtId="0" fontId="75" fillId="80" borderId="3" xfId="0" applyFont="1" applyFill="1" applyBorder="1" applyAlignment="1">
      <alignment horizontal="center" textRotation="90"/>
    </xf>
    <xf numFmtId="0" fontId="124" fillId="0" borderId="147" xfId="0" applyFont="1" applyBorder="1" applyAlignment="1">
      <alignment horizontal="center" vertical="center"/>
    </xf>
    <xf numFmtId="0" fontId="121" fillId="0" borderId="188" xfId="0" applyFont="1" applyBorder="1" applyAlignment="1">
      <alignment horizontal="left" vertical="center"/>
    </xf>
    <xf numFmtId="0" fontId="122" fillId="0" borderId="57" xfId="0" applyFont="1" applyFill="1" applyBorder="1" applyAlignment="1">
      <alignment horizontal="left" vertical="center"/>
    </xf>
    <xf numFmtId="0" fontId="125" fillId="0" borderId="57" xfId="0" applyFont="1" applyBorder="1" applyAlignment="1">
      <alignment vertical="center"/>
    </xf>
    <xf numFmtId="0" fontId="86" fillId="0" borderId="175" xfId="0" applyFont="1" applyBorder="1" applyAlignment="1">
      <alignment vertical="center"/>
    </xf>
    <xf numFmtId="0" fontId="86" fillId="0" borderId="175" xfId="0" applyFont="1" applyBorder="1" applyAlignment="1">
      <alignment horizontal="center" vertical="center" wrapText="1"/>
    </xf>
    <xf numFmtId="0" fontId="59" fillId="0" borderId="0" xfId="0" applyFont="1" applyBorder="1" applyAlignment="1">
      <alignment horizontal="center"/>
    </xf>
    <xf numFmtId="0" fontId="86" fillId="0" borderId="188" xfId="0" applyFont="1" applyBorder="1" applyAlignment="1">
      <alignment vertical="center"/>
    </xf>
    <xf numFmtId="0" fontId="86" fillId="0" borderId="176" xfId="0" applyFont="1" applyBorder="1" applyAlignment="1">
      <alignment vertical="center"/>
    </xf>
    <xf numFmtId="0" fontId="122" fillId="0" borderId="188" xfId="0" applyFont="1" applyFill="1" applyBorder="1" applyAlignment="1">
      <alignment horizontal="justify" vertical="center"/>
    </xf>
    <xf numFmtId="0" fontId="125" fillId="0" borderId="188" xfId="0" applyFont="1" applyBorder="1" applyAlignment="1">
      <alignment vertical="center"/>
    </xf>
    <xf numFmtId="0" fontId="115" fillId="0" borderId="175" xfId="0" applyFont="1" applyBorder="1" applyAlignment="1">
      <alignment vertical="center"/>
    </xf>
    <xf numFmtId="0" fontId="86" fillId="0" borderId="150" xfId="0" applyFont="1" applyBorder="1" applyAlignment="1">
      <alignment vertical="center"/>
    </xf>
    <xf numFmtId="0" fontId="86" fillId="0" borderId="73" xfId="0" applyFont="1" applyBorder="1" applyAlignment="1">
      <alignment vertical="center" wrapText="1"/>
    </xf>
    <xf numFmtId="0" fontId="86" fillId="0" borderId="51" xfId="0" applyFont="1" applyBorder="1" applyAlignment="1">
      <alignment vertical="center"/>
    </xf>
    <xf numFmtId="0" fontId="86" fillId="0" borderId="175" xfId="0" applyFont="1" applyBorder="1" applyAlignment="1">
      <alignment vertical="center" wrapText="1"/>
    </xf>
    <xf numFmtId="0" fontId="114" fillId="80" borderId="12" xfId="0" applyFont="1" applyFill="1" applyBorder="1" applyAlignment="1">
      <alignment horizontal="center"/>
    </xf>
    <xf numFmtId="0" fontId="0" fillId="0" borderId="0" xfId="0" applyAlignment="1">
      <alignment horizontal="center"/>
    </xf>
    <xf numFmtId="0" fontId="41" fillId="0" borderId="0" xfId="0" applyFont="1" applyFill="1" applyBorder="1" applyAlignment="1">
      <alignment horizontal="right"/>
    </xf>
    <xf numFmtId="0" fontId="56" fillId="5" borderId="0" xfId="9" applyFont="1" applyFill="1" applyBorder="1" applyAlignment="1">
      <alignment horizontal="left" vertical="center" wrapText="1"/>
    </xf>
    <xf numFmtId="0" fontId="56" fillId="5" borderId="0" xfId="9" applyFont="1" applyFill="1" applyBorder="1" applyAlignment="1">
      <alignment vertical="center" wrapText="1"/>
    </xf>
    <xf numFmtId="10" fontId="41" fillId="0" borderId="0" xfId="0" applyNumberFormat="1" applyFont="1" applyAlignment="1">
      <alignment horizontal="center" vertical="center"/>
    </xf>
    <xf numFmtId="4" fontId="65" fillId="0" borderId="0" xfId="0" applyNumberFormat="1" applyFont="1"/>
    <xf numFmtId="4" fontId="69" fillId="0" borderId="0" xfId="0" applyNumberFormat="1" applyFont="1"/>
    <xf numFmtId="0" fontId="41" fillId="0" borderId="0" xfId="0" applyFont="1" applyFill="1" applyBorder="1"/>
    <xf numFmtId="0" fontId="1" fillId="0" borderId="0" xfId="0" applyNumberFormat="1" applyFont="1" applyBorder="1" applyAlignment="1">
      <alignment horizontal="center"/>
    </xf>
    <xf numFmtId="0" fontId="11" fillId="3" borderId="0" xfId="1"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3" fillId="0" borderId="0" xfId="8" applyNumberFormat="1" applyFont="1" applyFill="1" applyBorder="1" applyAlignment="1">
      <alignment horizontal="center"/>
    </xf>
    <xf numFmtId="0" fontId="0" fillId="0" borderId="0" xfId="0" applyNumberFormat="1"/>
    <xf numFmtId="0" fontId="2" fillId="10" borderId="0" xfId="0" applyNumberFormat="1" applyFont="1" applyFill="1" applyBorder="1" applyAlignment="1">
      <alignment horizontal="center" vertical="center" wrapText="1"/>
    </xf>
    <xf numFmtId="0" fontId="23" fillId="78" borderId="0" xfId="8" applyNumberFormat="1" applyFont="1" applyFill="1" applyBorder="1" applyAlignment="1">
      <alignment horizontal="center" vertical="center"/>
    </xf>
    <xf numFmtId="0" fontId="23" fillId="78" borderId="0" xfId="8" applyNumberFormat="1" applyFont="1" applyFill="1" applyBorder="1" applyAlignment="1">
      <alignment horizontal="center"/>
    </xf>
    <xf numFmtId="0" fontId="1" fillId="0" borderId="0" xfId="0" applyNumberFormat="1" applyFont="1" applyBorder="1"/>
    <xf numFmtId="10" fontId="1" fillId="0" borderId="0" xfId="0" applyNumberFormat="1" applyFont="1" applyBorder="1" applyAlignment="1">
      <alignment horizontal="center"/>
    </xf>
    <xf numFmtId="10" fontId="11" fillId="3" borderId="0" xfId="1" applyNumberFormat="1" applyFont="1" applyFill="1" applyBorder="1" applyAlignment="1">
      <alignment horizontal="center" vertical="center" wrapText="1"/>
    </xf>
    <xf numFmtId="10" fontId="2" fillId="0" borderId="0" xfId="0" applyNumberFormat="1" applyFont="1" applyFill="1" applyBorder="1" applyAlignment="1">
      <alignment horizontal="center" vertical="center" wrapText="1"/>
    </xf>
    <xf numFmtId="10" fontId="23" fillId="0" borderId="0" xfId="8" applyNumberFormat="1" applyFont="1" applyFill="1" applyBorder="1" applyAlignment="1">
      <alignment horizontal="center"/>
    </xf>
    <xf numFmtId="10" fontId="2" fillId="10" borderId="0" xfId="0" applyNumberFormat="1" applyFont="1" applyFill="1" applyBorder="1" applyAlignment="1">
      <alignment horizontal="center" vertical="center" wrapText="1"/>
    </xf>
    <xf numFmtId="10" fontId="23" fillId="78" borderId="0" xfId="8" applyNumberFormat="1" applyFont="1" applyFill="1" applyBorder="1" applyAlignment="1">
      <alignment horizontal="center" vertical="center"/>
    </xf>
    <xf numFmtId="10" fontId="23" fillId="78" borderId="0" xfId="8" applyNumberFormat="1" applyFont="1" applyFill="1" applyBorder="1" applyAlignment="1">
      <alignment horizontal="center"/>
    </xf>
    <xf numFmtId="10" fontId="1" fillId="0" borderId="0" xfId="0" applyNumberFormat="1" applyFont="1" applyBorder="1"/>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0" borderId="0" xfId="0" applyAlignment="1">
      <alignment vertical="center" wrapText="1"/>
    </xf>
    <xf numFmtId="0" fontId="0" fillId="0" borderId="0" xfId="0" applyAlignment="1">
      <alignment wrapText="1"/>
    </xf>
    <xf numFmtId="0" fontId="0" fillId="0" borderId="0" xfId="0" applyAlignment="1">
      <alignment horizontal="center" vertical="center" wrapText="1"/>
    </xf>
    <xf numFmtId="1" fontId="2" fillId="0" borderId="0" xfId="0" applyNumberFormat="1" applyFont="1" applyFill="1" applyBorder="1" applyAlignment="1">
      <alignment horizontal="center" vertical="center" wrapText="1"/>
    </xf>
    <xf numFmtId="10" fontId="2" fillId="3" borderId="0" xfId="1" applyNumberFormat="1" applyFont="1" applyFill="1" applyBorder="1" applyAlignment="1">
      <alignment horizontal="center" vertical="center" wrapText="1"/>
    </xf>
    <xf numFmtId="0" fontId="0" fillId="0" borderId="27" xfId="0" applyBorder="1" applyAlignment="1">
      <alignment horizontal="center"/>
    </xf>
    <xf numFmtId="0" fontId="41" fillId="0" borderId="0" xfId="0" applyFont="1" applyFill="1" applyBorder="1" applyAlignment="1">
      <alignment horizontal="justify" vertical="center"/>
    </xf>
    <xf numFmtId="0" fontId="41" fillId="0" borderId="0" xfId="0" applyFont="1" applyAlignment="1">
      <alignment vertical="center"/>
    </xf>
    <xf numFmtId="0" fontId="1" fillId="0" borderId="12" xfId="0" applyFont="1" applyBorder="1" applyAlignment="1">
      <alignment horizontal="center" vertical="center"/>
    </xf>
    <xf numFmtId="0" fontId="0" fillId="5" borderId="0" xfId="0" applyFill="1" applyAlignment="1">
      <alignment horizontal="left" vertical="center"/>
    </xf>
    <xf numFmtId="0" fontId="24" fillId="8" borderId="20" xfId="0" applyFont="1" applyFill="1" applyBorder="1" applyAlignment="1">
      <alignment horizontal="left" vertical="center" wrapText="1"/>
    </xf>
    <xf numFmtId="0" fontId="23" fillId="8" borderId="54" xfId="0" applyFont="1" applyFill="1" applyBorder="1" applyAlignment="1">
      <alignment horizontal="center" vertical="center"/>
    </xf>
    <xf numFmtId="0" fontId="24" fillId="8" borderId="20" xfId="0" applyFont="1" applyFill="1" applyBorder="1" applyAlignment="1">
      <alignment horizontal="center" vertical="center" wrapText="1"/>
    </xf>
    <xf numFmtId="0" fontId="23" fillId="8" borderId="74" xfId="0" applyFont="1" applyFill="1" applyBorder="1" applyAlignment="1">
      <alignment horizontal="left" vertical="center"/>
    </xf>
    <xf numFmtId="0" fontId="23" fillId="8" borderId="92" xfId="0" applyFont="1" applyFill="1" applyBorder="1" applyAlignment="1">
      <alignment horizontal="center" vertical="center"/>
    </xf>
    <xf numFmtId="0" fontId="23" fillId="8" borderId="20" xfId="0" applyFont="1" applyFill="1" applyBorder="1" applyAlignment="1">
      <alignment horizontal="center" vertical="center"/>
    </xf>
    <xf numFmtId="0" fontId="24" fillId="8" borderId="74" xfId="0" applyFont="1" applyFill="1" applyBorder="1" applyAlignment="1">
      <alignment horizontal="left" vertical="center" wrapText="1"/>
    </xf>
    <xf numFmtId="0" fontId="24" fillId="8" borderId="74" xfId="0" applyFont="1" applyFill="1" applyBorder="1" applyAlignment="1">
      <alignment horizontal="center" vertical="center" wrapText="1"/>
    </xf>
    <xf numFmtId="0" fontId="24" fillId="8" borderId="19" xfId="0" applyFont="1" applyFill="1" applyBorder="1" applyAlignment="1">
      <alignment horizontal="left" vertical="center" wrapText="1"/>
    </xf>
    <xf numFmtId="0" fontId="23" fillId="8" borderId="57" xfId="0" applyFont="1" applyFill="1" applyBorder="1" applyAlignment="1">
      <alignment horizontal="center" vertical="center"/>
    </xf>
    <xf numFmtId="0" fontId="24" fillId="8" borderId="13" xfId="0" applyFont="1" applyFill="1" applyBorder="1" applyAlignment="1">
      <alignment horizontal="center" vertical="center" wrapText="1"/>
    </xf>
    <xf numFmtId="167" fontId="23" fillId="78" borderId="48" xfId="8" applyNumberFormat="1" applyFont="1" applyFill="1" applyBorder="1" applyAlignment="1">
      <alignment horizontal="center" vertical="center"/>
    </xf>
    <xf numFmtId="0" fontId="24" fillId="8" borderId="122" xfId="0" applyFont="1" applyFill="1" applyBorder="1" applyAlignment="1">
      <alignment horizontal="left" vertical="center" wrapText="1"/>
    </xf>
    <xf numFmtId="167" fontId="3" fillId="78" borderId="179" xfId="8" applyNumberFormat="1" applyFont="1" applyFill="1" applyBorder="1" applyAlignment="1">
      <alignment horizontal="center" vertical="center"/>
    </xf>
    <xf numFmtId="6" fontId="0" fillId="0" borderId="0" xfId="0" applyNumberFormat="1" applyAlignment="1">
      <alignment horizontal="left" vertical="center"/>
    </xf>
    <xf numFmtId="1" fontId="56" fillId="5" borderId="117" xfId="9" applyNumberFormat="1" applyFont="1" applyFill="1" applyBorder="1" applyAlignment="1">
      <alignment horizontal="center" vertical="center" wrapText="1"/>
    </xf>
    <xf numFmtId="0" fontId="56" fillId="5" borderId="118" xfId="9" applyFont="1" applyFill="1" applyBorder="1" applyAlignment="1">
      <alignment horizontal="left" vertical="center" wrapText="1"/>
    </xf>
    <xf numFmtId="1" fontId="56" fillId="5" borderId="121" xfId="9" applyNumberFormat="1" applyFont="1" applyFill="1" applyBorder="1" applyAlignment="1">
      <alignment horizontal="center" vertical="center" wrapText="1"/>
    </xf>
    <xf numFmtId="0" fontId="3" fillId="0" borderId="8" xfId="0" applyFont="1" applyBorder="1" applyAlignment="1">
      <alignment vertical="center"/>
    </xf>
    <xf numFmtId="0" fontId="3" fillId="0" borderId="122" xfId="0" applyFont="1" applyBorder="1" applyAlignment="1">
      <alignment vertical="center"/>
    </xf>
    <xf numFmtId="1" fontId="3" fillId="5" borderId="105" xfId="9" applyNumberFormat="1" applyFont="1" applyFill="1" applyBorder="1" applyAlignment="1">
      <alignment horizontal="center" vertical="center" wrapText="1"/>
    </xf>
    <xf numFmtId="0" fontId="23" fillId="8" borderId="14" xfId="0" applyFont="1" applyFill="1" applyBorder="1" applyAlignment="1">
      <alignment horizontal="center" vertical="center"/>
    </xf>
    <xf numFmtId="0" fontId="3" fillId="0" borderId="0" xfId="0" applyFont="1" applyAlignment="1">
      <alignment vertical="center"/>
    </xf>
    <xf numFmtId="0" fontId="3" fillId="0" borderId="6" xfId="0" applyFont="1" applyBorder="1" applyAlignment="1">
      <alignment vertical="center"/>
    </xf>
    <xf numFmtId="0" fontId="3" fillId="0" borderId="143" xfId="0" applyFont="1" applyBorder="1" applyAlignment="1">
      <alignment vertical="center"/>
    </xf>
    <xf numFmtId="0" fontId="3" fillId="8" borderId="148" xfId="0" applyFont="1" applyFill="1" applyBorder="1" applyAlignment="1">
      <alignment horizontal="center" vertical="center"/>
    </xf>
    <xf numFmtId="167" fontId="3" fillId="78" borderId="180" xfId="8" applyNumberFormat="1" applyFont="1" applyFill="1" applyBorder="1" applyAlignment="1">
      <alignment horizontal="center" vertical="center"/>
    </xf>
    <xf numFmtId="0" fontId="41" fillId="0" borderId="0" xfId="0" applyFont="1" applyBorder="1" applyAlignment="1">
      <alignment vertical="center"/>
    </xf>
    <xf numFmtId="0" fontId="24" fillId="0" borderId="19" xfId="0" applyFont="1" applyFill="1" applyBorder="1" applyAlignment="1">
      <alignment horizontal="left" vertical="center" wrapText="1"/>
    </xf>
    <xf numFmtId="0" fontId="23" fillId="0" borderId="57" xfId="0" applyFont="1" applyFill="1" applyBorder="1" applyAlignment="1">
      <alignment horizontal="center" vertical="center"/>
    </xf>
    <xf numFmtId="167" fontId="3" fillId="78" borderId="13" xfId="8" applyNumberFormat="1" applyFont="1" applyFill="1" applyBorder="1" applyAlignment="1">
      <alignment horizontal="center" vertical="center"/>
    </xf>
    <xf numFmtId="0" fontId="23" fillId="8" borderId="157" xfId="0" applyFont="1" applyFill="1" applyBorder="1" applyAlignment="1">
      <alignment horizontal="center" vertical="center"/>
    </xf>
    <xf numFmtId="0" fontId="3" fillId="8" borderId="14" xfId="0" applyFont="1" applyFill="1" applyBorder="1" applyAlignment="1">
      <alignment horizontal="center" vertical="center" wrapText="1"/>
    </xf>
    <xf numFmtId="0" fontId="23" fillId="8" borderId="20" xfId="0" applyFont="1" applyFill="1" applyBorder="1" applyAlignment="1">
      <alignment horizontal="left" vertical="center"/>
    </xf>
    <xf numFmtId="0" fontId="23" fillId="8" borderId="82" xfId="0" applyFont="1" applyFill="1" applyBorder="1" applyAlignment="1">
      <alignment horizontal="left" vertical="center"/>
    </xf>
    <xf numFmtId="0" fontId="23" fillId="8" borderId="43" xfId="0" applyFont="1" applyFill="1" applyBorder="1" applyAlignment="1">
      <alignment horizontal="center" vertical="center"/>
    </xf>
    <xf numFmtId="0" fontId="23" fillId="0" borderId="8" xfId="0" applyFont="1" applyBorder="1" applyAlignment="1">
      <alignment horizontal="left" vertical="center"/>
    </xf>
    <xf numFmtId="0" fontId="23" fillId="0" borderId="3" xfId="0" applyFont="1" applyBorder="1" applyAlignment="1">
      <alignment vertical="center"/>
    </xf>
    <xf numFmtId="0" fontId="23" fillId="0" borderId="7" xfId="0" applyFont="1" applyBorder="1" applyAlignment="1">
      <alignment horizontal="center" vertical="center"/>
    </xf>
    <xf numFmtId="167" fontId="23" fillId="78" borderId="7" xfId="8" applyNumberFormat="1" applyFont="1" applyFill="1" applyBorder="1" applyAlignment="1">
      <alignment horizontal="center" vertical="center"/>
    </xf>
    <xf numFmtId="0" fontId="23" fillId="0" borderId="0" xfId="0" applyFont="1" applyAlignment="1">
      <alignment vertical="center"/>
    </xf>
    <xf numFmtId="0" fontId="3" fillId="8" borderId="100" xfId="0" applyFont="1" applyFill="1" applyBorder="1" applyAlignment="1">
      <alignment horizontal="center" vertical="center"/>
    </xf>
    <xf numFmtId="0" fontId="23" fillId="78" borderId="13" xfId="0" applyFont="1" applyFill="1" applyBorder="1" applyAlignment="1">
      <alignment horizontal="center" vertical="center"/>
    </xf>
    <xf numFmtId="0" fontId="3" fillId="8" borderId="92" xfId="0" applyFont="1" applyFill="1" applyBorder="1" applyAlignment="1">
      <alignment horizontal="center" vertical="center"/>
    </xf>
    <xf numFmtId="0" fontId="95" fillId="0" borderId="12" xfId="0" applyFont="1" applyBorder="1" applyAlignment="1">
      <alignment vertical="center"/>
    </xf>
    <xf numFmtId="0" fontId="23" fillId="8" borderId="12" xfId="0" applyFont="1" applyFill="1" applyBorder="1" applyAlignment="1">
      <alignment horizontal="center" vertical="center"/>
    </xf>
    <xf numFmtId="0" fontId="1" fillId="0" borderId="9" xfId="0" applyFont="1" applyBorder="1" applyAlignment="1">
      <alignment horizontal="center" vertical="center"/>
    </xf>
    <xf numFmtId="167" fontId="1" fillId="0" borderId="11" xfId="0" applyNumberFormat="1" applyFont="1" applyBorder="1" applyAlignment="1">
      <alignment horizontal="center" vertical="center"/>
    </xf>
    <xf numFmtId="0" fontId="0" fillId="0" borderId="0" xfId="0" applyFill="1" applyBorder="1" applyAlignment="1">
      <alignment vertical="center"/>
    </xf>
    <xf numFmtId="0" fontId="0" fillId="0" borderId="0" xfId="0" applyAlignment="1">
      <alignment horizontal="right" vertical="center"/>
    </xf>
    <xf numFmtId="0" fontId="23" fillId="8" borderId="0" xfId="0" applyFont="1" applyFill="1" applyBorder="1" applyAlignment="1">
      <alignment horizontal="left" vertical="center" wrapText="1"/>
    </xf>
    <xf numFmtId="0" fontId="23" fillId="8" borderId="16" xfId="0" applyFont="1" applyFill="1" applyBorder="1" applyAlignment="1">
      <alignment horizontal="center" vertical="center"/>
    </xf>
    <xf numFmtId="0" fontId="23" fillId="8" borderId="187" xfId="0" applyFont="1" applyFill="1" applyBorder="1" applyAlignment="1">
      <alignment horizontal="center" vertical="center"/>
    </xf>
    <xf numFmtId="167" fontId="23" fillId="78" borderId="95" xfId="8" applyNumberFormat="1" applyFont="1" applyFill="1" applyBorder="1" applyAlignment="1">
      <alignment horizontal="center" vertical="center"/>
    </xf>
    <xf numFmtId="167" fontId="23" fillId="78" borderId="180" xfId="8" applyNumberFormat="1" applyFont="1" applyFill="1" applyBorder="1" applyAlignment="1">
      <alignment horizontal="center" vertical="center"/>
    </xf>
    <xf numFmtId="0" fontId="23" fillId="78" borderId="178" xfId="0" applyFont="1" applyFill="1" applyBorder="1" applyAlignment="1">
      <alignment horizontal="center" vertical="center"/>
    </xf>
    <xf numFmtId="0" fontId="23" fillId="78" borderId="6" xfId="0" applyFont="1" applyFill="1" applyBorder="1" applyAlignment="1">
      <alignment horizontal="center" vertical="center"/>
    </xf>
    <xf numFmtId="0" fontId="24" fillId="8" borderId="16" xfId="0" applyFont="1" applyFill="1" applyBorder="1" applyAlignment="1">
      <alignment horizontal="center" vertical="center" wrapText="1"/>
    </xf>
    <xf numFmtId="0" fontId="24" fillId="8" borderId="182" xfId="0" applyFont="1" applyFill="1" applyBorder="1" applyAlignment="1">
      <alignment horizontal="center" vertical="center" wrapText="1"/>
    </xf>
    <xf numFmtId="0" fontId="23" fillId="8" borderId="182" xfId="0" applyFont="1" applyFill="1" applyBorder="1" applyAlignment="1">
      <alignment horizontal="center" vertical="center"/>
    </xf>
    <xf numFmtId="0" fontId="24" fillId="78" borderId="178" xfId="0" applyFont="1" applyFill="1" applyBorder="1" applyAlignment="1">
      <alignment horizontal="center" vertical="center" wrapText="1"/>
    </xf>
    <xf numFmtId="0" fontId="24" fillId="78" borderId="177" xfId="0" applyFont="1" applyFill="1" applyBorder="1" applyAlignment="1">
      <alignment horizontal="center" vertical="center" wrapText="1"/>
    </xf>
    <xf numFmtId="0" fontId="24" fillId="78" borderId="7" xfId="0" applyFont="1" applyFill="1" applyBorder="1" applyAlignment="1">
      <alignment horizontal="center" vertical="center" wrapText="1"/>
    </xf>
    <xf numFmtId="167" fontId="8" fillId="78" borderId="178" xfId="8" applyNumberFormat="1" applyFont="1" applyFill="1" applyBorder="1" applyAlignment="1">
      <alignment horizontal="center"/>
    </xf>
    <xf numFmtId="167" fontId="8" fillId="78" borderId="48" xfId="8" applyNumberFormat="1" applyFont="1" applyFill="1" applyBorder="1" applyAlignment="1">
      <alignment horizontal="center"/>
    </xf>
    <xf numFmtId="167" fontId="8" fillId="78" borderId="180" xfId="8" applyNumberFormat="1" applyFont="1" applyFill="1" applyBorder="1" applyAlignment="1">
      <alignment horizontal="center"/>
    </xf>
    <xf numFmtId="167" fontId="8" fillId="78" borderId="181" xfId="8" applyNumberFormat="1" applyFont="1" applyFill="1" applyBorder="1" applyAlignment="1">
      <alignment horizontal="center"/>
    </xf>
    <xf numFmtId="167" fontId="8" fillId="78" borderId="95" xfId="8" applyNumberFormat="1" applyFont="1" applyFill="1" applyBorder="1" applyAlignment="1">
      <alignment horizontal="center"/>
    </xf>
    <xf numFmtId="167" fontId="8" fillId="78" borderId="7" xfId="8" applyNumberFormat="1" applyFont="1" applyFill="1" applyBorder="1" applyAlignment="1">
      <alignment horizontal="center"/>
    </xf>
    <xf numFmtId="167" fontId="8" fillId="78" borderId="6" xfId="8" applyNumberFormat="1" applyFont="1" applyFill="1" applyBorder="1" applyAlignment="1">
      <alignment horizontal="center"/>
    </xf>
    <xf numFmtId="167" fontId="63" fillId="0" borderId="11" xfId="0" applyNumberFormat="1" applyFont="1" applyBorder="1"/>
    <xf numFmtId="167" fontId="8" fillId="78" borderId="15" xfId="8" applyNumberFormat="1" applyFont="1" applyFill="1" applyBorder="1" applyAlignment="1">
      <alignment horizontal="center"/>
    </xf>
    <xf numFmtId="167" fontId="8" fillId="78" borderId="12" xfId="8" applyNumberFormat="1" applyFont="1" applyFill="1" applyBorder="1" applyAlignment="1">
      <alignment horizontal="center"/>
    </xf>
    <xf numFmtId="167" fontId="8" fillId="78" borderId="13" xfId="8" applyNumberFormat="1" applyFont="1" applyFill="1" applyBorder="1" applyAlignment="1">
      <alignment horizontal="center" vertical="center"/>
    </xf>
    <xf numFmtId="167" fontId="8" fillId="78" borderId="177" xfId="8" applyNumberFormat="1" applyFont="1" applyFill="1" applyBorder="1" applyAlignment="1">
      <alignment horizontal="center" vertical="center"/>
    </xf>
    <xf numFmtId="167" fontId="8" fillId="78" borderId="178" xfId="8" applyNumberFormat="1" applyFont="1" applyFill="1" applyBorder="1" applyAlignment="1">
      <alignment horizontal="center" vertical="center"/>
    </xf>
    <xf numFmtId="167" fontId="8" fillId="78" borderId="179" xfId="8" applyNumberFormat="1" applyFont="1" applyFill="1" applyBorder="1" applyAlignment="1">
      <alignment horizontal="center" vertical="center"/>
    </xf>
    <xf numFmtId="167" fontId="8" fillId="78" borderId="181" xfId="8" applyNumberFormat="1" applyFont="1" applyFill="1" applyBorder="1" applyAlignment="1">
      <alignment horizontal="center" vertical="center"/>
    </xf>
    <xf numFmtId="167" fontId="8" fillId="78" borderId="15" xfId="8" applyNumberFormat="1" applyFont="1" applyFill="1" applyBorder="1" applyAlignment="1">
      <alignment horizontal="center" vertical="center"/>
    </xf>
    <xf numFmtId="167" fontId="8" fillId="78" borderId="6" xfId="8" applyNumberFormat="1" applyFont="1" applyFill="1" applyBorder="1" applyAlignment="1">
      <alignment horizontal="center" vertical="center"/>
    </xf>
    <xf numFmtId="0" fontId="3" fillId="0" borderId="162" xfId="0" applyFont="1" applyBorder="1" applyAlignment="1">
      <alignment vertical="center"/>
    </xf>
    <xf numFmtId="0" fontId="23" fillId="8" borderId="123" xfId="0" applyFont="1" applyFill="1" applyBorder="1" applyAlignment="1">
      <alignment horizontal="center" vertical="center"/>
    </xf>
    <xf numFmtId="167" fontId="3" fillId="0" borderId="7" xfId="8" applyNumberFormat="1" applyFont="1" applyFill="1" applyBorder="1" applyAlignment="1">
      <alignment horizontal="center" vertical="center"/>
    </xf>
    <xf numFmtId="0" fontId="3" fillId="8" borderId="188" xfId="0" applyFont="1" applyFill="1" applyBorder="1" applyAlignment="1">
      <alignment horizontal="center"/>
    </xf>
    <xf numFmtId="0" fontId="23" fillId="78" borderId="187" xfId="0" applyFont="1" applyFill="1" applyBorder="1" applyAlignment="1">
      <alignment horizontal="center"/>
    </xf>
    <xf numFmtId="0" fontId="23" fillId="78" borderId="9" xfId="0" applyFont="1" applyFill="1" applyBorder="1" applyAlignment="1">
      <alignment horizontal="center"/>
    </xf>
    <xf numFmtId="167" fontId="23" fillId="0" borderId="12" xfId="8" applyNumberFormat="1" applyFont="1" applyFill="1" applyBorder="1" applyAlignment="1">
      <alignment horizontal="center"/>
    </xf>
    <xf numFmtId="0" fontId="23" fillId="8" borderId="6" xfId="0" applyFont="1" applyFill="1" applyBorder="1" applyAlignment="1">
      <alignment vertical="center" textRotation="90"/>
    </xf>
    <xf numFmtId="0" fontId="23" fillId="8" borderId="84" xfId="0" applyFont="1" applyFill="1" applyBorder="1" applyAlignment="1">
      <alignment horizontal="left" vertical="center"/>
    </xf>
    <xf numFmtId="0" fontId="23" fillId="0" borderId="85" xfId="0" applyFont="1" applyBorder="1" applyAlignment="1">
      <alignment horizontal="center" vertical="center"/>
    </xf>
    <xf numFmtId="0" fontId="23" fillId="8" borderId="6" xfId="0" applyFont="1" applyFill="1" applyBorder="1" applyAlignment="1">
      <alignment horizontal="center" vertical="center"/>
    </xf>
    <xf numFmtId="0" fontId="24" fillId="78" borderId="3" xfId="0" applyFont="1" applyFill="1" applyBorder="1" applyAlignment="1">
      <alignment horizontal="center" vertical="center" wrapText="1"/>
    </xf>
    <xf numFmtId="167" fontId="3" fillId="78" borderId="6" xfId="8" applyNumberFormat="1" applyFont="1" applyFill="1" applyBorder="1" applyAlignment="1">
      <alignment horizontal="center" vertical="center"/>
    </xf>
    <xf numFmtId="0" fontId="24" fillId="78" borderId="16" xfId="0" applyFont="1" applyFill="1" applyBorder="1" applyAlignment="1">
      <alignment horizontal="center" vertical="center" wrapText="1"/>
    </xf>
    <xf numFmtId="0" fontId="24" fillId="5" borderId="140" xfId="0" applyFont="1" applyFill="1" applyBorder="1" applyAlignment="1">
      <alignment horizontal="left" vertical="center" wrapText="1"/>
    </xf>
    <xf numFmtId="0" fontId="24" fillId="8" borderId="177" xfId="0" applyFont="1" applyFill="1" applyBorder="1" applyAlignment="1">
      <alignment horizontal="center" vertical="center" wrapText="1"/>
    </xf>
    <xf numFmtId="0" fontId="23" fillId="8" borderId="140" xfId="0" applyFont="1" applyFill="1" applyBorder="1" applyAlignment="1">
      <alignment horizontal="left" vertical="center"/>
    </xf>
    <xf numFmtId="1" fontId="23" fillId="8" borderId="157" xfId="0" applyNumberFormat="1" applyFont="1" applyFill="1" applyBorder="1" applyAlignment="1">
      <alignment horizontal="center" vertical="center"/>
    </xf>
    <xf numFmtId="0" fontId="23" fillId="8" borderId="177" xfId="0" applyFont="1" applyFill="1" applyBorder="1" applyAlignment="1">
      <alignment horizontal="center" vertical="center"/>
    </xf>
    <xf numFmtId="0" fontId="23" fillId="8" borderId="173" xfId="0" applyFont="1" applyFill="1" applyBorder="1" applyAlignment="1">
      <alignment horizontal="left" vertical="center"/>
    </xf>
    <xf numFmtId="1" fontId="23" fillId="8" borderId="174" xfId="0" applyNumberFormat="1" applyFont="1" applyFill="1" applyBorder="1" applyAlignment="1">
      <alignment horizontal="center" vertical="center"/>
    </xf>
    <xf numFmtId="0" fontId="23" fillId="8" borderId="5" xfId="0" applyFont="1" applyFill="1" applyBorder="1" applyAlignment="1">
      <alignment horizontal="center" vertical="center" wrapText="1"/>
    </xf>
    <xf numFmtId="2" fontId="4" fillId="10" borderId="9" xfId="0" applyNumberFormat="1" applyFont="1" applyFill="1" applyBorder="1" applyAlignment="1">
      <alignment horizontal="center" vertical="center" wrapText="1"/>
    </xf>
    <xf numFmtId="0" fontId="3" fillId="0" borderId="8" xfId="0" applyFont="1" applyFill="1" applyBorder="1" applyAlignment="1">
      <alignment horizontal="center" vertical="center" wrapText="1"/>
    </xf>
    <xf numFmtId="0" fontId="23" fillId="0" borderId="8" xfId="0" applyFont="1" applyBorder="1" applyAlignment="1">
      <alignment horizontal="center" vertical="center" wrapText="1"/>
    </xf>
    <xf numFmtId="0" fontId="23" fillId="0" borderId="6" xfId="0" applyFont="1" applyBorder="1" applyAlignment="1">
      <alignment horizontal="center" vertical="center" wrapText="1"/>
    </xf>
    <xf numFmtId="0" fontId="0" fillId="0" borderId="0" xfId="0" applyAlignment="1">
      <alignment horizontal="center" vertical="center"/>
    </xf>
    <xf numFmtId="167" fontId="3" fillId="0" borderId="0" xfId="8" applyNumberFormat="1" applyFont="1" applyFill="1" applyBorder="1" applyAlignment="1">
      <alignment horizontal="center" vertical="center"/>
    </xf>
    <xf numFmtId="167" fontId="0" fillId="0" borderId="0" xfId="0" applyNumberFormat="1" applyAlignment="1">
      <alignment horizontal="center" vertical="center"/>
    </xf>
    <xf numFmtId="167" fontId="23" fillId="78" borderId="157" xfId="8" applyNumberFormat="1" applyFont="1" applyFill="1" applyBorder="1" applyAlignment="1">
      <alignment horizontal="center" vertical="center"/>
    </xf>
    <xf numFmtId="167" fontId="3" fillId="78" borderId="157" xfId="8" applyNumberFormat="1" applyFont="1" applyFill="1" applyBorder="1" applyAlignment="1">
      <alignment horizontal="center" vertical="center"/>
    </xf>
    <xf numFmtId="167" fontId="1" fillId="0" borderId="157" xfId="0" applyNumberFormat="1" applyFont="1" applyBorder="1" applyAlignment="1">
      <alignment horizontal="center" vertical="center"/>
    </xf>
    <xf numFmtId="0" fontId="93" fillId="0" borderId="0" xfId="1" applyFont="1" applyFill="1" applyBorder="1" applyAlignment="1">
      <alignment horizontal="center" vertical="center"/>
    </xf>
    <xf numFmtId="10" fontId="23" fillId="0" borderId="0" xfId="0" applyNumberFormat="1" applyFont="1" applyFill="1" applyBorder="1" applyAlignment="1">
      <alignment horizontal="center" vertical="center"/>
    </xf>
    <xf numFmtId="1" fontId="23" fillId="0" borderId="0" xfId="0" applyNumberFormat="1" applyFont="1" applyFill="1" applyBorder="1" applyAlignment="1">
      <alignment horizontal="left" vertical="center"/>
    </xf>
    <xf numFmtId="0" fontId="23" fillId="0" borderId="0" xfId="0" applyFont="1" applyFill="1" applyBorder="1" applyAlignment="1">
      <alignment horizontal="center" vertical="center" textRotation="90"/>
    </xf>
    <xf numFmtId="0" fontId="24" fillId="0" borderId="0" xfId="0" applyFont="1" applyFill="1" applyBorder="1" applyAlignment="1">
      <alignment vertical="center" wrapText="1"/>
    </xf>
    <xf numFmtId="0" fontId="3" fillId="0" borderId="0" xfId="0" applyFont="1" applyFill="1" applyBorder="1" applyAlignment="1">
      <alignment vertical="center" wrapText="1"/>
    </xf>
    <xf numFmtId="0" fontId="95" fillId="0" borderId="0" xfId="0" applyFont="1" applyFill="1" applyBorder="1" applyAlignment="1">
      <alignment vertical="center"/>
    </xf>
    <xf numFmtId="0" fontId="23" fillId="8" borderId="0" xfId="0" applyFont="1" applyFill="1" applyBorder="1" applyAlignment="1">
      <alignment horizontal="center" vertical="center"/>
    </xf>
    <xf numFmtId="167" fontId="0" fillId="0" borderId="0" xfId="0" applyNumberFormat="1" applyAlignment="1">
      <alignment vertical="center"/>
    </xf>
    <xf numFmtId="0" fontId="0" fillId="0" borderId="0" xfId="0" applyAlignment="1">
      <alignment horizontal="center"/>
    </xf>
    <xf numFmtId="0" fontId="56" fillId="0" borderId="0" xfId="9" applyFont="1" applyFill="1" applyBorder="1" applyAlignment="1">
      <alignment wrapText="1"/>
    </xf>
    <xf numFmtId="3" fontId="31" fillId="0" borderId="0" xfId="94" applyNumberFormat="1" applyFont="1" applyFill="1" applyBorder="1" applyAlignment="1">
      <alignment horizontal="center" vertical="center"/>
    </xf>
    <xf numFmtId="0" fontId="56" fillId="0" borderId="0" xfId="9" applyFont="1" applyFill="1" applyBorder="1" applyAlignment="1">
      <alignment vertical="center" wrapText="1"/>
    </xf>
    <xf numFmtId="0" fontId="41" fillId="0" borderId="0" xfId="0" applyFont="1" applyFill="1" applyBorder="1" applyAlignment="1">
      <alignment horizontal="center" wrapText="1"/>
    </xf>
    <xf numFmtId="167" fontId="41" fillId="0" borderId="0" xfId="0" applyNumberFormat="1" applyFont="1" applyFill="1" applyBorder="1" applyAlignment="1">
      <alignment horizontal="center"/>
    </xf>
    <xf numFmtId="0" fontId="41" fillId="0" borderId="0" xfId="0" applyFont="1" applyFill="1" applyBorder="1" applyAlignment="1">
      <alignment horizontal="center" vertical="center" wrapText="1"/>
    </xf>
    <xf numFmtId="167" fontId="41" fillId="0" borderId="0" xfId="0" applyNumberFormat="1" applyFont="1" applyFill="1" applyBorder="1" applyAlignment="1">
      <alignment horizontal="center" vertical="center"/>
    </xf>
    <xf numFmtId="0" fontId="0" fillId="0" borderId="18" xfId="0" applyBorder="1" applyAlignment="1">
      <alignment horizontal="center" wrapText="1"/>
    </xf>
    <xf numFmtId="0" fontId="56" fillId="0" borderId="0" xfId="9" applyFont="1" applyFill="1" applyBorder="1" applyAlignment="1">
      <alignment horizontal="left"/>
    </xf>
    <xf numFmtId="0" fontId="41" fillId="0" borderId="0" xfId="0" applyFont="1" applyFill="1" applyBorder="1" applyAlignment="1"/>
    <xf numFmtId="0" fontId="56" fillId="0" borderId="0" xfId="9" applyFont="1" applyFill="1" applyBorder="1" applyAlignment="1"/>
    <xf numFmtId="0" fontId="56" fillId="0" borderId="0" xfId="9" applyFont="1" applyFill="1" applyBorder="1" applyAlignment="1">
      <alignment vertical="center"/>
    </xf>
    <xf numFmtId="0" fontId="41" fillId="0" borderId="0" xfId="0" applyFont="1" applyAlignment="1">
      <alignment vertical="top"/>
    </xf>
    <xf numFmtId="0" fontId="97" fillId="0" borderId="0" xfId="0" applyFont="1"/>
    <xf numFmtId="0" fontId="99" fillId="0" borderId="0" xfId="0" applyFont="1" applyFill="1" applyBorder="1" applyAlignment="1">
      <alignment wrapText="1"/>
    </xf>
    <xf numFmtId="0" fontId="0" fillId="0" borderId="1" xfId="0" applyFill="1" applyBorder="1" applyAlignment="1">
      <alignment horizontal="center" vertical="center" wrapText="1"/>
    </xf>
    <xf numFmtId="0" fontId="13" fillId="0" borderId="18" xfId="0" applyFont="1" applyFill="1" applyBorder="1" applyAlignment="1">
      <alignment horizontal="center" vertical="center" wrapText="1"/>
    </xf>
    <xf numFmtId="0" fontId="0" fillId="0" borderId="3" xfId="0" applyFill="1" applyBorder="1" applyAlignment="1">
      <alignment horizontal="center" vertical="center" wrapText="1"/>
    </xf>
    <xf numFmtId="167" fontId="23" fillId="0" borderId="51" xfId="8" applyNumberFormat="1" applyFont="1" applyFill="1" applyBorder="1" applyAlignment="1">
      <alignment horizontal="center"/>
    </xf>
    <xf numFmtId="167" fontId="23" fillId="0" borderId="121" xfId="8" applyNumberFormat="1" applyFont="1" applyFill="1" applyBorder="1" applyAlignment="1">
      <alignment horizontal="center"/>
    </xf>
    <xf numFmtId="167" fontId="23" fillId="0" borderId="124" xfId="8" applyNumberFormat="1" applyFont="1" applyFill="1" applyBorder="1" applyAlignment="1">
      <alignment horizontal="center"/>
    </xf>
    <xf numFmtId="0" fontId="1" fillId="0" borderId="25" xfId="0" applyFont="1" applyBorder="1"/>
    <xf numFmtId="0" fontId="56" fillId="10" borderId="1" xfId="9" applyFont="1" applyFill="1" applyBorder="1" applyAlignment="1">
      <alignment horizontal="center" vertical="center" wrapText="1"/>
    </xf>
    <xf numFmtId="0" fontId="30" fillId="5" borderId="0" xfId="0" applyFont="1" applyFill="1" applyBorder="1" applyAlignment="1">
      <alignment horizontal="center"/>
    </xf>
    <xf numFmtId="8" fontId="13" fillId="0" borderId="0" xfId="0" applyNumberFormat="1" applyFont="1"/>
    <xf numFmtId="8" fontId="8" fillId="0" borderId="0" xfId="0" applyNumberFormat="1" applyFont="1" applyFill="1" applyBorder="1" applyAlignment="1">
      <alignment horizontal="center" wrapText="1"/>
    </xf>
    <xf numFmtId="6" fontId="8" fillId="0" borderId="0" xfId="0" applyNumberFormat="1" applyFont="1" applyBorder="1" applyAlignment="1">
      <alignment horizontal="center"/>
    </xf>
    <xf numFmtId="8" fontId="8" fillId="0" borderId="0" xfId="0" applyNumberFormat="1" applyFont="1" applyBorder="1" applyAlignment="1">
      <alignment horizontal="center"/>
    </xf>
    <xf numFmtId="0" fontId="34" fillId="3" borderId="10" xfId="1" applyFont="1" applyFill="1" applyBorder="1" applyAlignment="1">
      <alignment vertical="center" wrapText="1"/>
    </xf>
    <xf numFmtId="0" fontId="33" fillId="0" borderId="85" xfId="0" applyFont="1" applyBorder="1" applyAlignment="1">
      <alignment horizontal="center" vertical="center" wrapText="1"/>
    </xf>
    <xf numFmtId="0" fontId="0" fillId="0" borderId="0" xfId="0" applyFont="1" applyAlignment="1">
      <alignment vertical="top" wrapText="1"/>
    </xf>
    <xf numFmtId="0" fontId="0" fillId="0" borderId="0" xfId="0" applyFont="1" applyAlignment="1">
      <alignment wrapText="1"/>
    </xf>
    <xf numFmtId="0" fontId="33" fillId="0" borderId="5" xfId="0" applyFont="1" applyBorder="1" applyAlignment="1">
      <alignment horizontal="center" wrapText="1"/>
    </xf>
    <xf numFmtId="0" fontId="33" fillId="0" borderId="5" xfId="0" applyFont="1" applyFill="1" applyBorder="1" applyAlignment="1">
      <alignment horizontal="center" vertical="center" wrapText="1"/>
    </xf>
    <xf numFmtId="0" fontId="33" fillId="0" borderId="55" xfId="0" applyFont="1" applyFill="1" applyBorder="1" applyAlignment="1">
      <alignment horizontal="justify" wrapText="1"/>
    </xf>
    <xf numFmtId="0" fontId="33" fillId="0" borderId="85" xfId="0" applyFont="1" applyBorder="1" applyAlignment="1">
      <alignment horizontal="center" vertical="center"/>
    </xf>
    <xf numFmtId="0" fontId="33" fillId="0" borderId="55" xfId="0" applyFont="1" applyFill="1" applyBorder="1" applyAlignment="1">
      <alignment horizontal="justify" vertical="center" wrapText="1"/>
    </xf>
    <xf numFmtId="0" fontId="33" fillId="0" borderId="86" xfId="0" applyFont="1" applyBorder="1" applyAlignment="1">
      <alignment horizontal="center" vertical="center" wrapText="1"/>
    </xf>
    <xf numFmtId="0" fontId="34" fillId="3" borderId="10" xfId="1" applyFont="1" applyFill="1" applyBorder="1" applyAlignment="1"/>
    <xf numFmtId="0" fontId="0" fillId="0" borderId="0" xfId="0" applyFont="1" applyAlignment="1"/>
    <xf numFmtId="0" fontId="67" fillId="0" borderId="173" xfId="0" applyFont="1" applyFill="1" applyBorder="1" applyAlignment="1">
      <alignment horizontal="left" vertical="center" wrapText="1"/>
    </xf>
    <xf numFmtId="0" fontId="33" fillId="0" borderId="149" xfId="0" applyFont="1" applyBorder="1" applyAlignment="1">
      <alignment horizontal="center" vertical="center"/>
    </xf>
    <xf numFmtId="0" fontId="33" fillId="0" borderId="174" xfId="0" applyFont="1" applyBorder="1" applyAlignment="1">
      <alignment horizontal="center" vertical="center"/>
    </xf>
    <xf numFmtId="0" fontId="33" fillId="0" borderId="150" xfId="0" applyFont="1" applyBorder="1" applyAlignment="1">
      <alignment horizontal="center" vertical="center" wrapText="1"/>
    </xf>
    <xf numFmtId="0" fontId="103" fillId="0" borderId="57" xfId="0" applyFont="1" applyFill="1" applyBorder="1" applyAlignment="1">
      <alignment horizontal="center" vertical="center" wrapText="1"/>
    </xf>
    <xf numFmtId="0" fontId="33" fillId="0" borderId="57" xfId="0" applyFont="1" applyBorder="1" applyAlignment="1">
      <alignment horizontal="center" vertical="center" wrapText="1"/>
    </xf>
    <xf numFmtId="0" fontId="33" fillId="0" borderId="51" xfId="0" applyFont="1" applyBorder="1" applyAlignment="1">
      <alignment horizontal="center" vertical="center" wrapText="1"/>
    </xf>
    <xf numFmtId="0" fontId="67" fillId="0" borderId="140" xfId="0" applyFont="1" applyFill="1" applyBorder="1" applyAlignment="1">
      <alignment horizontal="left" vertical="center" wrapText="1"/>
    </xf>
    <xf numFmtId="0" fontId="103" fillId="0" borderId="162" xfId="0" applyFont="1" applyFill="1" applyBorder="1" applyAlignment="1">
      <alignment horizontal="left" vertical="center" wrapText="1"/>
    </xf>
    <xf numFmtId="0" fontId="33" fillId="0" borderId="157" xfId="0" applyFont="1" applyBorder="1" applyAlignment="1">
      <alignment horizontal="center" vertical="center" wrapText="1"/>
    </xf>
    <xf numFmtId="0" fontId="67" fillId="0" borderId="188" xfId="0" applyFont="1" applyFill="1" applyBorder="1" applyAlignment="1">
      <alignment horizontal="left" vertical="center"/>
    </xf>
    <xf numFmtId="0" fontId="104" fillId="0" borderId="188" xfId="0" applyFont="1" applyBorder="1" applyAlignment="1">
      <alignment vertical="center"/>
    </xf>
    <xf numFmtId="0" fontId="33" fillId="0" borderId="188" xfId="0" applyFont="1" applyBorder="1" applyAlignment="1">
      <alignment horizontal="center" vertical="center" wrapText="1"/>
    </xf>
    <xf numFmtId="0" fontId="0" fillId="0" borderId="0" xfId="0" applyAlignment="1">
      <alignment horizontal="center"/>
    </xf>
    <xf numFmtId="0" fontId="41" fillId="0" borderId="57" xfId="0" applyFont="1" applyFill="1" applyBorder="1" applyAlignment="1">
      <alignment horizontal="center" vertical="center" wrapText="1"/>
    </xf>
    <xf numFmtId="0" fontId="64" fillId="11" borderId="23" xfId="7" applyFont="1" applyFill="1" applyBorder="1" applyAlignment="1">
      <alignment horizontal="center" vertical="center"/>
    </xf>
    <xf numFmtId="0" fontId="64" fillId="11" borderId="169" xfId="7" applyFont="1" applyFill="1" applyBorder="1" applyAlignment="1">
      <alignment horizontal="center" vertical="center"/>
    </xf>
    <xf numFmtId="0" fontId="62" fillId="11" borderId="169" xfId="0" applyFont="1" applyFill="1" applyBorder="1" applyAlignment="1">
      <alignment horizontal="center" vertical="center" wrapText="1"/>
    </xf>
    <xf numFmtId="0" fontId="41" fillId="11" borderId="190" xfId="0" applyFont="1" applyFill="1" applyBorder="1" applyAlignment="1">
      <alignment horizontal="center" vertical="center"/>
    </xf>
    <xf numFmtId="0" fontId="41" fillId="11" borderId="190" xfId="0" applyFont="1" applyFill="1" applyBorder="1" applyAlignment="1">
      <alignment horizontal="center" vertical="center" wrapText="1"/>
    </xf>
    <xf numFmtId="0" fontId="57" fillId="0" borderId="157" xfId="7" applyFont="1" applyFill="1" applyBorder="1" applyAlignment="1">
      <alignment wrapText="1"/>
    </xf>
    <xf numFmtId="0" fontId="41" fillId="0" borderId="157" xfId="0" applyFont="1" applyFill="1" applyBorder="1" applyAlignment="1">
      <alignment horizontal="left" wrapText="1"/>
    </xf>
    <xf numFmtId="0" fontId="41" fillId="0" borderId="157" xfId="0" applyFont="1" applyFill="1" applyBorder="1" applyAlignment="1">
      <alignment horizontal="center" wrapText="1"/>
    </xf>
    <xf numFmtId="0" fontId="57" fillId="0" borderId="19" xfId="7" applyFont="1" applyFill="1" applyBorder="1" applyAlignment="1">
      <alignment horizontal="center" wrapText="1"/>
    </xf>
    <xf numFmtId="0" fontId="57" fillId="0" borderId="57" xfId="7" applyFont="1" applyFill="1" applyBorder="1" applyAlignment="1">
      <alignment wrapText="1"/>
    </xf>
    <xf numFmtId="0" fontId="41" fillId="0" borderId="57" xfId="0" applyFont="1" applyFill="1" applyBorder="1" applyAlignment="1">
      <alignment horizontal="left" wrapText="1"/>
    </xf>
    <xf numFmtId="0" fontId="41" fillId="0" borderId="57" xfId="0" applyFont="1" applyFill="1" applyBorder="1" applyAlignment="1">
      <alignment horizontal="center" wrapText="1"/>
    </xf>
    <xf numFmtId="0" fontId="57" fillId="0" borderId="140" xfId="7" applyFont="1" applyFill="1" applyBorder="1" applyAlignment="1">
      <alignment horizontal="center" wrapText="1"/>
    </xf>
    <xf numFmtId="0" fontId="57" fillId="0" borderId="173" xfId="7" applyFont="1" applyFill="1" applyBorder="1" applyAlignment="1">
      <alignment horizontal="center" wrapText="1"/>
    </xf>
    <xf numFmtId="0" fontId="57" fillId="0" borderId="174" xfId="7" applyFont="1" applyFill="1" applyBorder="1" applyAlignment="1">
      <alignment wrapText="1"/>
    </xf>
    <xf numFmtId="0" fontId="41" fillId="0" borderId="174" xfId="0" applyFont="1" applyFill="1" applyBorder="1" applyAlignment="1">
      <alignment horizontal="left" wrapText="1"/>
    </xf>
    <xf numFmtId="0" fontId="41" fillId="0" borderId="174" xfId="0" applyFont="1" applyFill="1" applyBorder="1" applyAlignment="1">
      <alignment horizontal="center" wrapText="1"/>
    </xf>
    <xf numFmtId="8" fontId="23" fillId="0" borderId="188" xfId="0" applyNumberFormat="1" applyFont="1" applyFill="1" applyBorder="1" applyAlignment="1">
      <alignment horizontal="center" vertical="center" wrapText="1"/>
    </xf>
    <xf numFmtId="8" fontId="23" fillId="0" borderId="147" xfId="0" applyNumberFormat="1" applyFont="1" applyFill="1" applyBorder="1" applyAlignment="1">
      <alignment horizontal="center" vertical="center" wrapText="1"/>
    </xf>
    <xf numFmtId="8" fontId="23" fillId="0" borderId="69" xfId="0" applyNumberFormat="1" applyFont="1" applyFill="1" applyBorder="1" applyAlignment="1">
      <alignment horizontal="center" vertical="center" wrapText="1"/>
    </xf>
    <xf numFmtId="0" fontId="0" fillId="0" borderId="188" xfId="0" applyBorder="1" applyAlignment="1">
      <alignment horizontal="center" vertical="center"/>
    </xf>
    <xf numFmtId="0" fontId="0" fillId="0" borderId="147" xfId="0" applyBorder="1" applyAlignment="1">
      <alignment horizontal="center" vertical="center"/>
    </xf>
    <xf numFmtId="0" fontId="0" fillId="0" borderId="69" xfId="0" applyBorder="1" applyAlignment="1">
      <alignment horizontal="center" vertical="center"/>
    </xf>
    <xf numFmtId="0" fontId="0" fillId="0" borderId="188" xfId="0" applyBorder="1" applyAlignment="1">
      <alignment horizontal="center"/>
    </xf>
    <xf numFmtId="167" fontId="0" fillId="0" borderId="188" xfId="0" applyNumberFormat="1" applyBorder="1" applyAlignment="1">
      <alignment horizontal="center"/>
    </xf>
    <xf numFmtId="0" fontId="0" fillId="0" borderId="69" xfId="0" applyBorder="1" applyAlignment="1">
      <alignment horizontal="center"/>
    </xf>
    <xf numFmtId="167" fontId="0" fillId="0" borderId="69" xfId="0" applyNumberFormat="1" applyBorder="1" applyAlignment="1">
      <alignment horizontal="center"/>
    </xf>
    <xf numFmtId="0" fontId="0" fillId="0" borderId="164" xfId="0" applyBorder="1" applyAlignment="1">
      <alignment horizontal="center" vertical="center"/>
    </xf>
    <xf numFmtId="0" fontId="0" fillId="0" borderId="117" xfId="0" applyBorder="1" applyAlignment="1">
      <alignment horizontal="center" vertical="center"/>
    </xf>
    <xf numFmtId="0" fontId="0" fillId="0" borderId="79" xfId="0" applyBorder="1" applyAlignment="1">
      <alignment horizontal="center" vertical="center"/>
    </xf>
    <xf numFmtId="167" fontId="0" fillId="0" borderId="183" xfId="0" applyNumberFormat="1" applyBorder="1" applyAlignment="1">
      <alignment horizontal="center" vertical="center"/>
    </xf>
    <xf numFmtId="167" fontId="0" fillId="0" borderId="46" xfId="0" applyNumberFormat="1" applyBorder="1" applyAlignment="1">
      <alignment horizontal="center" vertical="center"/>
    </xf>
    <xf numFmtId="167" fontId="0" fillId="0" borderId="47" xfId="0" applyNumberFormat="1" applyBorder="1" applyAlignment="1">
      <alignment horizontal="center" vertical="center"/>
    </xf>
    <xf numFmtId="167" fontId="0" fillId="5" borderId="188" xfId="0" applyNumberFormat="1" applyFill="1" applyBorder="1" applyAlignment="1">
      <alignment horizontal="center"/>
    </xf>
    <xf numFmtId="8" fontId="0" fillId="0" borderId="69" xfId="0" applyNumberFormat="1" applyBorder="1" applyAlignment="1">
      <alignment horizontal="center"/>
    </xf>
    <xf numFmtId="0" fontId="0" fillId="0" borderId="148" xfId="0" applyBorder="1" applyAlignment="1">
      <alignment horizontal="center" vertical="center" wrapText="1"/>
    </xf>
    <xf numFmtId="0" fontId="0" fillId="0" borderId="147" xfId="0" applyBorder="1" applyAlignment="1">
      <alignment horizontal="center" vertical="center" wrapText="1"/>
    </xf>
    <xf numFmtId="0" fontId="0" fillId="0" borderId="69" xfId="0" applyBorder="1" applyAlignment="1">
      <alignment horizontal="center" vertical="center" wrapText="1"/>
    </xf>
    <xf numFmtId="3" fontId="0" fillId="0" borderId="117" xfId="0" applyNumberFormat="1" applyBorder="1" applyAlignment="1">
      <alignment horizontal="center" vertical="center"/>
    </xf>
    <xf numFmtId="3" fontId="0" fillId="0" borderId="79" xfId="0" applyNumberFormat="1" applyBorder="1" applyAlignment="1">
      <alignment horizontal="center" vertical="center"/>
    </xf>
    <xf numFmtId="0" fontId="67" fillId="0" borderId="57" xfId="0" applyFont="1" applyFill="1" applyBorder="1" applyAlignment="1">
      <alignment horizontal="center" vertical="center" wrapText="1"/>
    </xf>
    <xf numFmtId="0" fontId="67" fillId="0" borderId="57" xfId="0" applyFont="1" applyFill="1" applyBorder="1" applyAlignment="1">
      <alignment vertical="center"/>
    </xf>
    <xf numFmtId="0" fontId="33" fillId="0" borderId="57" xfId="0" applyFont="1" applyBorder="1" applyAlignment="1">
      <alignment horizontal="center" vertical="center"/>
    </xf>
    <xf numFmtId="0" fontId="67" fillId="0" borderId="157" xfId="0" applyFont="1" applyFill="1" applyBorder="1" applyAlignment="1">
      <alignment horizontal="center" vertical="center" wrapText="1"/>
    </xf>
    <xf numFmtId="0" fontId="33" fillId="0" borderId="157" xfId="0" applyFont="1" applyBorder="1" applyAlignment="1">
      <alignment horizontal="center" vertical="center"/>
    </xf>
    <xf numFmtId="0" fontId="33" fillId="0" borderId="175" xfId="0" applyFont="1" applyBorder="1" applyAlignment="1">
      <alignment horizontal="center" vertical="center" wrapText="1"/>
    </xf>
    <xf numFmtId="0" fontId="33" fillId="0" borderId="174" xfId="0" applyFont="1" applyBorder="1" applyAlignment="1">
      <alignment horizontal="center" vertical="center" wrapText="1"/>
    </xf>
    <xf numFmtId="0" fontId="67" fillId="0" borderId="174" xfId="0" applyFont="1" applyFill="1" applyBorder="1" applyAlignment="1">
      <alignment vertical="center"/>
    </xf>
    <xf numFmtId="0" fontId="67" fillId="0" borderId="124" xfId="0" applyFont="1" applyFill="1" applyBorder="1" applyAlignment="1">
      <alignment horizontal="center" vertical="center"/>
    </xf>
    <xf numFmtId="0" fontId="128" fillId="0" borderId="153" xfId="0" applyFont="1" applyFill="1" applyBorder="1" applyAlignment="1">
      <alignment horizontal="center" vertical="center" wrapText="1"/>
    </xf>
    <xf numFmtId="0" fontId="67" fillId="0" borderId="153" xfId="0" applyFont="1" applyFill="1" applyBorder="1" applyAlignment="1">
      <alignment horizontal="justify" vertical="center"/>
    </xf>
    <xf numFmtId="0" fontId="104" fillId="0" borderId="25" xfId="0" applyFont="1" applyBorder="1" applyAlignment="1">
      <alignment vertical="center"/>
    </xf>
    <xf numFmtId="0" fontId="33" fillId="0" borderId="153" xfId="0" applyFont="1" applyBorder="1" applyAlignment="1">
      <alignment horizontal="center" vertical="center"/>
    </xf>
    <xf numFmtId="0" fontId="33" fillId="0" borderId="153" xfId="0" applyFont="1" applyFill="1" applyBorder="1" applyAlignment="1">
      <alignment horizontal="center" vertical="center" wrapText="1"/>
    </xf>
    <xf numFmtId="0" fontId="33" fillId="0" borderId="153" xfId="0" applyFont="1" applyBorder="1" applyAlignment="1">
      <alignment horizontal="center" vertical="center" wrapText="1"/>
    </xf>
    <xf numFmtId="0" fontId="67" fillId="0" borderId="189" xfId="0" applyFont="1" applyFill="1" applyBorder="1" applyAlignment="1">
      <alignment horizontal="center" vertical="center" wrapText="1"/>
    </xf>
    <xf numFmtId="0" fontId="67" fillId="0" borderId="51" xfId="0" applyFont="1" applyFill="1" applyBorder="1" applyAlignment="1">
      <alignment horizontal="center" vertical="center"/>
    </xf>
    <xf numFmtId="0" fontId="67" fillId="0" borderId="175" xfId="0" applyFont="1" applyFill="1" applyBorder="1" applyAlignment="1">
      <alignment horizontal="center" vertical="center"/>
    </xf>
    <xf numFmtId="0" fontId="128" fillId="0" borderId="166" xfId="0" applyFont="1" applyFill="1" applyBorder="1" applyAlignment="1">
      <alignment horizontal="center" vertical="center" wrapText="1"/>
    </xf>
    <xf numFmtId="0" fontId="104" fillId="0" borderId="0" xfId="0" applyFont="1" applyAlignment="1">
      <alignment vertical="center"/>
    </xf>
    <xf numFmtId="0" fontId="67" fillId="0" borderId="69" xfId="0" applyFont="1" applyFill="1" applyBorder="1" applyAlignment="1">
      <alignment horizontal="left" vertical="center"/>
    </xf>
    <xf numFmtId="0" fontId="106" fillId="0" borderId="69" xfId="0" applyFont="1" applyBorder="1" applyAlignment="1">
      <alignment vertical="center"/>
    </xf>
    <xf numFmtId="0" fontId="33" fillId="0" borderId="69" xfId="0" applyFont="1" applyBorder="1" applyAlignment="1">
      <alignment horizontal="center" vertical="center"/>
    </xf>
    <xf numFmtId="0" fontId="67" fillId="0" borderId="73" xfId="0" applyFont="1" applyFill="1" applyBorder="1" applyAlignment="1">
      <alignment horizontal="center" vertical="center"/>
    </xf>
    <xf numFmtId="0" fontId="33" fillId="0" borderId="124" xfId="0" applyFont="1" applyBorder="1" applyAlignment="1">
      <alignment horizontal="center" vertical="center" wrapText="1"/>
    </xf>
    <xf numFmtId="0" fontId="128" fillId="0" borderId="85" xfId="0" applyFont="1" applyFill="1" applyBorder="1" applyAlignment="1">
      <alignment horizontal="center" vertical="center" wrapText="1"/>
    </xf>
    <xf numFmtId="0" fontId="33" fillId="0" borderId="69" xfId="0" applyFont="1" applyBorder="1" applyAlignment="1">
      <alignment horizontal="center" vertical="center" wrapText="1"/>
    </xf>
    <xf numFmtId="0" fontId="33" fillId="0" borderId="73" xfId="0" applyFont="1" applyBorder="1" applyAlignment="1">
      <alignment horizontal="center" vertical="center" wrapText="1"/>
    </xf>
    <xf numFmtId="0" fontId="128" fillId="0" borderId="57" xfId="0" applyFont="1" applyBorder="1" applyAlignment="1">
      <alignment horizontal="center" vertical="center" wrapText="1"/>
    </xf>
    <xf numFmtId="0" fontId="103" fillId="0" borderId="157" xfId="0" applyFont="1" applyFill="1" applyBorder="1" applyAlignment="1">
      <alignment horizontal="center" vertical="center" wrapText="1"/>
    </xf>
    <xf numFmtId="0" fontId="33" fillId="0" borderId="188" xfId="0" applyFont="1" applyBorder="1" applyAlignment="1">
      <alignment horizontal="center" vertical="center"/>
    </xf>
    <xf numFmtId="0" fontId="103" fillId="0" borderId="188" xfId="0" applyFont="1" applyFill="1" applyBorder="1" applyAlignment="1">
      <alignment horizontal="center" vertical="center" wrapText="1"/>
    </xf>
    <xf numFmtId="0" fontId="33" fillId="0" borderId="176" xfId="0" applyFont="1" applyBorder="1" applyAlignment="1">
      <alignment horizontal="center" vertical="center" wrapText="1"/>
    </xf>
    <xf numFmtId="0" fontId="128" fillId="0" borderId="188" xfId="0" applyNumberFormat="1" applyFont="1" applyBorder="1" applyAlignment="1">
      <alignment horizontal="center" vertical="center" wrapText="1"/>
    </xf>
    <xf numFmtId="0" fontId="67" fillId="0" borderId="188" xfId="0" applyFont="1" applyBorder="1" applyAlignment="1">
      <alignment horizontal="center" vertical="center"/>
    </xf>
    <xf numFmtId="0" fontId="103" fillId="0" borderId="174" xfId="0" applyFont="1" applyFill="1" applyBorder="1" applyAlignment="1">
      <alignment horizontal="center" vertical="center" wrapText="1"/>
    </xf>
    <xf numFmtId="0" fontId="128" fillId="0" borderId="174" xfId="0" applyFont="1" applyFill="1" applyBorder="1" applyAlignment="1">
      <alignment horizontal="center" vertical="center" wrapText="1"/>
    </xf>
    <xf numFmtId="0" fontId="67" fillId="0" borderId="174" xfId="0" applyFont="1" applyFill="1" applyBorder="1" applyAlignment="1">
      <alignment horizontal="center" vertical="center" wrapText="1"/>
    </xf>
    <xf numFmtId="0" fontId="103" fillId="0" borderId="69" xfId="0" applyFont="1" applyFill="1" applyBorder="1" applyAlignment="1">
      <alignment horizontal="center" vertical="center" wrapText="1"/>
    </xf>
    <xf numFmtId="0" fontId="67" fillId="0" borderId="188" xfId="0" applyFont="1" applyFill="1" applyBorder="1" applyAlignment="1">
      <alignment horizontal="left" vertical="center" wrapText="1"/>
    </xf>
    <xf numFmtId="0" fontId="104" fillId="0" borderId="153" xfId="0" applyFont="1" applyBorder="1" applyAlignment="1">
      <alignment vertical="center"/>
    </xf>
    <xf numFmtId="0" fontId="13" fillId="0" borderId="0" xfId="0" applyFont="1" applyAlignment="1">
      <alignment vertical="center"/>
    </xf>
    <xf numFmtId="0" fontId="67" fillId="0" borderId="174" xfId="0" applyFont="1" applyBorder="1" applyAlignment="1">
      <alignment horizontal="center" vertical="center"/>
    </xf>
    <xf numFmtId="0" fontId="67" fillId="0" borderId="124" xfId="0" applyFont="1" applyBorder="1" applyAlignment="1">
      <alignment horizontal="center" vertical="center" wrapText="1"/>
    </xf>
    <xf numFmtId="0" fontId="103" fillId="0" borderId="23" xfId="0" applyFont="1" applyFill="1" applyBorder="1" applyAlignment="1">
      <alignment horizontal="left" wrapText="1"/>
    </xf>
    <xf numFmtId="0" fontId="128" fillId="0" borderId="153" xfId="0" applyNumberFormat="1" applyFont="1" applyFill="1" applyBorder="1" applyAlignment="1">
      <alignment horizontal="center" vertical="center" wrapText="1"/>
    </xf>
    <xf numFmtId="0" fontId="67" fillId="0" borderId="153" xfId="0" applyFont="1" applyFill="1" applyBorder="1" applyAlignment="1">
      <alignment vertical="center"/>
    </xf>
    <xf numFmtId="0" fontId="33" fillId="0" borderId="190" xfId="0" applyFont="1" applyBorder="1" applyAlignment="1">
      <alignment horizontal="center" vertical="center" wrapText="1"/>
    </xf>
    <xf numFmtId="0" fontId="67" fillId="0" borderId="72" xfId="0" applyFont="1" applyFill="1" applyBorder="1" applyAlignment="1">
      <alignment horizontal="left" vertical="center" wrapText="1"/>
    </xf>
    <xf numFmtId="0" fontId="67" fillId="0" borderId="69" xfId="0" applyFont="1" applyFill="1" applyBorder="1" applyAlignment="1">
      <alignment horizontal="center" vertical="center" wrapText="1"/>
    </xf>
    <xf numFmtId="0" fontId="67" fillId="0" borderId="140" xfId="0" applyFont="1" applyFill="1" applyBorder="1" applyAlignment="1">
      <alignment horizontal="left" vertical="center"/>
    </xf>
    <xf numFmtId="0" fontId="67" fillId="0" borderId="173" xfId="0" applyFont="1" applyFill="1" applyBorder="1" applyAlignment="1">
      <alignment horizontal="left" vertical="center"/>
    </xf>
    <xf numFmtId="0" fontId="67" fillId="0" borderId="174" xfId="0" applyFont="1" applyBorder="1" applyAlignment="1">
      <alignment horizontal="center" vertical="center" wrapText="1"/>
    </xf>
    <xf numFmtId="0" fontId="0" fillId="0" borderId="0" xfId="0" applyAlignment="1">
      <alignment horizontal="center"/>
    </xf>
    <xf numFmtId="0" fontId="0" fillId="0" borderId="0" xfId="0" applyAlignment="1">
      <alignment wrapText="1"/>
    </xf>
    <xf numFmtId="165" fontId="0" fillId="78" borderId="0" xfId="0" applyNumberFormat="1" applyFill="1"/>
    <xf numFmtId="165" fontId="0" fillId="78" borderId="0" xfId="0" applyNumberFormat="1" applyFill="1" applyBorder="1" applyAlignment="1">
      <alignment wrapText="1"/>
    </xf>
    <xf numFmtId="165" fontId="0" fillId="78" borderId="0" xfId="0" applyNumberFormat="1" applyFill="1" applyBorder="1" applyAlignment="1">
      <alignment horizontal="center" wrapText="1"/>
    </xf>
    <xf numFmtId="165" fontId="0" fillId="78" borderId="0" xfId="0" applyNumberFormat="1" applyFill="1" applyBorder="1" applyAlignment="1">
      <alignment horizontal="center"/>
    </xf>
    <xf numFmtId="0" fontId="23" fillId="0" borderId="0" xfId="0" applyFont="1" applyFill="1" applyBorder="1" applyAlignment="1">
      <alignment vertical="top"/>
    </xf>
    <xf numFmtId="0" fontId="25" fillId="0" borderId="0" xfId="0" applyFont="1" applyFill="1" applyBorder="1"/>
    <xf numFmtId="0" fontId="23" fillId="0" borderId="0" xfId="0" applyFont="1" applyFill="1" applyBorder="1" applyAlignment="1">
      <alignment vertical="center"/>
    </xf>
    <xf numFmtId="0" fontId="25" fillId="0" borderId="0" xfId="0" applyFont="1" applyFill="1" applyBorder="1" applyAlignment="1">
      <alignment vertical="center"/>
    </xf>
    <xf numFmtId="0" fontId="11" fillId="3" borderId="11" xfId="1" applyFont="1" applyFill="1" applyBorder="1" applyAlignment="1">
      <alignment horizontal="left" vertical="center" wrapText="1"/>
    </xf>
    <xf numFmtId="0" fontId="129" fillId="0" borderId="0" xfId="0" applyFont="1" applyBorder="1" applyAlignment="1">
      <alignment horizontal="center" vertical="center" wrapText="1"/>
    </xf>
    <xf numFmtId="0" fontId="130" fillId="3" borderId="0" xfId="1" applyNumberFormat="1" applyFont="1" applyFill="1" applyBorder="1" applyAlignment="1">
      <alignment horizontal="center" vertical="center" wrapText="1"/>
    </xf>
    <xf numFmtId="1" fontId="23" fillId="0" borderId="10" xfId="0" applyNumberFormat="1" applyFont="1" applyFill="1" applyBorder="1" applyAlignment="1">
      <alignment horizontal="center" vertical="center"/>
    </xf>
    <xf numFmtId="0" fontId="3" fillId="0" borderId="12" xfId="0" applyFont="1" applyFill="1" applyBorder="1" applyAlignment="1">
      <alignment horizontal="left" vertical="center"/>
    </xf>
    <xf numFmtId="0" fontId="128" fillId="0" borderId="188" xfId="0" applyFont="1" applyFill="1" applyBorder="1" applyAlignment="1">
      <alignment horizontal="center" vertical="center" wrapText="1"/>
    </xf>
    <xf numFmtId="0" fontId="104" fillId="0" borderId="188" xfId="0" applyFont="1" applyBorder="1" applyAlignment="1">
      <alignment vertical="center" wrapText="1"/>
    </xf>
    <xf numFmtId="0" fontId="33" fillId="0" borderId="167" xfId="0" applyFont="1" applyBorder="1" applyAlignment="1">
      <alignment horizontal="center" vertical="center" wrapText="1"/>
    </xf>
    <xf numFmtId="0" fontId="24" fillId="8" borderId="173" xfId="0" applyFont="1" applyFill="1" applyBorder="1" applyAlignment="1">
      <alignment horizontal="center" wrapText="1"/>
    </xf>
    <xf numFmtId="167" fontId="8" fillId="78" borderId="192" xfId="8" applyNumberFormat="1" applyFont="1" applyFill="1" applyBorder="1" applyAlignment="1">
      <alignment horizontal="center" vertical="center"/>
    </xf>
    <xf numFmtId="0" fontId="3" fillId="78" borderId="14" xfId="0" applyFont="1" applyFill="1" applyBorder="1" applyAlignment="1">
      <alignment horizontal="center"/>
    </xf>
    <xf numFmtId="0" fontId="3" fillId="78" borderId="160" xfId="0" applyFont="1" applyFill="1" applyBorder="1" applyAlignment="1">
      <alignment horizontal="center" wrapText="1"/>
    </xf>
    <xf numFmtId="0" fontId="3" fillId="78" borderId="15" xfId="0" applyFont="1" applyFill="1" applyBorder="1" applyAlignment="1">
      <alignment horizontal="center" vertical="center" wrapText="1"/>
    </xf>
    <xf numFmtId="0" fontId="3" fillId="78" borderId="7" xfId="0" applyFont="1" applyFill="1" applyBorder="1" applyAlignment="1">
      <alignment horizontal="center" wrapText="1"/>
    </xf>
    <xf numFmtId="0" fontId="3" fillId="78" borderId="97" xfId="0" applyFont="1" applyFill="1" applyBorder="1" applyAlignment="1">
      <alignment horizontal="center" wrapText="1"/>
    </xf>
    <xf numFmtId="0" fontId="3" fillId="78" borderId="118" xfId="0" applyFont="1" applyFill="1" applyBorder="1" applyAlignment="1">
      <alignment horizontal="center"/>
    </xf>
    <xf numFmtId="0" fontId="3" fillId="78" borderId="17" xfId="0" applyFont="1" applyFill="1" applyBorder="1" applyAlignment="1">
      <alignment horizontal="center"/>
    </xf>
    <xf numFmtId="0" fontId="3" fillId="78" borderId="16" xfId="0" applyFont="1" applyFill="1" applyBorder="1" applyAlignment="1">
      <alignment horizontal="center"/>
    </xf>
    <xf numFmtId="0" fontId="3" fillId="78" borderId="3" xfId="0" applyFont="1" applyFill="1" applyBorder="1" applyAlignment="1">
      <alignment horizontal="center"/>
    </xf>
    <xf numFmtId="0" fontId="62" fillId="0" borderId="9" xfId="0" applyFont="1" applyBorder="1" applyAlignment="1">
      <alignment horizontal="center"/>
    </xf>
    <xf numFmtId="2" fontId="2" fillId="10" borderId="5" xfId="0" applyNumberFormat="1" applyFont="1" applyFill="1" applyBorder="1" applyAlignment="1">
      <alignment horizontal="center" vertical="center" wrapText="1"/>
    </xf>
    <xf numFmtId="0" fontId="3" fillId="78" borderId="17" xfId="0" applyFont="1" applyFill="1" applyBorder="1" applyAlignment="1">
      <alignment horizontal="center" vertical="center" wrapText="1"/>
    </xf>
    <xf numFmtId="0" fontId="3" fillId="78" borderId="15" xfId="0" applyFont="1" applyFill="1" applyBorder="1" applyAlignment="1">
      <alignment horizontal="center" wrapText="1"/>
    </xf>
    <xf numFmtId="0" fontId="3" fillId="78" borderId="17" xfId="0" applyFont="1" applyFill="1" applyBorder="1" applyAlignment="1">
      <alignment horizontal="center" wrapText="1"/>
    </xf>
    <xf numFmtId="0" fontId="3" fillId="78" borderId="182" xfId="0" applyFont="1" applyFill="1" applyBorder="1" applyAlignment="1">
      <alignment horizontal="center" vertical="center" wrapText="1"/>
    </xf>
    <xf numFmtId="0" fontId="3" fillId="78" borderId="178" xfId="0" applyFont="1" applyFill="1" applyBorder="1" applyAlignment="1">
      <alignment horizontal="center" vertical="center" wrapText="1"/>
    </xf>
    <xf numFmtId="0" fontId="3" fillId="78" borderId="191" xfId="0" applyFont="1" applyFill="1" applyBorder="1" applyAlignment="1">
      <alignment horizontal="center" vertical="center" wrapText="1"/>
    </xf>
    <xf numFmtId="0" fontId="3" fillId="78" borderId="97" xfId="0" applyFont="1" applyFill="1" applyBorder="1" applyAlignment="1">
      <alignment horizontal="center" vertical="center" wrapText="1"/>
    </xf>
    <xf numFmtId="0" fontId="3" fillId="78" borderId="118" xfId="0" applyFont="1" applyFill="1" applyBorder="1" applyAlignment="1">
      <alignment horizontal="center" vertical="center" wrapText="1"/>
    </xf>
    <xf numFmtId="0" fontId="3" fillId="78" borderId="118" xfId="0" applyFont="1" applyFill="1" applyBorder="1" applyAlignment="1">
      <alignment horizontal="center" vertical="center"/>
    </xf>
    <xf numFmtId="8" fontId="0" fillId="0" borderId="0" xfId="0" applyNumberFormat="1" applyBorder="1" applyAlignment="1">
      <alignment horizontal="center"/>
    </xf>
    <xf numFmtId="0" fontId="33" fillId="8" borderId="0" xfId="0" applyFont="1" applyFill="1" applyBorder="1" applyAlignment="1">
      <alignment horizontal="center" vertical="center" textRotation="90"/>
    </xf>
    <xf numFmtId="0" fontId="103" fillId="0" borderId="0" xfId="0" applyFont="1" applyFill="1" applyBorder="1" applyAlignment="1">
      <alignment horizontal="left" wrapText="1"/>
    </xf>
    <xf numFmtId="0" fontId="33" fillId="0" borderId="0" xfId="0" applyFont="1" applyFill="1" applyBorder="1" applyAlignment="1">
      <alignment horizontal="center" wrapText="1"/>
    </xf>
    <xf numFmtId="0" fontId="67" fillId="0" borderId="0" xfId="0" applyFont="1" applyFill="1" applyBorder="1" applyAlignment="1">
      <alignment horizontal="left" vertical="center"/>
    </xf>
    <xf numFmtId="0" fontId="103" fillId="0" borderId="0" xfId="0" applyFont="1" applyFill="1" applyBorder="1" applyAlignment="1">
      <alignment horizontal="center" wrapText="1"/>
    </xf>
    <xf numFmtId="0" fontId="33" fillId="0" borderId="0" xfId="0" applyFont="1" applyBorder="1" applyAlignment="1">
      <alignment horizontal="center" wrapText="1"/>
    </xf>
    <xf numFmtId="0" fontId="0" fillId="0" borderId="3" xfId="0" applyBorder="1"/>
    <xf numFmtId="0" fontId="0" fillId="0" borderId="4" xfId="0" applyBorder="1"/>
    <xf numFmtId="1" fontId="23" fillId="0" borderId="150" xfId="0" applyNumberFormat="1" applyFont="1" applyFill="1" applyBorder="1" applyAlignment="1">
      <alignment horizontal="center" vertical="center"/>
    </xf>
    <xf numFmtId="0" fontId="0" fillId="0" borderId="0" xfId="0" applyAlignment="1">
      <alignment horizontal="center" vertical="center"/>
    </xf>
    <xf numFmtId="0" fontId="3" fillId="78" borderId="67" xfId="0" applyFont="1" applyFill="1" applyBorder="1" applyAlignment="1">
      <alignment horizontal="center" wrapText="1"/>
    </xf>
    <xf numFmtId="0" fontId="3" fillId="78" borderId="166" xfId="0" applyFont="1" applyFill="1" applyBorder="1" applyAlignment="1">
      <alignment horizontal="center" wrapText="1"/>
    </xf>
    <xf numFmtId="0" fontId="3" fillId="78" borderId="166" xfId="0" applyFont="1" applyFill="1" applyBorder="1" applyAlignment="1">
      <alignment horizontal="center"/>
    </xf>
    <xf numFmtId="0" fontId="23" fillId="78" borderId="166" xfId="0" applyFont="1" applyFill="1" applyBorder="1" applyAlignment="1">
      <alignment horizontal="center"/>
    </xf>
    <xf numFmtId="0" fontId="23" fillId="78" borderId="193" xfId="0" applyFont="1" applyFill="1" applyBorder="1" applyAlignment="1">
      <alignment horizontal="center"/>
    </xf>
    <xf numFmtId="0" fontId="3" fillId="78" borderId="193" xfId="0" applyFont="1" applyFill="1" applyBorder="1" applyAlignment="1">
      <alignment horizontal="center" wrapText="1"/>
    </xf>
    <xf numFmtId="0" fontId="3" fillId="78" borderId="67" xfId="0" applyFont="1" applyFill="1" applyBorder="1" applyAlignment="1">
      <alignment horizontal="center"/>
    </xf>
    <xf numFmtId="0" fontId="3" fillId="78" borderId="193" xfId="0" applyFont="1" applyFill="1" applyBorder="1" applyAlignment="1">
      <alignment horizontal="center"/>
    </xf>
    <xf numFmtId="0" fontId="3" fillId="78" borderId="183" xfId="0" applyFont="1" applyFill="1" applyBorder="1" applyAlignment="1">
      <alignment horizontal="center" wrapText="1"/>
    </xf>
    <xf numFmtId="167" fontId="23" fillId="78" borderId="167" xfId="8" applyNumberFormat="1" applyFont="1" applyFill="1" applyBorder="1" applyAlignment="1">
      <alignment horizontal="center"/>
    </xf>
    <xf numFmtId="0" fontId="57" fillId="0" borderId="57" xfId="9" applyFont="1" applyFill="1" applyBorder="1" applyAlignment="1">
      <alignment horizontal="center" wrapText="1"/>
    </xf>
    <xf numFmtId="1" fontId="57" fillId="0" borderId="57" xfId="9" applyNumberFormat="1" applyFont="1" applyFill="1" applyBorder="1" applyAlignment="1">
      <alignment horizontal="center" wrapText="1"/>
    </xf>
    <xf numFmtId="0" fontId="57" fillId="0" borderId="57" xfId="9" applyFont="1" applyFill="1" applyBorder="1" applyAlignment="1">
      <alignment wrapText="1"/>
    </xf>
    <xf numFmtId="0" fontId="57" fillId="0" borderId="157" xfId="9" applyFont="1" applyFill="1" applyBorder="1" applyAlignment="1">
      <alignment horizontal="center" wrapText="1"/>
    </xf>
    <xf numFmtId="0" fontId="57" fillId="0" borderId="157" xfId="9" applyNumberFormat="1" applyFont="1" applyFill="1" applyBorder="1" applyAlignment="1">
      <alignment horizontal="center" wrapText="1"/>
    </xf>
    <xf numFmtId="0" fontId="57" fillId="0" borderId="157" xfId="9" applyFont="1" applyFill="1" applyBorder="1" applyAlignment="1">
      <alignment wrapText="1"/>
    </xf>
    <xf numFmtId="0" fontId="57" fillId="0" borderId="174" xfId="9" applyFont="1" applyFill="1" applyBorder="1" applyAlignment="1">
      <alignment horizontal="center" wrapText="1"/>
    </xf>
    <xf numFmtId="0" fontId="57" fillId="0" borderId="174" xfId="9" applyNumberFormat="1" applyFont="1" applyFill="1" applyBorder="1" applyAlignment="1">
      <alignment horizontal="center" wrapText="1"/>
    </xf>
    <xf numFmtId="0" fontId="57" fillId="0" borderId="174" xfId="9" applyFont="1" applyFill="1" applyBorder="1" applyAlignment="1">
      <alignment wrapText="1"/>
    </xf>
    <xf numFmtId="1" fontId="57" fillId="0" borderId="157" xfId="9" applyNumberFormat="1" applyFont="1" applyFill="1" applyBorder="1" applyAlignment="1">
      <alignment horizontal="center" wrapText="1"/>
    </xf>
    <xf numFmtId="0" fontId="57" fillId="0" borderId="188" xfId="9" applyFont="1" applyFill="1" applyBorder="1" applyAlignment="1">
      <alignment horizontal="center" wrapText="1"/>
    </xf>
    <xf numFmtId="1" fontId="57" fillId="0" borderId="188" xfId="9" applyNumberFormat="1" applyFont="1" applyFill="1" applyBorder="1" applyAlignment="1">
      <alignment horizontal="center" wrapText="1"/>
    </xf>
    <xf numFmtId="0" fontId="57" fillId="0" borderId="188" xfId="9" applyFont="1" applyFill="1" applyBorder="1" applyAlignment="1">
      <alignment wrapText="1"/>
    </xf>
    <xf numFmtId="1" fontId="57" fillId="0" borderId="174" xfId="9" applyNumberFormat="1" applyFont="1" applyFill="1" applyBorder="1" applyAlignment="1">
      <alignment horizontal="center" wrapText="1"/>
    </xf>
    <xf numFmtId="0" fontId="0" fillId="0" borderId="1" xfId="0" applyFill="1" applyBorder="1" applyAlignment="1">
      <alignment vertical="center" textRotation="90"/>
    </xf>
    <xf numFmtId="0" fontId="0" fillId="0" borderId="18" xfId="0" applyFill="1" applyBorder="1" applyAlignment="1">
      <alignment vertical="center" textRotation="90"/>
    </xf>
    <xf numFmtId="0" fontId="57" fillId="0" borderId="157" xfId="9" applyFont="1" applyFill="1" applyBorder="1" applyAlignment="1">
      <alignment horizontal="center" vertical="center" wrapText="1"/>
    </xf>
    <xf numFmtId="0" fontId="23" fillId="0" borderId="157" xfId="0" applyFont="1" applyFill="1" applyBorder="1" applyAlignment="1">
      <alignment horizontal="left" vertical="center"/>
    </xf>
    <xf numFmtId="0" fontId="3" fillId="0" borderId="157" xfId="0" applyFont="1" applyFill="1" applyBorder="1" applyAlignment="1">
      <alignment horizontal="center"/>
    </xf>
    <xf numFmtId="0" fontId="0" fillId="0" borderId="157" xfId="0" applyFill="1" applyBorder="1"/>
    <xf numFmtId="0" fontId="0" fillId="0" borderId="3" xfId="0" applyFill="1" applyBorder="1" applyAlignment="1">
      <alignment horizontal="center" vertical="center" textRotation="90"/>
    </xf>
    <xf numFmtId="0" fontId="57" fillId="0" borderId="174" xfId="9" applyFont="1" applyFill="1" applyBorder="1" applyAlignment="1"/>
    <xf numFmtId="0" fontId="0" fillId="0" borderId="9" xfId="0" applyFill="1" applyBorder="1" applyAlignment="1">
      <alignment horizontal="center" vertical="center" textRotation="90"/>
    </xf>
    <xf numFmtId="2" fontId="0" fillId="0" borderId="149" xfId="0" applyNumberFormat="1" applyFont="1" applyFill="1" applyBorder="1" applyAlignment="1">
      <alignment horizontal="center" vertical="center"/>
    </xf>
    <xf numFmtId="0" fontId="3" fillId="0" borderId="149" xfId="9" applyNumberFormat="1" applyFont="1" applyFill="1" applyBorder="1" applyAlignment="1">
      <alignment horizontal="center" vertical="center" wrapText="1"/>
    </xf>
    <xf numFmtId="2" fontId="0" fillId="0" borderId="149" xfId="0" applyNumberFormat="1" applyFont="1" applyFill="1" applyBorder="1" applyAlignment="1">
      <alignment horizontal="left" vertical="center"/>
    </xf>
    <xf numFmtId="1" fontId="0" fillId="0" borderId="149" xfId="0" applyNumberFormat="1" applyFont="1" applyFill="1" applyBorder="1" applyAlignment="1">
      <alignment horizontal="center"/>
    </xf>
    <xf numFmtId="0" fontId="23" fillId="78" borderId="11" xfId="0" applyFont="1" applyFill="1" applyBorder="1" applyAlignment="1">
      <alignment horizontal="center"/>
    </xf>
    <xf numFmtId="0" fontId="103" fillId="0" borderId="140" xfId="0" applyFont="1" applyFill="1" applyBorder="1" applyAlignment="1">
      <alignment horizontal="left" vertical="center" wrapText="1"/>
    </xf>
    <xf numFmtId="0" fontId="0" fillId="0" borderId="0" xfId="0" applyAlignment="1">
      <alignment horizontal="center"/>
    </xf>
    <xf numFmtId="0" fontId="33" fillId="0" borderId="140" xfId="0" applyFont="1" applyFill="1" applyBorder="1" applyAlignment="1">
      <alignment horizontal="justify" vertical="center" wrapText="1"/>
    </xf>
    <xf numFmtId="0" fontId="33" fillId="0" borderId="140" xfId="0" applyFont="1" applyBorder="1" applyAlignment="1">
      <alignment vertical="center" wrapText="1"/>
    </xf>
    <xf numFmtId="0" fontId="33" fillId="0" borderId="140" xfId="0" applyFont="1" applyBorder="1" applyAlignment="1">
      <alignment vertical="center"/>
    </xf>
    <xf numFmtId="0" fontId="33" fillId="0" borderId="173" xfId="0" applyFont="1" applyFill="1" applyBorder="1" applyAlignment="1">
      <alignment horizontal="justify" vertical="center" wrapText="1"/>
    </xf>
    <xf numFmtId="0" fontId="33" fillId="0" borderId="142" xfId="0" applyFont="1" applyBorder="1" applyAlignment="1">
      <alignment horizontal="center" vertical="center" wrapText="1"/>
    </xf>
    <xf numFmtId="0" fontId="33" fillId="0" borderId="72" xfId="0" applyFont="1" applyFill="1" applyBorder="1" applyAlignment="1">
      <alignment horizontal="justify" vertical="center" wrapText="1"/>
    </xf>
    <xf numFmtId="0" fontId="33" fillId="0" borderId="163" xfId="0" applyFont="1" applyFill="1" applyBorder="1" applyAlignment="1">
      <alignment horizontal="center" vertical="center" wrapText="1"/>
    </xf>
    <xf numFmtId="0" fontId="103" fillId="0" borderId="163" xfId="0" applyFont="1" applyFill="1" applyBorder="1" applyAlignment="1">
      <alignment horizontal="center" vertical="center" wrapText="1"/>
    </xf>
    <xf numFmtId="0" fontId="33" fillId="0" borderId="163" xfId="0" applyFont="1" applyBorder="1" applyAlignment="1">
      <alignment horizontal="center" vertical="center" wrapText="1"/>
    </xf>
    <xf numFmtId="0" fontId="103" fillId="0" borderId="19" xfId="0" applyFont="1" applyFill="1" applyBorder="1" applyAlignment="1">
      <alignment horizontal="left" vertical="center" wrapText="1"/>
    </xf>
    <xf numFmtId="0" fontId="103" fillId="0" borderId="140" xfId="0" applyFont="1" applyFill="1" applyBorder="1" applyAlignment="1">
      <alignment horizontal="left" vertical="center" wrapText="1"/>
    </xf>
    <xf numFmtId="0" fontId="103" fillId="0" borderId="173" xfId="0" applyFont="1" applyFill="1" applyBorder="1" applyAlignment="1">
      <alignment horizontal="left" vertical="center" wrapText="1"/>
    </xf>
    <xf numFmtId="0" fontId="74" fillId="0" borderId="175" xfId="0" applyFont="1" applyBorder="1" applyAlignment="1">
      <alignment horizontal="center" vertical="center" wrapText="1"/>
    </xf>
    <xf numFmtId="0" fontId="74" fillId="0" borderId="142" xfId="0" applyFont="1" applyBorder="1" applyAlignment="1">
      <alignment horizontal="center" vertical="center" wrapText="1"/>
    </xf>
    <xf numFmtId="0" fontId="67" fillId="0" borderId="57" xfId="0" applyFont="1" applyBorder="1" applyAlignment="1">
      <alignment horizontal="center" vertical="center" wrapText="1"/>
    </xf>
    <xf numFmtId="0" fontId="108" fillId="3" borderId="1" xfId="1" applyFont="1" applyFill="1" applyBorder="1" applyAlignment="1">
      <alignment vertical="center"/>
    </xf>
    <xf numFmtId="0" fontId="34" fillId="3" borderId="25" xfId="1" applyFont="1" applyFill="1" applyBorder="1" applyAlignment="1">
      <alignment vertical="center"/>
    </xf>
    <xf numFmtId="0" fontId="103" fillId="0" borderId="72" xfId="0" applyFont="1" applyFill="1" applyBorder="1" applyAlignment="1">
      <alignment horizontal="left" wrapText="1"/>
    </xf>
    <xf numFmtId="0" fontId="33" fillId="0" borderId="69" xfId="0" applyFont="1" applyFill="1" applyBorder="1" applyAlignment="1">
      <alignment horizontal="center" wrapText="1"/>
    </xf>
    <xf numFmtId="0" fontId="103" fillId="0" borderId="69" xfId="0" applyFont="1" applyFill="1" applyBorder="1" applyAlignment="1">
      <alignment horizontal="center" wrapText="1"/>
    </xf>
    <xf numFmtId="0" fontId="33" fillId="0" borderId="69" xfId="0" applyFont="1" applyBorder="1" applyAlignment="1">
      <alignment horizontal="center" wrapText="1"/>
    </xf>
    <xf numFmtId="0" fontId="33" fillId="0" borderId="73" xfId="0" applyFont="1" applyBorder="1" applyAlignment="1">
      <alignment horizontal="center" wrapText="1"/>
    </xf>
    <xf numFmtId="0" fontId="33" fillId="0" borderId="149" xfId="0" applyFont="1" applyFill="1" applyBorder="1" applyAlignment="1">
      <alignment horizontal="center" vertical="center"/>
    </xf>
    <xf numFmtId="0" fontId="33" fillId="0" borderId="76" xfId="0" applyFont="1" applyFill="1" applyBorder="1" applyAlignment="1">
      <alignment horizontal="center" vertical="center"/>
    </xf>
    <xf numFmtId="0" fontId="106" fillId="0" borderId="174" xfId="0" applyFont="1" applyBorder="1" applyAlignment="1">
      <alignment vertical="center"/>
    </xf>
    <xf numFmtId="0" fontId="33" fillId="0" borderId="173" xfId="0" applyFont="1" applyBorder="1" applyAlignment="1">
      <alignment horizontal="left" vertical="center" wrapText="1"/>
    </xf>
    <xf numFmtId="0" fontId="33" fillId="0" borderId="72" xfId="0" applyFont="1" applyBorder="1" applyAlignment="1">
      <alignment horizontal="left" vertical="center" wrapText="1"/>
    </xf>
    <xf numFmtId="0" fontId="33" fillId="0" borderId="27" xfId="0" applyFont="1" applyBorder="1" applyAlignment="1">
      <alignment horizontal="center" vertical="center"/>
    </xf>
    <xf numFmtId="0" fontId="0" fillId="0" borderId="0" xfId="0" applyFont="1" applyAlignment="1">
      <alignment vertical="center" wrapText="1"/>
    </xf>
    <xf numFmtId="0" fontId="13" fillId="0" borderId="0" xfId="0" applyFont="1" applyFill="1" applyBorder="1" applyAlignment="1">
      <alignment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30" fillId="0" borderId="0" xfId="0" applyFont="1" applyAlignment="1">
      <alignment horizontal="center" vertical="center"/>
    </xf>
    <xf numFmtId="0" fontId="23" fillId="0" borderId="0" xfId="0" applyFont="1" applyAlignment="1">
      <alignment horizontal="center" vertical="center"/>
    </xf>
    <xf numFmtId="0" fontId="41" fillId="0" borderId="0" xfId="0" applyFont="1" applyBorder="1" applyAlignment="1">
      <alignment horizontal="center" vertical="center"/>
    </xf>
    <xf numFmtId="0" fontId="0" fillId="0" borderId="0" xfId="0" applyAlignment="1">
      <alignment horizontal="center"/>
    </xf>
    <xf numFmtId="0" fontId="131" fillId="0" borderId="12" xfId="0" applyFont="1" applyFill="1" applyBorder="1" applyAlignment="1">
      <alignment horizontal="left" vertical="center" wrapText="1"/>
    </xf>
    <xf numFmtId="0" fontId="57" fillId="70" borderId="8" xfId="9" applyFont="1" applyFill="1" applyBorder="1" applyAlignment="1"/>
    <xf numFmtId="0" fontId="24" fillId="8" borderId="72" xfId="0" applyFont="1" applyFill="1" applyBorder="1" applyAlignment="1">
      <alignment horizontal="center" wrapText="1"/>
    </xf>
    <xf numFmtId="0" fontId="24" fillId="0" borderId="140" xfId="0" applyFont="1" applyFill="1" applyBorder="1" applyAlignment="1">
      <alignment horizontal="center" wrapText="1"/>
    </xf>
    <xf numFmtId="0" fontId="0" fillId="0" borderId="0" xfId="0" applyAlignment="1">
      <alignment horizontal="center" vertical="center"/>
    </xf>
    <xf numFmtId="0" fontId="0" fillId="0" borderId="0" xfId="0" applyAlignment="1">
      <alignment horizontal="center"/>
    </xf>
    <xf numFmtId="0" fontId="41" fillId="0" borderId="0" xfId="0" applyFont="1" applyAlignment="1">
      <alignment horizontal="center" vertical="center" wrapText="1"/>
    </xf>
    <xf numFmtId="0" fontId="0" fillId="0" borderId="0" xfId="0" applyAlignment="1">
      <alignment wrapText="1"/>
    </xf>
    <xf numFmtId="0" fontId="113" fillId="10" borderId="18" xfId="9" applyFont="1" applyFill="1" applyBorder="1" applyAlignment="1">
      <alignment vertical="center" wrapText="1"/>
    </xf>
    <xf numFmtId="0" fontId="31" fillId="0" borderId="0" xfId="0" applyNumberFormat="1" applyFont="1" applyFill="1" applyAlignment="1">
      <alignment horizontal="left"/>
    </xf>
    <xf numFmtId="165" fontId="0" fillId="0" borderId="0" xfId="0" applyNumberFormat="1" applyFill="1" applyBorder="1" applyAlignment="1"/>
    <xf numFmtId="0" fontId="41" fillId="0" borderId="0" xfId="0" applyNumberFormat="1" applyFont="1" applyFill="1" applyAlignment="1">
      <alignment horizontal="left"/>
    </xf>
    <xf numFmtId="165" fontId="41" fillId="0" borderId="0" xfId="0" applyNumberFormat="1" applyFont="1" applyFill="1" applyAlignment="1"/>
    <xf numFmtId="167" fontId="41" fillId="0" borderId="0" xfId="0" applyNumberFormat="1" applyFont="1" applyAlignment="1">
      <alignment horizontal="center" vertical="center"/>
    </xf>
    <xf numFmtId="165" fontId="0" fillId="0" borderId="0" xfId="0" applyNumberFormat="1" applyAlignment="1">
      <alignment horizontal="center"/>
    </xf>
    <xf numFmtId="0" fontId="62" fillId="2" borderId="142" xfId="0" applyFont="1" applyFill="1" applyBorder="1" applyAlignment="1">
      <alignment horizontal="center" vertical="center"/>
    </xf>
    <xf numFmtId="0" fontId="58" fillId="2" borderId="195" xfId="0" applyFont="1" applyFill="1" applyBorder="1" applyAlignment="1">
      <alignment horizontal="center" vertical="center"/>
    </xf>
    <xf numFmtId="0" fontId="58" fillId="2" borderId="174" xfId="0" applyFont="1" applyFill="1" applyBorder="1" applyAlignment="1">
      <alignment horizontal="center" vertical="center"/>
    </xf>
    <xf numFmtId="0" fontId="0" fillId="2" borderId="173" xfId="0" applyFill="1" applyBorder="1"/>
    <xf numFmtId="0" fontId="62" fillId="9" borderId="167" xfId="0" applyFont="1" applyFill="1" applyBorder="1" applyAlignment="1">
      <alignment horizontal="center" vertical="center"/>
    </xf>
    <xf numFmtId="0" fontId="58" fillId="9" borderId="194" xfId="0" applyFont="1" applyFill="1" applyBorder="1" applyAlignment="1">
      <alignment horizontal="center" vertical="center"/>
    </xf>
    <xf numFmtId="0" fontId="58" fillId="9" borderId="188" xfId="0" applyFont="1" applyFill="1" applyBorder="1" applyAlignment="1">
      <alignment horizontal="center" vertical="center"/>
    </xf>
    <xf numFmtId="0" fontId="0" fillId="9" borderId="162" xfId="0" applyFill="1" applyBorder="1"/>
    <xf numFmtId="0" fontId="62" fillId="62" borderId="167" xfId="0" applyFont="1" applyFill="1" applyBorder="1" applyAlignment="1">
      <alignment horizontal="center" vertical="center"/>
    </xf>
    <xf numFmtId="0" fontId="58" fillId="62" borderId="194" xfId="0" applyFont="1" applyFill="1" applyBorder="1" applyAlignment="1">
      <alignment horizontal="center" vertical="center"/>
    </xf>
    <xf numFmtId="0" fontId="58" fillId="62" borderId="157" xfId="0" applyFont="1" applyFill="1" applyBorder="1" applyAlignment="1">
      <alignment horizontal="center" vertical="center"/>
    </xf>
    <xf numFmtId="0" fontId="58" fillId="62" borderId="188" xfId="0" applyFont="1" applyFill="1" applyBorder="1" applyAlignment="1">
      <alignment horizontal="center" vertical="center"/>
    </xf>
    <xf numFmtId="0" fontId="0" fillId="62" borderId="162" xfId="0" applyFill="1" applyBorder="1"/>
    <xf numFmtId="0" fontId="62" fillId="61" borderId="175" xfId="0" applyFont="1" applyFill="1" applyBorder="1" applyAlignment="1">
      <alignment horizontal="center" vertical="center"/>
    </xf>
    <xf numFmtId="0" fontId="58" fillId="61" borderId="161" xfId="0" applyFont="1" applyFill="1" applyBorder="1" applyAlignment="1">
      <alignment horizontal="center" vertical="center"/>
    </xf>
    <xf numFmtId="0" fontId="58" fillId="61" borderId="157" xfId="0" applyFont="1" applyFill="1" applyBorder="1" applyAlignment="1">
      <alignment horizontal="center" vertical="center"/>
    </xf>
    <xf numFmtId="0" fontId="0" fillId="61" borderId="140" xfId="0" applyFill="1" applyBorder="1"/>
    <xf numFmtId="0" fontId="0" fillId="61" borderId="157" xfId="0" applyFill="1" applyBorder="1"/>
    <xf numFmtId="0" fontId="0" fillId="61" borderId="161" xfId="0" applyFill="1" applyBorder="1" applyAlignment="1">
      <alignment horizontal="center"/>
    </xf>
    <xf numFmtId="0" fontId="58" fillId="61" borderId="140" xfId="0" applyFont="1" applyFill="1" applyBorder="1" applyAlignment="1">
      <alignment horizontal="center" vertical="center"/>
    </xf>
    <xf numFmtId="0" fontId="1" fillId="0" borderId="150" xfId="0" applyFont="1" applyBorder="1" applyAlignment="1">
      <alignment horizontal="center" vertical="center"/>
    </xf>
    <xf numFmtId="0" fontId="1" fillId="0" borderId="156" xfId="0" applyFont="1" applyBorder="1" applyAlignment="1">
      <alignment horizontal="center" vertical="center"/>
    </xf>
    <xf numFmtId="0" fontId="1" fillId="0" borderId="149" xfId="0" applyFont="1" applyBorder="1" applyAlignment="1">
      <alignment vertical="center"/>
    </xf>
    <xf numFmtId="0" fontId="75" fillId="0" borderId="162" xfId="0" applyFont="1" applyBorder="1" applyAlignment="1">
      <alignment vertical="top"/>
    </xf>
    <xf numFmtId="0" fontId="75" fillId="0" borderId="140" xfId="0" applyFont="1" applyBorder="1" applyAlignment="1">
      <alignment vertical="top"/>
    </xf>
    <xf numFmtId="0" fontId="0" fillId="61" borderId="161" xfId="0" applyFill="1" applyBorder="1"/>
    <xf numFmtId="0" fontId="1" fillId="0" borderId="156" xfId="0" applyFont="1" applyBorder="1" applyAlignment="1">
      <alignment vertical="center"/>
    </xf>
    <xf numFmtId="0" fontId="101" fillId="0" borderId="18" xfId="0" applyFont="1" applyBorder="1"/>
    <xf numFmtId="3" fontId="65" fillId="0" borderId="18" xfId="0" applyNumberFormat="1" applyFont="1" applyBorder="1" applyAlignment="1">
      <alignment horizontal="right"/>
    </xf>
    <xf numFmtId="0" fontId="65" fillId="0" borderId="0" xfId="0" applyFont="1" applyBorder="1"/>
    <xf numFmtId="0" fontId="65" fillId="0" borderId="0" xfId="0" applyFont="1" applyBorder="1" applyAlignment="1">
      <alignment horizontal="right"/>
    </xf>
    <xf numFmtId="8" fontId="89" fillId="0" borderId="0" xfId="0" applyNumberFormat="1" applyFont="1" applyBorder="1"/>
    <xf numFmtId="8" fontId="0" fillId="0" borderId="26" xfId="0" applyNumberFormat="1" applyBorder="1"/>
    <xf numFmtId="3" fontId="102" fillId="0" borderId="18" xfId="0" applyNumberFormat="1" applyFont="1" applyBorder="1" applyAlignment="1">
      <alignment horizontal="right"/>
    </xf>
    <xf numFmtId="0" fontId="102" fillId="0" borderId="0" xfId="0" applyFont="1" applyBorder="1"/>
    <xf numFmtId="0" fontId="13" fillId="0" borderId="0" xfId="0" applyFont="1" applyBorder="1" applyAlignment="1">
      <alignment horizontal="right"/>
    </xf>
    <xf numFmtId="8" fontId="113" fillId="0" borderId="0" xfId="0" applyNumberFormat="1" applyFont="1" applyBorder="1"/>
    <xf numFmtId="3" fontId="89" fillId="0" borderId="18" xfId="0" applyNumberFormat="1" applyFont="1" applyBorder="1"/>
    <xf numFmtId="0" fontId="89" fillId="0" borderId="0" xfId="0" applyFont="1" applyBorder="1"/>
    <xf numFmtId="0" fontId="102" fillId="0" borderId="27" xfId="0" applyFont="1" applyBorder="1"/>
    <xf numFmtId="8" fontId="89" fillId="0" borderId="27" xfId="0" applyNumberFormat="1" applyFont="1" applyBorder="1"/>
    <xf numFmtId="8" fontId="113" fillId="0" borderId="4" xfId="0" applyNumberFormat="1" applyFont="1" applyBorder="1"/>
    <xf numFmtId="0" fontId="0" fillId="0" borderId="25" xfId="0" applyBorder="1" applyAlignment="1">
      <alignment horizontal="left"/>
    </xf>
    <xf numFmtId="0" fontId="0" fillId="0" borderId="2" xfId="0" applyBorder="1" applyAlignment="1">
      <alignment horizontal="left"/>
    </xf>
    <xf numFmtId="8" fontId="8" fillId="0" borderId="26" xfId="0" applyNumberFormat="1" applyFont="1" applyFill="1" applyBorder="1" applyAlignment="1">
      <alignment horizontal="center" wrapText="1"/>
    </xf>
    <xf numFmtId="17" fontId="0" fillId="0" borderId="0" xfId="0" applyNumberFormat="1" applyBorder="1"/>
    <xf numFmtId="0" fontId="13" fillId="0" borderId="0" xfId="0" applyFont="1" applyBorder="1"/>
    <xf numFmtId="0" fontId="0" fillId="0" borderId="0" xfId="0" applyBorder="1" applyAlignment="1">
      <alignment horizontal="left" wrapText="1"/>
    </xf>
    <xf numFmtId="3" fontId="69" fillId="0" borderId="0" xfId="0" applyNumberFormat="1" applyFont="1" applyBorder="1"/>
    <xf numFmtId="8" fontId="3" fillId="0" borderId="26" xfId="0" applyNumberFormat="1" applyFont="1" applyFill="1" applyBorder="1" applyAlignment="1">
      <alignment horizontal="center" wrapText="1"/>
    </xf>
    <xf numFmtId="8" fontId="23" fillId="0" borderId="27" xfId="0" applyNumberFormat="1" applyFont="1" applyFill="1" applyBorder="1" applyAlignment="1">
      <alignment horizontal="center" wrapText="1"/>
    </xf>
    <xf numFmtId="0" fontId="132" fillId="0" borderId="0" xfId="0" applyNumberFormat="1" applyFont="1" applyFill="1" applyBorder="1" applyAlignment="1"/>
    <xf numFmtId="0" fontId="8" fillId="0" borderId="0" xfId="0" applyNumberFormat="1" applyFont="1" applyFill="1" applyBorder="1" applyAlignment="1"/>
    <xf numFmtId="0" fontId="13" fillId="0" borderId="0" xfId="0" applyNumberFormat="1" applyFont="1" applyAlignment="1"/>
    <xf numFmtId="8" fontId="133" fillId="0" borderId="0" xfId="0" applyNumberFormat="1" applyFont="1" applyBorder="1" applyAlignment="1">
      <alignment horizontal="center"/>
    </xf>
    <xf numFmtId="8" fontId="3" fillId="0" borderId="0" xfId="0" applyNumberFormat="1" applyFont="1" applyBorder="1" applyAlignment="1">
      <alignment horizontal="center"/>
    </xf>
    <xf numFmtId="167" fontId="99" fillId="0" borderId="0" xfId="0" applyNumberFormat="1" applyFont="1" applyAlignment="1">
      <alignment horizontal="center" vertical="center"/>
    </xf>
    <xf numFmtId="167" fontId="99" fillId="0" borderId="0" xfId="0" applyNumberFormat="1" applyFont="1" applyAlignment="1">
      <alignment horizontal="center"/>
    </xf>
    <xf numFmtId="10" fontId="0" fillId="0" borderId="0" xfId="0" applyNumberFormat="1" applyAlignment="1">
      <alignment horizontal="center"/>
    </xf>
    <xf numFmtId="167" fontId="0" fillId="0" borderId="0" xfId="0" applyNumberFormat="1" applyBorder="1"/>
    <xf numFmtId="0" fontId="0" fillId="0" borderId="0" xfId="0" applyAlignment="1">
      <alignment horizontal="justify"/>
    </xf>
    <xf numFmtId="0" fontId="134" fillId="0" borderId="0" xfId="0" applyFont="1"/>
    <xf numFmtId="0" fontId="0" fillId="0" borderId="0" xfId="0" applyAlignment="1">
      <alignment horizontal="center" vertical="center"/>
    </xf>
    <xf numFmtId="0" fontId="74" fillId="0" borderId="69" xfId="0" applyFont="1" applyBorder="1" applyAlignment="1">
      <alignment horizontal="center" vertical="center"/>
    </xf>
    <xf numFmtId="0" fontId="98" fillId="0" borderId="0" xfId="0" applyFont="1" applyBorder="1" applyAlignment="1">
      <alignment horizontal="left" vertical="center" wrapText="1"/>
    </xf>
    <xf numFmtId="0" fontId="15" fillId="3" borderId="11" xfId="1" applyFont="1" applyFill="1" applyBorder="1" applyAlignment="1">
      <alignment horizontal="center" vertical="center"/>
    </xf>
    <xf numFmtId="0" fontId="33" fillId="0" borderId="1" xfId="0" applyFont="1" applyBorder="1" applyAlignment="1">
      <alignment horizontal="center" wrapText="1"/>
    </xf>
    <xf numFmtId="0" fontId="103" fillId="0" borderId="19" xfId="0" applyFont="1" applyFill="1" applyBorder="1" applyAlignment="1">
      <alignment horizontal="left" vertical="center" wrapText="1"/>
    </xf>
    <xf numFmtId="0" fontId="41" fillId="0" borderId="0" xfId="0" applyFont="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62" fillId="0" borderId="0" xfId="0" applyFont="1" applyAlignment="1">
      <alignment horizontal="center" vertical="center"/>
    </xf>
    <xf numFmtId="0" fontId="128" fillId="0" borderId="174" xfId="0" applyNumberFormat="1" applyFont="1" applyFill="1" applyBorder="1" applyAlignment="1">
      <alignment horizontal="center" vertical="center" wrapText="1"/>
    </xf>
    <xf numFmtId="0" fontId="67" fillId="0" borderId="57" xfId="0" applyNumberFormat="1" applyFont="1" applyFill="1" applyBorder="1" applyAlignment="1">
      <alignment horizontal="center" vertical="center" wrapText="1"/>
    </xf>
    <xf numFmtId="0" fontId="67" fillId="0" borderId="51" xfId="0" applyFont="1" applyBorder="1" applyAlignment="1">
      <alignment horizontal="center" vertical="center" wrapText="1"/>
    </xf>
    <xf numFmtId="0" fontId="67" fillId="0" borderId="19" xfId="0" applyFont="1" applyFill="1" applyBorder="1" applyAlignment="1">
      <alignment horizontal="left" vertical="center"/>
    </xf>
    <xf numFmtId="0" fontId="67" fillId="0" borderId="57" xfId="0" applyFont="1" applyBorder="1" applyAlignment="1">
      <alignment horizontal="center" vertical="center"/>
    </xf>
    <xf numFmtId="0" fontId="67" fillId="0" borderId="47" xfId="0" applyFont="1" applyFill="1" applyBorder="1" applyAlignment="1">
      <alignment horizontal="center" vertical="center" wrapText="1"/>
    </xf>
    <xf numFmtId="0" fontId="67" fillId="0" borderId="69" xfId="0" applyFont="1" applyBorder="1" applyAlignment="1">
      <alignment horizontal="center" vertical="center"/>
    </xf>
    <xf numFmtId="0" fontId="67" fillId="0" borderId="197" xfId="0" applyFont="1" applyFill="1" applyBorder="1" applyAlignment="1">
      <alignment vertical="center"/>
    </xf>
    <xf numFmtId="0" fontId="67" fillId="0" borderId="162" xfId="0" applyFont="1" applyFill="1" applyBorder="1" applyAlignment="1">
      <alignment horizontal="left" vertical="center" wrapText="1"/>
    </xf>
    <xf numFmtId="0" fontId="67" fillId="0" borderId="188" xfId="0" applyFont="1" applyFill="1" applyBorder="1" applyAlignment="1">
      <alignment horizontal="center" vertical="center" wrapText="1"/>
    </xf>
    <xf numFmtId="0" fontId="67" fillId="0" borderId="176" xfId="0" applyFont="1" applyFill="1" applyBorder="1" applyAlignment="1">
      <alignment horizontal="center" vertical="center" wrapText="1"/>
    </xf>
    <xf numFmtId="0" fontId="33" fillId="0" borderId="197" xfId="0" applyFont="1" applyFill="1" applyBorder="1" applyAlignment="1">
      <alignment horizontal="center" vertical="center" wrapText="1"/>
    </xf>
    <xf numFmtId="0" fontId="33" fillId="0" borderId="197" xfId="0" applyFont="1" applyBorder="1" applyAlignment="1">
      <alignment horizontal="center" vertical="center"/>
    </xf>
    <xf numFmtId="0" fontId="103" fillId="0" borderId="197" xfId="0" applyFont="1" applyFill="1" applyBorder="1" applyAlignment="1">
      <alignment horizontal="center" vertical="center" wrapText="1"/>
    </xf>
    <xf numFmtId="0" fontId="33" fillId="0" borderId="197" xfId="0" applyFont="1" applyBorder="1" applyAlignment="1">
      <alignment horizontal="center" vertical="center" wrapText="1"/>
    </xf>
    <xf numFmtId="0" fontId="106" fillId="0" borderId="57" xfId="0" applyFont="1" applyFill="1" applyBorder="1" applyAlignment="1">
      <alignment vertical="center"/>
    </xf>
    <xf numFmtId="0" fontId="106" fillId="0" borderId="197" xfId="0" applyFont="1" applyFill="1" applyBorder="1" applyAlignment="1">
      <alignment vertical="center"/>
    </xf>
    <xf numFmtId="0" fontId="106" fillId="0" borderId="174" xfId="0" applyFont="1" applyFill="1" applyBorder="1" applyAlignment="1">
      <alignment vertical="center"/>
    </xf>
    <xf numFmtId="0" fontId="67" fillId="0" borderId="140" xfId="0" applyFont="1" applyFill="1" applyBorder="1" applyAlignment="1">
      <alignment horizontal="justify" vertical="center"/>
    </xf>
    <xf numFmtId="0" fontId="67" fillId="0" borderId="162" xfId="0" applyFont="1" applyFill="1" applyBorder="1" applyAlignment="1">
      <alignment horizontal="left" vertical="center"/>
    </xf>
    <xf numFmtId="0" fontId="33" fillId="0" borderId="1" xfId="0" applyFont="1" applyBorder="1" applyAlignment="1">
      <alignment horizontal="center" wrapText="1"/>
    </xf>
    <xf numFmtId="0" fontId="103" fillId="0" borderId="23" xfId="0" applyFont="1" applyFill="1" applyBorder="1" applyAlignment="1">
      <alignment vertical="center" wrapText="1"/>
    </xf>
    <xf numFmtId="167" fontId="0" fillId="0" borderId="0" xfId="0" applyNumberFormat="1" applyFont="1"/>
    <xf numFmtId="167" fontId="0" fillId="0" borderId="0" xfId="0" applyNumberFormat="1" applyFont="1" applyAlignment="1">
      <alignment vertical="center"/>
    </xf>
    <xf numFmtId="167" fontId="41" fillId="0" borderId="0" xfId="0" applyNumberFormat="1" applyFont="1"/>
    <xf numFmtId="0" fontId="67" fillId="0" borderId="198" xfId="0" applyFont="1" applyFill="1" applyBorder="1" applyAlignment="1">
      <alignment horizontal="left" vertical="center"/>
    </xf>
    <xf numFmtId="0" fontId="106" fillId="0" borderId="198" xfId="0" applyFont="1" applyBorder="1" applyAlignment="1">
      <alignment vertical="center"/>
    </xf>
    <xf numFmtId="0" fontId="67" fillId="0" borderId="198" xfId="0" applyFont="1" applyFill="1" applyBorder="1" applyAlignment="1">
      <alignment vertical="center"/>
    </xf>
    <xf numFmtId="0" fontId="104" fillId="0" borderId="198" xfId="0" applyFont="1" applyBorder="1" applyAlignment="1">
      <alignment vertical="center"/>
    </xf>
    <xf numFmtId="0" fontId="67" fillId="0" borderId="198" xfId="0" applyNumberFormat="1" applyFont="1" applyBorder="1" applyAlignment="1">
      <alignment horizontal="center" vertical="center" wrapText="1"/>
    </xf>
    <xf numFmtId="0" fontId="67" fillId="0" borderId="197" xfId="0" applyNumberFormat="1" applyFont="1" applyBorder="1" applyAlignment="1">
      <alignment horizontal="center" vertical="center" wrapText="1"/>
    </xf>
    <xf numFmtId="0" fontId="67" fillId="0" borderId="197" xfId="0" applyFont="1" applyFill="1" applyBorder="1" applyAlignment="1">
      <alignment horizontal="left" vertical="center"/>
    </xf>
    <xf numFmtId="0" fontId="104" fillId="0" borderId="197" xfId="0" applyFont="1" applyBorder="1" applyAlignment="1">
      <alignment vertical="center"/>
    </xf>
    <xf numFmtId="0" fontId="67" fillId="0" borderId="22" xfId="0" applyFont="1" applyFill="1" applyBorder="1" applyAlignment="1">
      <alignment horizontal="left" vertical="center"/>
    </xf>
    <xf numFmtId="0" fontId="106" fillId="0" borderId="22" xfId="0" applyFont="1" applyBorder="1" applyAlignment="1">
      <alignment vertical="center"/>
    </xf>
    <xf numFmtId="0" fontId="67" fillId="0" borderId="198" xfId="0" applyFont="1" applyFill="1" applyBorder="1" applyAlignment="1">
      <alignment horizontal="left" vertical="center" wrapText="1"/>
    </xf>
    <xf numFmtId="0" fontId="67" fillId="0" borderId="123" xfId="0" applyFont="1" applyFill="1" applyBorder="1" applyAlignment="1">
      <alignment horizontal="left" vertical="center"/>
    </xf>
    <xf numFmtId="0" fontId="33" fillId="8" borderId="6" xfId="0" applyFont="1" applyFill="1" applyBorder="1" applyAlignment="1">
      <alignment vertical="center" textRotation="90"/>
    </xf>
    <xf numFmtId="0" fontId="67" fillId="0" borderId="153" xfId="0" applyFont="1" applyFill="1" applyBorder="1" applyAlignment="1">
      <alignment horizontal="center" vertical="center" wrapText="1"/>
    </xf>
    <xf numFmtId="0" fontId="67" fillId="0" borderId="85" xfId="0" applyFont="1" applyFill="1" applyBorder="1" applyAlignment="1">
      <alignment horizontal="center" vertical="center" wrapText="1"/>
    </xf>
    <xf numFmtId="0" fontId="67" fillId="0" borderId="198" xfId="0" applyFont="1" applyFill="1" applyBorder="1" applyAlignment="1">
      <alignment horizontal="center" vertical="center" wrapText="1"/>
    </xf>
    <xf numFmtId="0" fontId="67" fillId="0" borderId="188" xfId="0" applyNumberFormat="1" applyFont="1" applyBorder="1" applyAlignment="1">
      <alignment horizontal="center" vertical="center" wrapText="1"/>
    </xf>
    <xf numFmtId="0" fontId="67" fillId="0" borderId="22" xfId="0" applyNumberFormat="1" applyFont="1" applyFill="1" applyBorder="1" applyAlignment="1">
      <alignment horizontal="center" vertical="center" wrapText="1"/>
    </xf>
    <xf numFmtId="0" fontId="67" fillId="0" borderId="85" xfId="0" applyNumberFormat="1" applyFont="1" applyFill="1" applyBorder="1" applyAlignment="1">
      <alignment horizontal="center" vertical="center" wrapText="1"/>
    </xf>
    <xf numFmtId="0" fontId="67" fillId="0" borderId="198" xfId="0" applyNumberFormat="1" applyFont="1" applyFill="1" applyBorder="1" applyAlignment="1">
      <alignment horizontal="center" vertical="center" wrapText="1"/>
    </xf>
    <xf numFmtId="0" fontId="67" fillId="0" borderId="153" xfId="0" applyNumberFormat="1" applyFont="1" applyFill="1" applyBorder="1" applyAlignment="1">
      <alignment horizontal="center" vertical="center" wrapText="1"/>
    </xf>
    <xf numFmtId="0" fontId="67" fillId="0" borderId="197" xfId="0" applyFont="1" applyFill="1" applyBorder="1" applyAlignment="1">
      <alignment horizontal="center" vertical="center" wrapText="1"/>
    </xf>
    <xf numFmtId="0" fontId="67" fillId="0" borderId="22" xfId="0" applyFont="1" applyFill="1" applyBorder="1" applyAlignment="1">
      <alignment horizontal="center" vertical="center" wrapText="1"/>
    </xf>
    <xf numFmtId="0" fontId="67" fillId="0" borderId="69" xfId="0" applyNumberFormat="1" applyFont="1" applyFill="1" applyBorder="1" applyAlignment="1">
      <alignment horizontal="center" vertical="center" wrapText="1"/>
    </xf>
    <xf numFmtId="0" fontId="33" fillId="0" borderId="99" xfId="0" applyFont="1" applyBorder="1" applyAlignment="1">
      <alignment horizontal="center" vertical="center"/>
    </xf>
    <xf numFmtId="0" fontId="33" fillId="0" borderId="90" xfId="0" applyFont="1" applyBorder="1" applyAlignment="1">
      <alignment horizontal="center" vertical="center"/>
    </xf>
    <xf numFmtId="0" fontId="33" fillId="0" borderId="195" xfId="0" applyFont="1" applyBorder="1" applyAlignment="1">
      <alignment horizontal="center" vertical="center"/>
    </xf>
    <xf numFmtId="0" fontId="67" fillId="0" borderId="194" xfId="0" applyFont="1" applyBorder="1" applyAlignment="1">
      <alignment horizontal="center" vertical="center"/>
    </xf>
    <xf numFmtId="0" fontId="130" fillId="3" borderId="12" xfId="1" applyNumberFormat="1" applyFont="1" applyFill="1" applyBorder="1" applyAlignment="1">
      <alignment horizontal="center" vertical="center" wrapText="1"/>
    </xf>
    <xf numFmtId="0" fontId="67" fillId="0" borderId="161" xfId="0" applyFont="1" applyBorder="1" applyAlignment="1">
      <alignment horizontal="center" vertical="center"/>
    </xf>
    <xf numFmtId="0" fontId="0" fillId="72" borderId="12" xfId="0" applyFont="1" applyFill="1" applyBorder="1" applyAlignment="1">
      <alignment horizontal="center" vertical="center"/>
    </xf>
    <xf numFmtId="0" fontId="0" fillId="72" borderId="6" xfId="0" applyFont="1" applyFill="1" applyBorder="1" applyAlignment="1">
      <alignment horizontal="center" vertical="center"/>
    </xf>
    <xf numFmtId="0" fontId="0" fillId="72" borderId="13" xfId="0" applyFill="1" applyBorder="1" applyAlignment="1">
      <alignment horizontal="center" vertical="center"/>
    </xf>
    <xf numFmtId="0" fontId="0" fillId="72" borderId="177" xfId="0" applyFill="1" applyBorder="1" applyAlignment="1">
      <alignment horizontal="center" vertical="center"/>
    </xf>
    <xf numFmtId="0" fontId="0" fillId="72" borderId="7" xfId="0" applyFill="1" applyBorder="1" applyAlignment="1">
      <alignment horizontal="center" vertical="center"/>
    </xf>
    <xf numFmtId="0" fontId="41" fillId="72" borderId="13" xfId="0" applyFont="1" applyFill="1" applyBorder="1" applyAlignment="1">
      <alignment horizontal="center" vertical="center"/>
    </xf>
    <xf numFmtId="0" fontId="41" fillId="72" borderId="7" xfId="0" applyFont="1" applyFill="1" applyBorder="1" applyAlignment="1">
      <alignment horizontal="center" vertical="center"/>
    </xf>
    <xf numFmtId="0" fontId="0" fillId="72" borderId="12" xfId="0" applyFill="1" applyBorder="1" applyAlignment="1">
      <alignment horizontal="center" vertical="center"/>
    </xf>
    <xf numFmtId="0" fontId="41" fillId="72" borderId="12" xfId="0" applyFont="1" applyFill="1" applyBorder="1" applyAlignment="1">
      <alignment horizontal="center" vertical="center"/>
    </xf>
    <xf numFmtId="0" fontId="0" fillId="72" borderId="13" xfId="0" applyFont="1" applyFill="1" applyBorder="1" applyAlignment="1">
      <alignment horizontal="center" vertical="center"/>
    </xf>
    <xf numFmtId="0" fontId="0" fillId="72" borderId="177" xfId="0" applyFont="1" applyFill="1" applyBorder="1" applyAlignment="1">
      <alignment horizontal="center" vertical="center"/>
    </xf>
    <xf numFmtId="0" fontId="0" fillId="72" borderId="7" xfId="0" applyFont="1" applyFill="1" applyBorder="1" applyAlignment="1">
      <alignment horizontal="center" vertical="center"/>
    </xf>
    <xf numFmtId="0" fontId="41" fillId="72" borderId="177" xfId="0" applyFont="1" applyFill="1" applyBorder="1" applyAlignment="1">
      <alignment horizontal="center" vertical="center"/>
    </xf>
    <xf numFmtId="0" fontId="33" fillId="0" borderId="152" xfId="0" applyFont="1" applyBorder="1" applyAlignment="1">
      <alignment horizontal="center" vertical="center"/>
    </xf>
    <xf numFmtId="0" fontId="33" fillId="0" borderId="199" xfId="0" applyFont="1" applyBorder="1" applyAlignment="1">
      <alignment horizontal="center" vertical="center"/>
    </xf>
    <xf numFmtId="0" fontId="33" fillId="0" borderId="79" xfId="0" applyFont="1" applyBorder="1" applyAlignment="1">
      <alignment horizontal="center" vertical="center"/>
    </xf>
    <xf numFmtId="0" fontId="74" fillId="0" borderId="79" xfId="0" applyFont="1" applyBorder="1" applyAlignment="1">
      <alignment horizontal="center" vertical="center"/>
    </xf>
    <xf numFmtId="0" fontId="67" fillId="0" borderId="99" xfId="0" applyFont="1" applyBorder="1" applyAlignment="1">
      <alignment horizontal="center" vertical="center" wrapText="1"/>
    </xf>
    <xf numFmtId="0" fontId="67" fillId="0" borderId="195" xfId="0" applyFont="1" applyBorder="1" applyAlignment="1">
      <alignment horizontal="center" vertical="center"/>
    </xf>
    <xf numFmtId="0" fontId="67" fillId="0" borderId="79" xfId="0" applyFont="1" applyBorder="1" applyAlignment="1">
      <alignment horizontal="center" vertical="center"/>
    </xf>
    <xf numFmtId="0" fontId="67" fillId="0" borderId="99" xfId="0" applyFont="1" applyBorder="1" applyAlignment="1">
      <alignment horizontal="center" vertical="center"/>
    </xf>
    <xf numFmtId="0" fontId="33" fillId="0" borderId="161" xfId="0" applyFont="1" applyBorder="1" applyAlignment="1">
      <alignment horizontal="center" vertical="center"/>
    </xf>
    <xf numFmtId="0" fontId="33" fillId="0" borderId="194" xfId="0" applyFont="1" applyBorder="1" applyAlignment="1">
      <alignment horizontal="center" vertical="center"/>
    </xf>
    <xf numFmtId="0" fontId="33" fillId="0" borderId="13" xfId="0" applyFont="1" applyBorder="1" applyAlignment="1">
      <alignment horizontal="center" vertical="center"/>
    </xf>
    <xf numFmtId="0" fontId="33" fillId="0" borderId="12" xfId="0" applyFont="1" applyFill="1" applyBorder="1" applyAlignment="1">
      <alignment horizontal="center" vertical="center" wrapText="1"/>
    </xf>
    <xf numFmtId="0" fontId="33" fillId="0" borderId="6" xfId="0" applyFont="1" applyBorder="1" applyAlignment="1">
      <alignment horizontal="center" vertical="center"/>
    </xf>
    <xf numFmtId="0" fontId="103" fillId="0" borderId="13" xfId="0" applyFont="1" applyFill="1" applyBorder="1" applyAlignment="1">
      <alignment horizontal="center" vertical="center" wrapText="1"/>
    </xf>
    <xf numFmtId="0" fontId="103" fillId="0" borderId="12" xfId="0" applyFont="1" applyFill="1" applyBorder="1" applyAlignment="1">
      <alignment horizontal="center" vertical="center" wrapText="1"/>
    </xf>
    <xf numFmtId="0" fontId="103" fillId="0" borderId="15" xfId="0" applyFont="1" applyFill="1" applyBorder="1" applyAlignment="1">
      <alignment horizontal="center" vertical="center" wrapText="1"/>
    </xf>
    <xf numFmtId="0" fontId="67" fillId="0" borderId="177" xfId="0" applyFont="1" applyBorder="1" applyAlignment="1">
      <alignment horizontal="center" vertical="center"/>
    </xf>
    <xf numFmtId="0" fontId="67" fillId="0" borderId="178" xfId="0" applyFont="1" applyBorder="1" applyAlignment="1">
      <alignment horizontal="center" vertical="center"/>
    </xf>
    <xf numFmtId="0" fontId="67" fillId="0" borderId="13" xfId="0" applyFont="1" applyFill="1" applyBorder="1" applyAlignment="1">
      <alignment horizontal="center" vertical="center" wrapText="1"/>
    </xf>
    <xf numFmtId="0" fontId="67" fillId="0" borderId="15" xfId="0" applyFont="1" applyFill="1" applyBorder="1" applyAlignment="1">
      <alignment horizontal="center" vertical="center" wrapText="1"/>
    </xf>
    <xf numFmtId="0" fontId="103" fillId="0" borderId="177" xfId="0" applyFont="1" applyFill="1" applyBorder="1" applyAlignment="1">
      <alignment horizontal="center" vertical="center" wrapText="1"/>
    </xf>
    <xf numFmtId="0" fontId="67" fillId="0" borderId="7" xfId="0" applyFont="1" applyFill="1" applyBorder="1" applyAlignment="1">
      <alignment horizontal="center" vertical="center" wrapText="1"/>
    </xf>
    <xf numFmtId="0" fontId="67" fillId="0" borderId="178" xfId="0" applyFont="1" applyFill="1" applyBorder="1" applyAlignment="1">
      <alignment horizontal="center" vertical="center" wrapText="1"/>
    </xf>
    <xf numFmtId="0" fontId="103" fillId="0" borderId="7" xfId="0" applyFont="1" applyFill="1" applyBorder="1" applyAlignment="1">
      <alignment horizontal="center" vertical="center" wrapText="1"/>
    </xf>
    <xf numFmtId="0" fontId="98" fillId="0" borderId="0" xfId="0" applyFont="1" applyBorder="1" applyAlignment="1">
      <alignment horizontal="left" vertical="center" wrapText="1"/>
    </xf>
    <xf numFmtId="0" fontId="0" fillId="0" borderId="0" xfId="0" applyFont="1" applyAlignment="1">
      <alignment horizontal="center" vertical="center"/>
    </xf>
    <xf numFmtId="0" fontId="33" fillId="0" borderId="158" xfId="0" applyFont="1" applyBorder="1" applyAlignment="1">
      <alignment horizontal="center" vertical="center"/>
    </xf>
    <xf numFmtId="0" fontId="33" fillId="0" borderId="25" xfId="0" applyFont="1" applyBorder="1" applyAlignment="1">
      <alignment horizontal="center" vertical="center"/>
    </xf>
    <xf numFmtId="0" fontId="33" fillId="0" borderId="10" xfId="0" applyFont="1" applyBorder="1" applyAlignment="1">
      <alignment horizontal="center" vertical="center"/>
    </xf>
    <xf numFmtId="0" fontId="33" fillId="0" borderId="0" xfId="0" applyFont="1" applyBorder="1" applyAlignment="1">
      <alignment horizontal="center" vertical="center"/>
    </xf>
    <xf numFmtId="0" fontId="67" fillId="0" borderId="196" xfId="0" applyFont="1" applyBorder="1" applyAlignment="1">
      <alignment horizontal="center" vertical="center"/>
    </xf>
    <xf numFmtId="0" fontId="67" fillId="0" borderId="151" xfId="0" applyFont="1" applyBorder="1" applyAlignment="1">
      <alignment horizontal="center" vertical="center"/>
    </xf>
    <xf numFmtId="0" fontId="67" fillId="0" borderId="158" xfId="0" applyFont="1" applyBorder="1" applyAlignment="1">
      <alignment horizontal="center" vertical="center" wrapText="1"/>
    </xf>
    <xf numFmtId="0" fontId="67" fillId="0" borderId="159" xfId="0" applyFont="1" applyBorder="1" applyAlignment="1">
      <alignment horizontal="center" vertical="center"/>
    </xf>
    <xf numFmtId="0" fontId="67" fillId="0" borderId="45" xfId="0" applyFont="1" applyBorder="1" applyAlignment="1">
      <alignment horizontal="center" vertical="center"/>
    </xf>
    <xf numFmtId="0" fontId="67" fillId="0" borderId="158" xfId="0" applyFont="1" applyBorder="1" applyAlignment="1">
      <alignment horizontal="center" vertical="center"/>
    </xf>
    <xf numFmtId="0" fontId="33" fillId="0" borderId="196" xfId="0" applyFont="1" applyBorder="1" applyAlignment="1">
      <alignment horizontal="center" vertical="center"/>
    </xf>
    <xf numFmtId="0" fontId="33" fillId="0" borderId="45" xfId="0" applyFont="1" applyBorder="1" applyAlignment="1">
      <alignment horizontal="center" vertical="center"/>
    </xf>
    <xf numFmtId="0" fontId="33" fillId="0" borderId="151" xfId="0" applyFont="1" applyBorder="1" applyAlignment="1">
      <alignment horizontal="center" vertical="center"/>
    </xf>
    <xf numFmtId="0" fontId="33" fillId="0" borderId="159" xfId="0" applyFont="1" applyBorder="1" applyAlignment="1">
      <alignment horizontal="center" vertical="center"/>
    </xf>
    <xf numFmtId="1" fontId="5" fillId="5" borderId="12" xfId="9" applyNumberFormat="1" applyFont="1" applyFill="1" applyBorder="1" applyAlignment="1">
      <alignment horizontal="center" vertical="center" wrapText="1"/>
    </xf>
    <xf numFmtId="0" fontId="1" fillId="0" borderId="0" xfId="0" applyFont="1" applyAlignment="1">
      <alignment vertical="top"/>
    </xf>
    <xf numFmtId="0" fontId="0" fillId="0" borderId="0" xfId="0" applyAlignment="1">
      <alignment wrapText="1"/>
    </xf>
    <xf numFmtId="0" fontId="128" fillId="0" borderId="197" xfId="0" applyFont="1" applyFill="1" applyBorder="1" applyAlignment="1">
      <alignment horizontal="center" vertical="center" wrapText="1"/>
    </xf>
    <xf numFmtId="0" fontId="33" fillId="0" borderId="198" xfId="0" applyFont="1" applyBorder="1" applyAlignment="1">
      <alignment horizontal="center" vertical="center"/>
    </xf>
    <xf numFmtId="0" fontId="33" fillId="0" borderId="198" xfId="0" applyFont="1" applyFill="1" applyBorder="1" applyAlignment="1">
      <alignment horizontal="center" vertical="center" wrapText="1"/>
    </xf>
    <xf numFmtId="0" fontId="106" fillId="0" borderId="197" xfId="0" applyFont="1" applyBorder="1" applyAlignment="1">
      <alignment vertical="center"/>
    </xf>
    <xf numFmtId="0" fontId="67" fillId="0" borderId="197" xfId="0" applyFont="1" applyFill="1" applyBorder="1" applyAlignment="1">
      <alignment horizontal="left" vertical="center" wrapText="1"/>
    </xf>
    <xf numFmtId="0" fontId="33" fillId="0" borderId="22" xfId="0" applyFont="1" applyBorder="1" applyAlignment="1">
      <alignment horizontal="center" vertical="center"/>
    </xf>
    <xf numFmtId="0" fontId="33" fillId="0" borderId="22" xfId="0" applyFont="1" applyBorder="1" applyAlignment="1">
      <alignment horizontal="center" vertical="center" wrapText="1"/>
    </xf>
    <xf numFmtId="0" fontId="74" fillId="0" borderId="147" xfId="0" applyFont="1" applyBorder="1" applyAlignment="1">
      <alignment horizontal="center" vertical="center"/>
    </xf>
    <xf numFmtId="0" fontId="74" fillId="0" borderId="147" xfId="0" applyFont="1" applyBorder="1" applyAlignment="1">
      <alignment horizontal="center" vertical="center" wrapText="1"/>
    </xf>
    <xf numFmtId="0" fontId="74" fillId="0" borderId="155" xfId="0" applyFont="1" applyBorder="1" applyAlignment="1">
      <alignment horizontal="center" vertical="center" wrapText="1"/>
    </xf>
    <xf numFmtId="0" fontId="67" fillId="0" borderId="19" xfId="0" applyFont="1" applyFill="1" applyBorder="1" applyAlignment="1">
      <alignment horizontal="left" vertical="center" wrapText="1"/>
    </xf>
    <xf numFmtId="0" fontId="74" fillId="0" borderId="51" xfId="0" applyFont="1" applyBorder="1" applyAlignment="1">
      <alignment horizontal="center" vertical="center" wrapText="1"/>
    </xf>
    <xf numFmtId="0" fontId="67" fillId="0" borderId="198" xfId="0" applyFont="1" applyBorder="1" applyAlignment="1">
      <alignment horizontal="center" vertical="center"/>
    </xf>
    <xf numFmtId="0" fontId="67" fillId="0" borderId="55" xfId="0" applyFont="1" applyFill="1" applyBorder="1" applyAlignment="1">
      <alignment horizontal="left" vertical="center" wrapText="1"/>
    </xf>
    <xf numFmtId="0" fontId="103" fillId="0" borderId="198" xfId="0" applyFont="1" applyFill="1" applyBorder="1" applyAlignment="1">
      <alignment horizontal="center" vertical="center" wrapText="1"/>
    </xf>
    <xf numFmtId="0" fontId="67" fillId="0" borderId="85" xfId="0" applyFont="1" applyFill="1" applyBorder="1" applyAlignment="1">
      <alignment vertical="center"/>
    </xf>
    <xf numFmtId="0" fontId="104" fillId="0" borderId="85" xfId="0" applyFont="1" applyBorder="1" applyAlignment="1">
      <alignment vertical="center"/>
    </xf>
    <xf numFmtId="0" fontId="67" fillId="0" borderId="197" xfId="0" applyFont="1" applyBorder="1" applyAlignment="1">
      <alignment horizontal="center" vertical="center"/>
    </xf>
    <xf numFmtId="0" fontId="74" fillId="0" borderId="197" xfId="0" applyFont="1" applyBorder="1" applyAlignment="1">
      <alignment horizontal="center" vertical="center"/>
    </xf>
    <xf numFmtId="0" fontId="33" fillId="0" borderId="188" xfId="0" applyFont="1" applyFill="1" applyBorder="1" applyAlignment="1">
      <alignment horizontal="center" vertical="center" wrapText="1"/>
    </xf>
    <xf numFmtId="0" fontId="67" fillId="0" borderId="23" xfId="0" applyFont="1" applyFill="1" applyBorder="1" applyAlignment="1">
      <alignment horizontal="left" wrapText="1"/>
    </xf>
    <xf numFmtId="0" fontId="128" fillId="0" borderId="57" xfId="0" applyFont="1" applyFill="1" applyBorder="1" applyAlignment="1">
      <alignment horizontal="center" vertical="center" wrapText="1"/>
    </xf>
    <xf numFmtId="0" fontId="128" fillId="0" borderId="57" xfId="0" applyNumberFormat="1" applyFont="1" applyFill="1" applyBorder="1" applyAlignment="1">
      <alignment horizontal="center" vertical="center" wrapText="1"/>
    </xf>
    <xf numFmtId="0" fontId="67" fillId="0" borderId="51" xfId="0" applyFont="1" applyFill="1" applyBorder="1" applyAlignment="1">
      <alignment horizontal="center" vertical="center" wrapText="1"/>
    </xf>
    <xf numFmtId="0" fontId="67" fillId="0" borderId="123" xfId="0" applyFont="1" applyFill="1" applyBorder="1" applyAlignment="1">
      <alignment horizontal="left" vertical="center" wrapText="1"/>
    </xf>
    <xf numFmtId="0" fontId="128" fillId="0" borderId="22" xfId="0" applyFont="1" applyFill="1" applyBorder="1" applyAlignment="1">
      <alignment horizontal="center" vertical="center" wrapText="1"/>
    </xf>
    <xf numFmtId="0" fontId="67" fillId="0" borderId="124" xfId="0" applyFont="1" applyFill="1" applyBorder="1" applyAlignment="1">
      <alignment horizontal="center" vertical="center" wrapText="1"/>
    </xf>
    <xf numFmtId="0" fontId="103" fillId="0" borderId="22" xfId="0" applyFont="1" applyFill="1" applyBorder="1" applyAlignment="1">
      <alignment horizontal="center" vertical="center" wrapText="1"/>
    </xf>
    <xf numFmtId="0" fontId="33" fillId="0" borderId="0" xfId="0" applyFont="1" applyBorder="1" applyAlignment="1">
      <alignment horizontal="center" vertical="center" textRotation="90"/>
    </xf>
    <xf numFmtId="0" fontId="74" fillId="0" borderId="0" xfId="0" applyFont="1" applyFill="1" applyBorder="1" applyAlignment="1">
      <alignment horizontal="left" vertical="center"/>
    </xf>
    <xf numFmtId="0" fontId="33" fillId="0" borderId="0" xfId="0" applyFont="1" applyFill="1" applyBorder="1" applyAlignment="1">
      <alignment horizontal="center" vertical="center" wrapText="1"/>
    </xf>
    <xf numFmtId="0" fontId="67" fillId="0" borderId="0" xfId="0" applyFont="1" applyFill="1" applyBorder="1" applyAlignment="1">
      <alignment horizontal="left" vertical="center" wrapText="1"/>
    </xf>
    <xf numFmtId="0" fontId="103" fillId="0" borderId="0" xfId="0" applyFont="1" applyFill="1" applyBorder="1" applyAlignment="1">
      <alignment horizontal="center" vertical="center" wrapText="1"/>
    </xf>
    <xf numFmtId="0" fontId="33" fillId="0" borderId="0" xfId="0" applyFont="1" applyBorder="1" applyAlignment="1">
      <alignment horizontal="center" vertical="center" wrapText="1"/>
    </xf>
    <xf numFmtId="0" fontId="128" fillId="0" borderId="198" xfId="0" applyNumberFormat="1" applyFont="1" applyBorder="1" applyAlignment="1">
      <alignment horizontal="center" vertical="center" wrapText="1"/>
    </xf>
    <xf numFmtId="0" fontId="33" fillId="0" borderId="162" xfId="0" applyFont="1" applyFill="1" applyBorder="1" applyAlignment="1">
      <alignment horizontal="justify" wrapText="1"/>
    </xf>
    <xf numFmtId="0" fontId="67" fillId="0" borderId="188" xfId="0" applyFont="1" applyFill="1" applyBorder="1" applyAlignment="1">
      <alignment horizontal="justify" vertical="center"/>
    </xf>
    <xf numFmtId="0" fontId="33" fillId="0" borderId="188" xfId="0" applyFont="1" applyBorder="1" applyAlignment="1">
      <alignment horizontal="center" wrapText="1"/>
    </xf>
    <xf numFmtId="0" fontId="33" fillId="0" borderId="176" xfId="0" applyFont="1" applyBorder="1" applyAlignment="1">
      <alignment horizontal="center" wrapText="1"/>
    </xf>
    <xf numFmtId="0" fontId="67" fillId="0" borderId="96" xfId="0" applyFont="1" applyFill="1" applyBorder="1" applyAlignment="1">
      <alignment horizontal="justify" vertical="center" wrapText="1"/>
    </xf>
    <xf numFmtId="0" fontId="67" fillId="0" borderId="147" xfId="0" applyFont="1" applyFill="1" applyBorder="1" applyAlignment="1">
      <alignment horizontal="center" vertical="center" wrapText="1"/>
    </xf>
    <xf numFmtId="0" fontId="67" fillId="0" borderId="147" xfId="0" applyFont="1" applyFill="1" applyBorder="1" applyAlignment="1">
      <alignment vertical="center"/>
    </xf>
    <xf numFmtId="0" fontId="106" fillId="0" borderId="147" xfId="0" applyFont="1" applyFill="1" applyBorder="1" applyAlignment="1">
      <alignment vertical="center"/>
    </xf>
    <xf numFmtId="0" fontId="67" fillId="0" borderId="147" xfId="0" applyFont="1" applyFill="1" applyBorder="1" applyAlignment="1">
      <alignment horizontal="center" vertical="center"/>
    </xf>
    <xf numFmtId="0" fontId="67" fillId="0" borderId="155" xfId="0" applyFont="1" applyFill="1" applyBorder="1" applyAlignment="1">
      <alignment horizontal="center" vertical="center" wrapText="1"/>
    </xf>
    <xf numFmtId="0" fontId="67" fillId="0" borderId="197" xfId="0" applyFont="1" applyFill="1" applyBorder="1" applyAlignment="1">
      <alignment horizontal="justify" vertical="center"/>
    </xf>
    <xf numFmtId="0" fontId="67" fillId="0" borderId="142" xfId="0" applyFont="1" applyBorder="1" applyAlignment="1">
      <alignment horizontal="center" vertical="center" wrapText="1"/>
    </xf>
    <xf numFmtId="0" fontId="33" fillId="0" borderId="197" xfId="0" applyFont="1" applyFill="1" applyBorder="1" applyAlignment="1">
      <alignment horizontal="center" wrapText="1"/>
    </xf>
    <xf numFmtId="0" fontId="33" fillId="0" borderId="197" xfId="0" applyFont="1" applyBorder="1" applyAlignment="1">
      <alignment horizontal="center" wrapText="1"/>
    </xf>
    <xf numFmtId="0" fontId="67" fillId="0" borderId="197" xfId="0" applyFont="1" applyBorder="1" applyAlignment="1">
      <alignment horizontal="center" wrapText="1"/>
    </xf>
    <xf numFmtId="0" fontId="33" fillId="0" borderId="140" xfId="0" applyFont="1" applyFill="1" applyBorder="1" applyAlignment="1">
      <alignment horizontal="justify" wrapText="1"/>
    </xf>
    <xf numFmtId="0" fontId="33" fillId="0" borderId="175" xfId="0" applyFont="1" applyBorder="1" applyAlignment="1">
      <alignment horizontal="center" wrapText="1"/>
    </xf>
    <xf numFmtId="0" fontId="103" fillId="0" borderId="140" xfId="0" applyFont="1" applyFill="1" applyBorder="1" applyAlignment="1">
      <alignment horizontal="left" wrapText="1"/>
    </xf>
    <xf numFmtId="0" fontId="67" fillId="0" borderId="140" xfId="0" applyFont="1" applyFill="1" applyBorder="1" applyAlignment="1">
      <alignment horizontal="justify" wrapText="1"/>
    </xf>
    <xf numFmtId="0" fontId="67" fillId="0" borderId="175" xfId="0" applyFont="1" applyBorder="1" applyAlignment="1">
      <alignment horizontal="center" wrapText="1"/>
    </xf>
    <xf numFmtId="0" fontId="103" fillId="0" borderId="173" xfId="0" applyFont="1" applyFill="1" applyBorder="1" applyAlignment="1">
      <alignment horizontal="left" wrapText="1"/>
    </xf>
    <xf numFmtId="0" fontId="33" fillId="0" borderId="174" xfId="0" applyFont="1" applyFill="1" applyBorder="1" applyAlignment="1">
      <alignment horizontal="center" wrapText="1"/>
    </xf>
    <xf numFmtId="0" fontId="103" fillId="0" borderId="174" xfId="0" applyFont="1" applyFill="1" applyBorder="1" applyAlignment="1">
      <alignment horizontal="center" wrapText="1"/>
    </xf>
    <xf numFmtId="0" fontId="33" fillId="0" borderId="174" xfId="0" applyFont="1" applyBorder="1" applyAlignment="1">
      <alignment horizontal="center" wrapText="1"/>
    </xf>
    <xf numFmtId="0" fontId="33" fillId="0" borderId="142" xfId="0" applyFont="1" applyBorder="1" applyAlignment="1">
      <alignment horizontal="center" wrapText="1"/>
    </xf>
    <xf numFmtId="0" fontId="67" fillId="0" borderId="147" xfId="0" applyFont="1" applyBorder="1" applyAlignment="1">
      <alignment horizontal="center" vertical="center"/>
    </xf>
    <xf numFmtId="0" fontId="67" fillId="0" borderId="153" xfId="0" applyFont="1" applyBorder="1" applyAlignment="1">
      <alignment horizontal="center" vertical="center"/>
    </xf>
    <xf numFmtId="0" fontId="67" fillId="0" borderId="153" xfId="0" applyFont="1" applyBorder="1" applyAlignment="1">
      <alignment horizontal="center" vertical="center" wrapText="1"/>
    </xf>
    <xf numFmtId="0" fontId="67" fillId="0" borderId="190" xfId="0" applyFont="1" applyBorder="1" applyAlignment="1">
      <alignment horizontal="center" vertical="center" wrapText="1"/>
    </xf>
    <xf numFmtId="0" fontId="67" fillId="0" borderId="150" xfId="0" applyFont="1" applyBorder="1" applyAlignment="1">
      <alignment horizontal="center" vertical="center" wrapText="1"/>
    </xf>
    <xf numFmtId="0" fontId="67" fillId="0" borderId="23" xfId="0" applyFont="1" applyFill="1" applyBorder="1" applyAlignment="1">
      <alignment horizontal="justify" vertical="center" wrapText="1"/>
    </xf>
    <xf numFmtId="164" fontId="2" fillId="0" borderId="12" xfId="0" applyNumberFormat="1"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67" fillId="0" borderId="0"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128" fillId="0" borderId="67" xfId="0" applyFont="1" applyFill="1" applyBorder="1" applyAlignment="1">
      <alignment horizontal="center" vertical="center" wrapText="1"/>
    </xf>
    <xf numFmtId="0" fontId="128" fillId="0" borderId="193" xfId="0" applyFont="1" applyFill="1" applyBorder="1" applyAlignment="1">
      <alignment horizontal="center" vertical="center" wrapText="1"/>
    </xf>
    <xf numFmtId="0" fontId="128" fillId="0" borderId="197" xfId="0" applyNumberFormat="1" applyFont="1" applyBorder="1" applyAlignment="1">
      <alignment horizontal="center" vertical="center" wrapText="1"/>
    </xf>
    <xf numFmtId="0" fontId="128" fillId="0" borderId="47" xfId="0" applyFont="1" applyFill="1" applyBorder="1" applyAlignment="1">
      <alignment horizontal="center" vertical="center" wrapText="1"/>
    </xf>
    <xf numFmtId="0" fontId="33" fillId="0" borderId="0" xfId="0" applyFont="1" applyAlignment="1">
      <alignment vertical="center" wrapText="1"/>
    </xf>
    <xf numFmtId="0" fontId="33" fillId="0" borderId="11" xfId="0" applyFont="1" applyBorder="1" applyAlignment="1">
      <alignment horizontal="center" vertical="center" wrapText="1"/>
    </xf>
    <xf numFmtId="0" fontId="33" fillId="0" borderId="48" xfId="0" applyFont="1" applyBorder="1" applyAlignment="1">
      <alignment horizontal="center" vertical="center" wrapText="1"/>
    </xf>
    <xf numFmtId="0" fontId="103" fillId="8" borderId="196" xfId="0" applyFont="1" applyFill="1" applyBorder="1" applyAlignment="1">
      <alignment horizontal="left" vertical="center" wrapText="1"/>
    </xf>
    <xf numFmtId="0" fontId="33" fillId="0" borderId="179" xfId="0" applyFont="1" applyBorder="1" applyAlignment="1">
      <alignment horizontal="center" vertical="center" wrapText="1"/>
    </xf>
    <xf numFmtId="0" fontId="104" fillId="0" borderId="200" xfId="0" applyFont="1" applyBorder="1" applyAlignment="1">
      <alignment vertical="center"/>
    </xf>
    <xf numFmtId="0" fontId="33" fillId="0" borderId="201" xfId="0" applyFont="1" applyBorder="1" applyAlignment="1">
      <alignment horizontal="center" vertical="center" wrapText="1"/>
    </xf>
    <xf numFmtId="0" fontId="33" fillId="0" borderId="4" xfId="0" applyFont="1" applyBorder="1" applyAlignment="1">
      <alignment horizontal="center" vertical="center" wrapText="1"/>
    </xf>
    <xf numFmtId="0" fontId="33" fillId="8" borderId="196" xfId="0" applyFont="1" applyFill="1" applyBorder="1" applyAlignment="1">
      <alignment horizontal="left" vertical="center" wrapText="1"/>
    </xf>
    <xf numFmtId="0" fontId="33" fillId="0" borderId="181" xfId="0" applyFont="1" applyBorder="1" applyAlignment="1">
      <alignment horizontal="center" vertical="center" wrapText="1"/>
    </xf>
    <xf numFmtId="0" fontId="103" fillId="0" borderId="196" xfId="0" applyFont="1" applyFill="1" applyBorder="1" applyAlignment="1">
      <alignment horizontal="left" vertical="center" wrapText="1"/>
    </xf>
    <xf numFmtId="0" fontId="103" fillId="5" borderId="191" xfId="0" applyFont="1" applyFill="1" applyBorder="1" applyAlignment="1">
      <alignment horizontal="left" vertical="center" wrapText="1"/>
    </xf>
    <xf numFmtId="0" fontId="33" fillId="0" borderId="196" xfId="0" applyFont="1" applyBorder="1" applyAlignment="1">
      <alignment vertical="center" wrapText="1"/>
    </xf>
    <xf numFmtId="0" fontId="103" fillId="8" borderId="45" xfId="0" applyFont="1" applyFill="1" applyBorder="1" applyAlignment="1">
      <alignment horizontal="left" vertical="center" wrapText="1"/>
    </xf>
    <xf numFmtId="0" fontId="103" fillId="0" borderId="196" xfId="0" applyFont="1" applyBorder="1" applyAlignment="1">
      <alignment horizontal="left" vertical="center" wrapText="1"/>
    </xf>
    <xf numFmtId="0" fontId="33" fillId="0" borderId="0" xfId="0" applyFont="1" applyBorder="1" applyAlignment="1">
      <alignment vertical="center" wrapText="1"/>
    </xf>
    <xf numFmtId="0" fontId="33" fillId="8" borderId="1" xfId="0" applyFont="1" applyFill="1" applyBorder="1" applyAlignment="1">
      <alignment horizontal="left" vertical="center" wrapText="1"/>
    </xf>
    <xf numFmtId="0" fontId="103" fillId="8" borderId="158" xfId="0" applyFont="1" applyFill="1" applyBorder="1" applyAlignment="1">
      <alignment horizontal="left" vertical="center" wrapText="1"/>
    </xf>
    <xf numFmtId="0" fontId="104" fillId="0" borderId="0" xfId="0" applyFont="1" applyBorder="1" applyAlignment="1">
      <alignment wrapText="1"/>
    </xf>
    <xf numFmtId="0" fontId="33" fillId="0" borderId="0" xfId="0" applyFont="1" applyBorder="1"/>
    <xf numFmtId="0" fontId="104" fillId="0" borderId="0" xfId="0" applyFont="1" applyBorder="1"/>
    <xf numFmtId="0" fontId="33" fillId="0" borderId="0" xfId="0" applyFont="1" applyBorder="1" applyAlignment="1">
      <alignment vertical="center"/>
    </xf>
    <xf numFmtId="0" fontId="33" fillId="0" borderId="0" xfId="0" applyFont="1" applyAlignment="1">
      <alignment wrapText="1"/>
    </xf>
    <xf numFmtId="0" fontId="139" fillId="0" borderId="0" xfId="0" applyFont="1" applyBorder="1" applyAlignment="1">
      <alignment horizontal="left" vertical="center" wrapText="1"/>
    </xf>
    <xf numFmtId="0" fontId="33" fillId="8" borderId="158" xfId="0" applyFont="1" applyFill="1" applyBorder="1" applyAlignment="1">
      <alignment horizontal="left" vertical="center" wrapText="1"/>
    </xf>
    <xf numFmtId="0" fontId="33" fillId="0" borderId="0" xfId="0" applyFont="1" applyBorder="1" applyAlignment="1">
      <alignment horizontal="justify" vertical="center"/>
    </xf>
    <xf numFmtId="0" fontId="33" fillId="0" borderId="26" xfId="0" applyFont="1" applyBorder="1" applyAlignment="1">
      <alignment horizontal="center" vertical="center" wrapText="1"/>
    </xf>
    <xf numFmtId="0" fontId="33" fillId="8" borderId="197" xfId="0" applyFont="1" applyFill="1" applyBorder="1" applyAlignment="1">
      <alignment horizontal="center" vertical="center" wrapText="1"/>
    </xf>
    <xf numFmtId="0" fontId="135" fillId="8" borderId="197" xfId="0" applyFont="1" applyFill="1" applyBorder="1" applyAlignment="1">
      <alignment horizontal="left" vertical="center" wrapText="1"/>
    </xf>
    <xf numFmtId="0" fontId="67" fillId="8" borderId="197" xfId="0" applyFont="1" applyFill="1" applyBorder="1" applyAlignment="1">
      <alignment horizontal="center" vertical="center" wrapText="1"/>
    </xf>
    <xf numFmtId="0" fontId="104" fillId="8" borderId="197" xfId="0" applyFont="1" applyFill="1" applyBorder="1" applyAlignment="1">
      <alignment horizontal="left" vertical="center" wrapText="1"/>
    </xf>
    <xf numFmtId="0" fontId="103" fillId="8" borderId="19" xfId="0" applyFont="1" applyFill="1" applyBorder="1" applyAlignment="1">
      <alignment horizontal="left" vertical="center" wrapText="1"/>
    </xf>
    <xf numFmtId="0" fontId="33" fillId="8" borderId="57" xfId="0" applyFont="1" applyFill="1" applyBorder="1" applyAlignment="1">
      <alignment horizontal="center" vertical="center" wrapText="1"/>
    </xf>
    <xf numFmtId="0" fontId="103" fillId="8" borderId="57" xfId="0" applyFont="1" applyFill="1" applyBorder="1" applyAlignment="1">
      <alignment horizontal="left" vertical="center" wrapText="1"/>
    </xf>
    <xf numFmtId="0" fontId="135" fillId="8" borderId="57" xfId="0" applyFont="1" applyFill="1" applyBorder="1" applyAlignment="1">
      <alignment horizontal="left" vertical="center" wrapText="1"/>
    </xf>
    <xf numFmtId="0" fontId="67" fillId="8" borderId="57" xfId="0" applyFont="1" applyFill="1" applyBorder="1" applyAlignment="1">
      <alignment horizontal="center" vertical="center" wrapText="1"/>
    </xf>
    <xf numFmtId="0" fontId="33" fillId="8" borderId="174" xfId="0" applyFont="1" applyFill="1" applyBorder="1" applyAlignment="1">
      <alignment horizontal="center" vertical="center" wrapText="1"/>
    </xf>
    <xf numFmtId="0" fontId="33" fillId="8" borderId="188" xfId="0" applyFont="1" applyFill="1" applyBorder="1" applyAlignment="1">
      <alignment horizontal="center" vertical="center" wrapText="1"/>
    </xf>
    <xf numFmtId="1" fontId="67" fillId="5" borderId="200" xfId="9" applyNumberFormat="1" applyFont="1" applyFill="1" applyBorder="1" applyAlignment="1">
      <alignment horizontal="center" vertical="center" wrapText="1"/>
    </xf>
    <xf numFmtId="1" fontId="67" fillId="5" borderId="85" xfId="9" applyNumberFormat="1" applyFont="1" applyFill="1" applyBorder="1" applyAlignment="1">
      <alignment horizontal="center" vertical="center" wrapText="1"/>
    </xf>
    <xf numFmtId="0" fontId="67" fillId="8" borderId="188" xfId="0" applyFont="1" applyFill="1" applyBorder="1" applyAlignment="1">
      <alignment horizontal="center" vertical="center" wrapText="1"/>
    </xf>
    <xf numFmtId="0" fontId="67" fillId="8" borderId="174" xfId="0" applyFont="1" applyFill="1" applyBorder="1" applyAlignment="1">
      <alignment horizontal="center" vertical="center" wrapText="1"/>
    </xf>
    <xf numFmtId="0" fontId="33" fillId="0" borderId="147" xfId="0" applyFont="1" applyBorder="1" applyAlignment="1">
      <alignment horizontal="center" vertical="center" wrapText="1"/>
    </xf>
    <xf numFmtId="0" fontId="67" fillId="0" borderId="202" xfId="0" applyFont="1" applyFill="1" applyBorder="1" applyAlignment="1">
      <alignment vertical="center"/>
    </xf>
    <xf numFmtId="0" fontId="67" fillId="0" borderId="27" xfId="0" applyFont="1" applyFill="1" applyBorder="1" applyAlignment="1">
      <alignment vertical="center"/>
    </xf>
    <xf numFmtId="0" fontId="33" fillId="0" borderId="196" xfId="0" applyFont="1" applyBorder="1" applyAlignment="1">
      <alignment horizontal="left" vertical="center"/>
    </xf>
    <xf numFmtId="0" fontId="33" fillId="0" borderId="196" xfId="0" applyFont="1" applyBorder="1" applyAlignment="1">
      <alignment horizontal="left" vertical="center" wrapText="1"/>
    </xf>
    <xf numFmtId="0" fontId="33" fillId="0" borderId="159" xfId="0" applyFont="1" applyBorder="1" applyAlignment="1">
      <alignment horizontal="left" vertical="center"/>
    </xf>
    <xf numFmtId="0" fontId="33" fillId="0" borderId="45" xfId="0" applyFont="1" applyBorder="1" applyAlignment="1">
      <alignment horizontal="left" vertical="center"/>
    </xf>
    <xf numFmtId="0" fontId="33" fillId="0" borderId="196" xfId="0" applyFont="1" applyBorder="1" applyAlignment="1">
      <alignment horizontal="justify" vertical="center"/>
    </xf>
    <xf numFmtId="0" fontId="103" fillId="0" borderId="179" xfId="0" applyFont="1" applyBorder="1" applyAlignment="1">
      <alignment horizontal="center" vertical="center" wrapText="1"/>
    </xf>
    <xf numFmtId="0" fontId="103" fillId="0" borderId="181" xfId="0" applyFont="1" applyBorder="1" applyAlignment="1">
      <alignment horizontal="center" vertical="center" wrapText="1"/>
    </xf>
    <xf numFmtId="0" fontId="103" fillId="0" borderId="95" xfId="0" applyFont="1" applyBorder="1" applyAlignment="1">
      <alignment horizontal="center" vertical="center" wrapText="1"/>
    </xf>
    <xf numFmtId="0" fontId="104" fillId="8" borderId="57" xfId="0" applyFont="1" applyFill="1" applyBorder="1" applyAlignment="1">
      <alignment horizontal="left" vertical="center" wrapText="1"/>
    </xf>
    <xf numFmtId="0" fontId="106" fillId="8" borderId="174" xfId="0" applyFont="1" applyFill="1" applyBorder="1" applyAlignment="1">
      <alignment horizontal="left" vertical="center" wrapText="1"/>
    </xf>
    <xf numFmtId="0" fontId="135" fillId="0" borderId="197" xfId="0" applyFont="1" applyFill="1" applyBorder="1" applyAlignment="1">
      <alignment horizontal="left" vertical="center" wrapText="1"/>
    </xf>
    <xf numFmtId="0" fontId="135" fillId="0" borderId="197" xfId="0" applyFont="1" applyBorder="1" applyAlignment="1">
      <alignment horizontal="left" vertical="center"/>
    </xf>
    <xf numFmtId="0" fontId="135" fillId="0" borderId="174" xfId="0" applyFont="1" applyBorder="1" applyAlignment="1">
      <alignment horizontal="left" vertical="center"/>
    </xf>
    <xf numFmtId="0" fontId="135" fillId="0" borderId="69" xfId="0" applyFont="1" applyBorder="1" applyAlignment="1">
      <alignment horizontal="left" vertical="center"/>
    </xf>
    <xf numFmtId="0" fontId="135" fillId="8" borderId="69" xfId="0" applyFont="1" applyFill="1" applyBorder="1" applyAlignment="1">
      <alignment horizontal="left" vertical="center" wrapText="1"/>
    </xf>
    <xf numFmtId="0" fontId="135" fillId="0" borderId="197" xfId="0" applyFont="1" applyBorder="1" applyAlignment="1">
      <alignment horizontal="left" vertical="center" wrapText="1"/>
    </xf>
    <xf numFmtId="0" fontId="104" fillId="0" borderId="197" xfId="0" applyFont="1" applyBorder="1" applyAlignment="1">
      <alignment vertical="center" wrapText="1"/>
    </xf>
    <xf numFmtId="0" fontId="104" fillId="0" borderId="147" xfId="0" applyFont="1" applyBorder="1" applyAlignment="1">
      <alignment vertical="center" wrapText="1"/>
    </xf>
    <xf numFmtId="0" fontId="103" fillId="8" borderId="158" xfId="0" applyFont="1" applyFill="1" applyBorder="1" applyAlignment="1">
      <alignment horizontal="center" vertical="center" wrapText="1"/>
    </xf>
    <xf numFmtId="0" fontId="103" fillId="8" borderId="196" xfId="0" applyFont="1" applyFill="1" applyBorder="1" applyAlignment="1">
      <alignment horizontal="center" vertical="center" wrapText="1"/>
    </xf>
    <xf numFmtId="0" fontId="103" fillId="8" borderId="151" xfId="0" applyFont="1" applyFill="1" applyBorder="1" applyAlignment="1">
      <alignment horizontal="center" vertical="center" wrapText="1"/>
    </xf>
    <xf numFmtId="0" fontId="67" fillId="8" borderId="202" xfId="0" applyFont="1" applyFill="1" applyBorder="1" applyAlignment="1">
      <alignment horizontal="center" vertical="center" wrapText="1"/>
    </xf>
    <xf numFmtId="0" fontId="67" fillId="8" borderId="27" xfId="0" applyFont="1" applyFill="1" applyBorder="1" applyAlignment="1">
      <alignment horizontal="center" vertical="center" wrapText="1"/>
    </xf>
    <xf numFmtId="0" fontId="33" fillId="8" borderId="158" xfId="0" applyFont="1" applyFill="1" applyBorder="1" applyAlignment="1">
      <alignment horizontal="center" vertical="center" wrapText="1"/>
    </xf>
    <xf numFmtId="0" fontId="103" fillId="0" borderId="196" xfId="0" applyFont="1" applyFill="1" applyBorder="1" applyAlignment="1">
      <alignment horizontal="center" vertical="center" wrapText="1"/>
    </xf>
    <xf numFmtId="0" fontId="103" fillId="0" borderId="196" xfId="0" applyFont="1" applyBorder="1" applyAlignment="1">
      <alignment horizontal="center" vertical="center" wrapText="1"/>
    </xf>
    <xf numFmtId="0" fontId="103" fillId="0" borderId="159" xfId="0" applyFont="1" applyBorder="1" applyAlignment="1">
      <alignment horizontal="center" vertical="center" wrapText="1"/>
    </xf>
    <xf numFmtId="0" fontId="103" fillId="0" borderId="45" xfId="0" applyFont="1" applyBorder="1" applyAlignment="1">
      <alignment horizontal="center" vertical="center" wrapText="1"/>
    </xf>
    <xf numFmtId="0" fontId="33" fillId="8" borderId="196" xfId="0" applyFont="1" applyFill="1" applyBorder="1" applyAlignment="1">
      <alignment horizontal="center" vertical="center" wrapText="1"/>
    </xf>
    <xf numFmtId="0" fontId="33" fillId="0" borderId="159" xfId="0" applyFont="1" applyBorder="1" applyAlignment="1">
      <alignment horizontal="center" vertical="center" wrapText="1"/>
    </xf>
    <xf numFmtId="0" fontId="33" fillId="0" borderId="198" xfId="0" applyFont="1" applyBorder="1" applyAlignment="1">
      <alignment horizontal="center" vertical="center" wrapText="1"/>
    </xf>
    <xf numFmtId="0" fontId="33" fillId="0" borderId="200" xfId="0" applyFont="1" applyBorder="1" applyAlignment="1">
      <alignment horizontal="center" vertical="center" wrapText="1"/>
    </xf>
    <xf numFmtId="0" fontId="33" fillId="0" borderId="57" xfId="0" applyFont="1" applyBorder="1" applyAlignment="1">
      <alignment vertical="center" wrapText="1"/>
    </xf>
    <xf numFmtId="0" fontId="33" fillId="0" borderId="197" xfId="0" applyFont="1" applyBorder="1" applyAlignment="1">
      <alignment vertical="center" wrapText="1"/>
    </xf>
    <xf numFmtId="0" fontId="33" fillId="0" borderId="174" xfId="0" applyFont="1" applyBorder="1" applyAlignment="1">
      <alignment vertical="center" wrapText="1"/>
    </xf>
    <xf numFmtId="0" fontId="33" fillId="8" borderId="147" xfId="0" applyFont="1" applyFill="1" applyBorder="1" applyAlignment="1">
      <alignment horizontal="center" vertical="center" wrapText="1"/>
    </xf>
    <xf numFmtId="0" fontId="135" fillId="0" borderId="147" xfId="0" applyFont="1" applyBorder="1" applyAlignment="1">
      <alignment horizontal="left" vertical="center"/>
    </xf>
    <xf numFmtId="0" fontId="33" fillId="8" borderId="0" xfId="0" applyFont="1" applyFill="1" applyBorder="1" applyAlignment="1">
      <alignment horizontal="center" vertical="center" wrapText="1"/>
    </xf>
    <xf numFmtId="0" fontId="67" fillId="0" borderId="197" xfId="0" applyFont="1" applyBorder="1" applyAlignment="1">
      <alignment vertical="center" wrapText="1"/>
    </xf>
    <xf numFmtId="1" fontId="67" fillId="5" borderId="197" xfId="9" applyNumberFormat="1" applyFont="1" applyFill="1" applyBorder="1" applyAlignment="1">
      <alignment horizontal="center" vertical="center" wrapText="1"/>
    </xf>
    <xf numFmtId="0" fontId="106" fillId="0" borderId="197" xfId="0" applyFont="1" applyBorder="1" applyAlignment="1">
      <alignment vertical="center" wrapText="1"/>
    </xf>
    <xf numFmtId="0" fontId="106" fillId="8" borderId="197" xfId="0" applyFont="1" applyFill="1" applyBorder="1" applyAlignment="1">
      <alignment horizontal="left" vertical="center" wrapText="1"/>
    </xf>
    <xf numFmtId="0" fontId="103" fillId="8" borderId="173" xfId="0" applyFont="1" applyFill="1" applyBorder="1" applyAlignment="1">
      <alignment horizontal="left" vertical="center" wrapText="1"/>
    </xf>
    <xf numFmtId="0" fontId="103" fillId="8" borderId="174" xfId="0" applyFont="1" applyFill="1" applyBorder="1" applyAlignment="1">
      <alignment horizontal="left" vertical="center" wrapText="1"/>
    </xf>
    <xf numFmtId="0" fontId="135" fillId="8" borderId="174" xfId="0" applyFont="1" applyFill="1" applyBorder="1" applyAlignment="1">
      <alignment horizontal="left" vertical="center" wrapText="1"/>
    </xf>
    <xf numFmtId="0" fontId="33" fillId="8" borderId="19" xfId="0" applyFont="1" applyFill="1" applyBorder="1" applyAlignment="1">
      <alignment horizontal="left" vertical="center" wrapText="1"/>
    </xf>
    <xf numFmtId="1" fontId="33" fillId="8" borderId="57" xfId="0" applyNumberFormat="1" applyFont="1" applyFill="1" applyBorder="1" applyAlignment="1">
      <alignment horizontal="center" vertical="center" wrapText="1"/>
    </xf>
    <xf numFmtId="0" fontId="33" fillId="8" borderId="57" xfId="0" applyFont="1" applyFill="1" applyBorder="1" applyAlignment="1">
      <alignment horizontal="left" vertical="center" wrapText="1"/>
    </xf>
    <xf numFmtId="0" fontId="67" fillId="0" borderId="140" xfId="0" applyFont="1" applyBorder="1" applyAlignment="1">
      <alignment vertical="center" wrapText="1"/>
    </xf>
    <xf numFmtId="0" fontId="67" fillId="8" borderId="174" xfId="0" applyFont="1" applyFill="1" applyBorder="1" applyAlignment="1">
      <alignment horizontal="left" vertical="center" wrapText="1"/>
    </xf>
    <xf numFmtId="0" fontId="103" fillId="5" borderId="151" xfId="0" applyFont="1" applyFill="1" applyBorder="1" applyAlignment="1">
      <alignment horizontal="left" vertical="center" wrapText="1"/>
    </xf>
    <xf numFmtId="0" fontId="135" fillId="5" borderId="188" xfId="0" applyFont="1" applyFill="1" applyBorder="1" applyAlignment="1">
      <alignment horizontal="left" vertical="center" wrapText="1"/>
    </xf>
    <xf numFmtId="0" fontId="33" fillId="0" borderId="45" xfId="0" applyFont="1" applyBorder="1" applyAlignment="1">
      <alignment horizontal="left" vertical="center" wrapText="1"/>
    </xf>
    <xf numFmtId="0" fontId="135" fillId="0" borderId="69" xfId="0" applyFont="1" applyBorder="1" applyAlignment="1">
      <alignment horizontal="left" vertical="center" wrapText="1"/>
    </xf>
    <xf numFmtId="0" fontId="33" fillId="0" borderId="69" xfId="0" applyFont="1" applyBorder="1" applyAlignment="1">
      <alignment vertical="center" wrapText="1"/>
    </xf>
    <xf numFmtId="0" fontId="67" fillId="0" borderId="189" xfId="0" applyNumberFormat="1" applyFont="1" applyBorder="1" applyAlignment="1">
      <alignment horizontal="center" vertical="center" wrapText="1"/>
    </xf>
    <xf numFmtId="0" fontId="103" fillId="0" borderId="47" xfId="0" applyFont="1" applyBorder="1" applyAlignment="1">
      <alignment horizontal="center" vertical="center" wrapText="1"/>
    </xf>
    <xf numFmtId="0" fontId="103" fillId="0" borderId="166" xfId="0" applyFont="1" applyBorder="1" applyAlignment="1">
      <alignment horizontal="center" vertical="center" wrapText="1"/>
    </xf>
    <xf numFmtId="0" fontId="103" fillId="0" borderId="193" xfId="0" applyFont="1" applyBorder="1" applyAlignment="1">
      <alignment horizontal="center" vertical="center" wrapText="1"/>
    </xf>
    <xf numFmtId="0" fontId="67" fillId="0" borderId="162" xfId="0" applyFont="1" applyBorder="1" applyAlignment="1">
      <alignment vertical="center" wrapText="1"/>
    </xf>
    <xf numFmtId="0" fontId="103" fillId="5" borderId="97" xfId="0" applyFont="1" applyFill="1" applyBorder="1" applyAlignment="1">
      <alignment horizontal="left" vertical="center" wrapText="1"/>
    </xf>
    <xf numFmtId="0" fontId="103" fillId="5" borderId="45" xfId="0" applyFont="1" applyFill="1" applyBorder="1" applyAlignment="1">
      <alignment horizontal="left" vertical="center" wrapText="1"/>
    </xf>
    <xf numFmtId="0" fontId="135" fillId="5" borderId="69" xfId="0" applyFont="1" applyFill="1" applyBorder="1" applyAlignment="1">
      <alignment horizontal="left" vertical="center" wrapText="1"/>
    </xf>
    <xf numFmtId="0" fontId="103" fillId="0" borderId="158" xfId="0" applyFont="1" applyFill="1" applyBorder="1" applyAlignment="1">
      <alignment horizontal="left" vertical="center" wrapText="1"/>
    </xf>
    <xf numFmtId="0" fontId="135" fillId="0" borderId="57" xfId="0" applyFont="1" applyFill="1" applyBorder="1" applyAlignment="1">
      <alignment horizontal="left" vertical="center" wrapText="1"/>
    </xf>
    <xf numFmtId="0" fontId="103" fillId="0" borderId="159" xfId="0" applyFont="1" applyFill="1" applyBorder="1" applyAlignment="1">
      <alignment horizontal="left" vertical="center" wrapText="1"/>
    </xf>
    <xf numFmtId="0" fontId="135" fillId="0" borderId="174" xfId="0" applyFont="1" applyFill="1" applyBorder="1" applyAlignment="1">
      <alignment horizontal="left" vertical="center" wrapText="1"/>
    </xf>
    <xf numFmtId="0" fontId="11" fillId="0" borderId="0" xfId="1" applyNumberFormat="1" applyFont="1" applyFill="1" applyBorder="1" applyAlignment="1">
      <alignment horizontal="center" vertical="center" wrapText="1"/>
    </xf>
    <xf numFmtId="0" fontId="24" fillId="0" borderId="0" xfId="0" applyFont="1" applyFill="1" applyBorder="1"/>
    <xf numFmtId="0" fontId="23" fillId="0" borderId="0" xfId="0" applyFont="1" applyFill="1" applyBorder="1"/>
    <xf numFmtId="0" fontId="11" fillId="0" borderId="0" xfId="1" applyFont="1" applyFill="1" applyBorder="1" applyAlignment="1">
      <alignment vertical="center" wrapText="1"/>
    </xf>
    <xf numFmtId="0" fontId="3" fillId="0" borderId="0" xfId="0" applyFont="1" applyFill="1" applyBorder="1" applyAlignment="1">
      <alignment horizontal="left" wrapText="1"/>
    </xf>
    <xf numFmtId="0" fontId="23" fillId="0" borderId="0" xfId="0" applyFont="1" applyFill="1" applyBorder="1" applyAlignment="1">
      <alignment horizontal="left" vertical="center" wrapText="1"/>
    </xf>
    <xf numFmtId="0" fontId="103" fillId="0" borderId="19" xfId="0" applyFont="1" applyFill="1" applyBorder="1" applyAlignment="1">
      <alignment horizontal="left" vertical="center" wrapText="1"/>
    </xf>
    <xf numFmtId="0" fontId="1" fillId="0" borderId="0" xfId="0" applyFont="1" applyAlignment="1">
      <alignment horizontal="center" vertical="center"/>
    </xf>
    <xf numFmtId="0" fontId="67" fillId="0" borderId="166" xfId="0" applyFont="1" applyFill="1" applyBorder="1" applyAlignment="1">
      <alignment horizontal="center" vertical="center" wrapText="1"/>
    </xf>
    <xf numFmtId="0" fontId="0" fillId="0" borderId="0" xfId="0" applyFont="1" applyBorder="1" applyAlignment="1">
      <alignment vertical="top"/>
    </xf>
    <xf numFmtId="0" fontId="0" fillId="0" borderId="25" xfId="0" applyFont="1" applyBorder="1" applyAlignment="1">
      <alignment horizontal="center" vertical="center"/>
    </xf>
    <xf numFmtId="0" fontId="67" fillId="0" borderId="67" xfId="0" applyFont="1" applyFill="1" applyBorder="1" applyAlignment="1">
      <alignment horizontal="center" vertical="center" wrapText="1"/>
    </xf>
    <xf numFmtId="0" fontId="41" fillId="72" borderId="51" xfId="0" applyFont="1" applyFill="1" applyBorder="1" applyAlignment="1">
      <alignment horizontal="center" vertical="center"/>
    </xf>
    <xf numFmtId="0" fontId="41" fillId="72" borderId="175" xfId="0" applyFont="1" applyFill="1" applyBorder="1" applyAlignment="1">
      <alignment horizontal="center" vertical="center"/>
    </xf>
    <xf numFmtId="0" fontId="0" fillId="0" borderId="27" xfId="0" applyFont="1" applyBorder="1" applyAlignment="1">
      <alignment vertical="top"/>
    </xf>
    <xf numFmtId="0" fontId="67" fillId="0" borderId="193" xfId="0" applyFont="1" applyFill="1" applyBorder="1" applyAlignment="1">
      <alignment horizontal="center" vertical="center" wrapText="1"/>
    </xf>
    <xf numFmtId="0" fontId="41" fillId="72" borderId="142" xfId="0" applyFont="1" applyFill="1" applyBorder="1" applyAlignment="1">
      <alignment horizontal="center" vertical="center"/>
    </xf>
    <xf numFmtId="0" fontId="104" fillId="0" borderId="99" xfId="0" applyFont="1" applyBorder="1" applyAlignment="1">
      <alignment vertical="center"/>
    </xf>
    <xf numFmtId="0" fontId="104" fillId="0" borderId="161" xfId="0" applyFont="1" applyBorder="1" applyAlignment="1">
      <alignment vertical="center"/>
    </xf>
    <xf numFmtId="0" fontId="104" fillId="0" borderId="195" xfId="0" applyFont="1" applyBorder="1" applyAlignment="1">
      <alignment vertical="center"/>
    </xf>
    <xf numFmtId="0" fontId="67" fillId="0" borderId="161" xfId="0" applyFont="1" applyFill="1" applyBorder="1" applyAlignment="1">
      <alignment horizontal="center" vertical="center" wrapText="1"/>
    </xf>
    <xf numFmtId="0" fontId="67" fillId="0" borderId="195" xfId="0" applyFont="1" applyFill="1" applyBorder="1" applyAlignment="1">
      <alignment horizontal="center" vertical="center" wrapText="1"/>
    </xf>
    <xf numFmtId="0" fontId="1" fillId="0" borderId="9" xfId="0" applyFont="1" applyBorder="1"/>
    <xf numFmtId="167" fontId="0" fillId="0" borderId="0" xfId="0" applyNumberFormat="1" applyFont="1" applyAlignment="1">
      <alignment horizontal="right" vertical="center"/>
    </xf>
    <xf numFmtId="167" fontId="0" fillId="0" borderId="0" xfId="0" applyNumberFormat="1" applyFont="1" applyBorder="1" applyAlignment="1">
      <alignment horizontal="right" vertical="center"/>
    </xf>
    <xf numFmtId="0" fontId="67" fillId="0" borderId="7" xfId="0" applyFont="1" applyBorder="1" applyAlignment="1">
      <alignment horizontal="center" vertical="center"/>
    </xf>
    <xf numFmtId="0" fontId="33" fillId="0" borderId="12" xfId="0" applyFont="1" applyBorder="1" applyAlignment="1">
      <alignment horizontal="center" vertical="center"/>
    </xf>
    <xf numFmtId="0" fontId="33" fillId="0" borderId="0" xfId="0" applyFont="1" applyAlignment="1">
      <alignment vertical="top"/>
    </xf>
    <xf numFmtId="0" fontId="33" fillId="0" borderId="67" xfId="0" applyFont="1" applyBorder="1" applyAlignment="1">
      <alignment horizontal="center" vertical="center"/>
    </xf>
    <xf numFmtId="0" fontId="33" fillId="0" borderId="166" xfId="0" applyFont="1" applyBorder="1" applyAlignment="1">
      <alignment horizontal="center" vertical="center"/>
    </xf>
    <xf numFmtId="0" fontId="33" fillId="0" borderId="193" xfId="0" applyFont="1" applyBorder="1" applyAlignment="1">
      <alignment horizontal="center" vertical="center"/>
    </xf>
    <xf numFmtId="0" fontId="1" fillId="0" borderId="0" xfId="0" applyFont="1" applyAlignment="1">
      <alignment vertical="center" wrapText="1"/>
    </xf>
    <xf numFmtId="0" fontId="75" fillId="80" borderId="6" xfId="0" applyFont="1" applyFill="1" applyBorder="1" applyAlignment="1">
      <alignment horizontal="left" vertical="center"/>
    </xf>
    <xf numFmtId="0" fontId="114" fillId="80" borderId="1" xfId="0" applyFont="1" applyFill="1" applyBorder="1" applyAlignment="1">
      <alignment horizontal="center" vertical="center"/>
    </xf>
    <xf numFmtId="0" fontId="114" fillId="80" borderId="1" xfId="0" applyFont="1" applyFill="1" applyBorder="1" applyAlignment="1">
      <alignment vertical="center"/>
    </xf>
    <xf numFmtId="0" fontId="114" fillId="80" borderId="2" xfId="0" applyFont="1" applyFill="1" applyBorder="1" applyAlignment="1">
      <alignment vertical="center"/>
    </xf>
    <xf numFmtId="0" fontId="114" fillId="80" borderId="5" xfId="0" applyFont="1" applyFill="1" applyBorder="1" applyAlignment="1">
      <alignment horizontal="center" vertical="center" wrapText="1"/>
    </xf>
    <xf numFmtId="0" fontId="114" fillId="80" borderId="26" xfId="0" applyFont="1" applyFill="1" applyBorder="1" applyAlignment="1">
      <alignment horizontal="center" vertical="center"/>
    </xf>
    <xf numFmtId="0" fontId="128" fillId="0" borderId="197" xfId="0" applyNumberFormat="1" applyFont="1" applyFill="1" applyBorder="1" applyAlignment="1">
      <alignment horizontal="center" vertical="center" wrapText="1"/>
    </xf>
    <xf numFmtId="0" fontId="121" fillId="0" borderId="197" xfId="0" applyFont="1" applyBorder="1" applyAlignment="1">
      <alignment horizontal="left" vertical="center"/>
    </xf>
    <xf numFmtId="0" fontId="123" fillId="0" borderId="197" xfId="0" applyFont="1" applyBorder="1" applyAlignment="1">
      <alignment horizontal="left" vertical="center"/>
    </xf>
    <xf numFmtId="0" fontId="115" fillId="0" borderId="197" xfId="0" applyFont="1" applyBorder="1" applyAlignment="1">
      <alignment horizontal="center" vertical="center"/>
    </xf>
    <xf numFmtId="0" fontId="128" fillId="0" borderId="147" xfId="0" applyFont="1" applyFill="1" applyBorder="1" applyAlignment="1">
      <alignment horizontal="center" vertical="center" wrapText="1"/>
    </xf>
    <xf numFmtId="0" fontId="33" fillId="0" borderId="147" xfId="0" applyFont="1" applyBorder="1" applyAlignment="1">
      <alignment horizontal="center" vertical="center"/>
    </xf>
    <xf numFmtId="0" fontId="33" fillId="0" borderId="155" xfId="0" applyFont="1" applyBorder="1" applyAlignment="1">
      <alignment horizontal="center" vertical="center" wrapText="1"/>
    </xf>
    <xf numFmtId="0" fontId="33" fillId="0" borderId="23" xfId="0" applyFont="1" applyFill="1" applyBorder="1" applyAlignment="1">
      <alignment horizontal="justify" vertical="center" wrapText="1"/>
    </xf>
    <xf numFmtId="0" fontId="67" fillId="0" borderId="142" xfId="0" applyFont="1" applyFill="1" applyBorder="1" applyAlignment="1">
      <alignment horizontal="center" vertical="center"/>
    </xf>
    <xf numFmtId="0" fontId="67" fillId="0" borderId="189" xfId="0" applyFont="1" applyFill="1" applyBorder="1" applyAlignment="1">
      <alignment horizontal="left" wrapText="1"/>
    </xf>
    <xf numFmtId="0" fontId="103" fillId="0" borderId="47" xfId="0" applyFont="1" applyFill="1" applyBorder="1" applyAlignment="1">
      <alignment horizontal="left" vertical="center" wrapText="1"/>
    </xf>
    <xf numFmtId="0" fontId="67" fillId="0" borderId="166" xfId="0" applyFont="1" applyFill="1" applyBorder="1" applyAlignment="1">
      <alignment horizontal="left" vertical="center" wrapText="1"/>
    </xf>
    <xf numFmtId="0" fontId="103" fillId="0" borderId="183" xfId="0" applyFont="1" applyFill="1" applyBorder="1" applyAlignment="1">
      <alignment horizontal="left" vertical="center" wrapText="1"/>
    </xf>
    <xf numFmtId="0" fontId="67" fillId="0" borderId="203" xfId="0" applyFont="1" applyFill="1" applyBorder="1" applyAlignment="1">
      <alignment horizontal="left" wrapText="1"/>
    </xf>
    <xf numFmtId="0" fontId="103" fillId="0" borderId="189" xfId="0" applyFont="1" applyFill="1" applyBorder="1" applyAlignment="1">
      <alignment horizontal="left" wrapText="1"/>
    </xf>
    <xf numFmtId="0" fontId="67" fillId="0" borderId="47" xfId="0" applyFont="1" applyFill="1" applyBorder="1" applyAlignment="1">
      <alignment horizontal="left" vertical="center" wrapText="1"/>
    </xf>
    <xf numFmtId="0" fontId="67" fillId="0" borderId="174" xfId="0" applyFont="1" applyFill="1" applyBorder="1" applyAlignment="1">
      <alignment horizontal="left" vertical="center" wrapText="1"/>
    </xf>
    <xf numFmtId="0" fontId="67" fillId="0" borderId="69" xfId="0" applyFont="1" applyFill="1" applyBorder="1" applyAlignment="1">
      <alignment vertical="center"/>
    </xf>
    <xf numFmtId="0" fontId="104" fillId="0" borderId="142" xfId="0" applyFont="1" applyBorder="1" applyAlignment="1">
      <alignment vertical="center"/>
    </xf>
    <xf numFmtId="0" fontId="67" fillId="0" borderId="175" xfId="0" applyFont="1" applyFill="1" applyBorder="1" applyAlignment="1">
      <alignment horizontal="center" vertical="center" wrapText="1"/>
    </xf>
    <xf numFmtId="0" fontId="122" fillId="0" borderId="174" xfId="0" applyFont="1" applyBorder="1" applyAlignment="1">
      <alignment vertical="center"/>
    </xf>
    <xf numFmtId="0" fontId="59" fillId="0" borderId="0" xfId="0" applyFont="1" applyBorder="1" applyAlignment="1">
      <alignment horizontal="center" vertical="center"/>
    </xf>
    <xf numFmtId="0" fontId="0" fillId="72" borderId="5" xfId="0" applyFont="1" applyFill="1" applyBorder="1" applyAlignment="1">
      <alignment horizontal="center" vertical="center"/>
    </xf>
    <xf numFmtId="0" fontId="104" fillId="0" borderId="152" xfId="0" applyFont="1" applyBorder="1" applyAlignment="1">
      <alignment vertical="center"/>
    </xf>
    <xf numFmtId="0" fontId="104" fillId="0" borderId="90" xfId="0" applyFont="1" applyBorder="1" applyAlignment="1">
      <alignment vertical="center"/>
    </xf>
    <xf numFmtId="0" fontId="33" fillId="0" borderId="48" xfId="0" applyFont="1" applyBorder="1" applyAlignment="1">
      <alignment horizontal="center" vertical="center"/>
    </xf>
    <xf numFmtId="0" fontId="33" fillId="0" borderId="179" xfId="0" applyFont="1" applyBorder="1" applyAlignment="1">
      <alignment horizontal="center" vertical="center"/>
    </xf>
    <xf numFmtId="0" fontId="33" fillId="0" borderId="98" xfId="0" applyFont="1" applyBorder="1" applyAlignment="1">
      <alignment horizontal="center" vertical="center"/>
    </xf>
    <xf numFmtId="0" fontId="33" fillId="0" borderId="80" xfId="0" applyFont="1" applyBorder="1" applyAlignment="1">
      <alignment horizontal="center" vertical="center"/>
    </xf>
    <xf numFmtId="0" fontId="33" fillId="0" borderId="196" xfId="0" applyFont="1" applyBorder="1" applyAlignment="1">
      <alignment horizontal="center" vertical="center" wrapText="1"/>
    </xf>
    <xf numFmtId="0" fontId="0" fillId="72" borderId="14" xfId="0" applyFont="1" applyFill="1" applyBorder="1" applyAlignment="1">
      <alignment horizontal="center" vertical="center"/>
    </xf>
    <xf numFmtId="0" fontId="103" fillId="0" borderId="115" xfId="0" applyFont="1" applyFill="1" applyBorder="1" applyAlignment="1">
      <alignment horizontal="left" vertical="center" wrapText="1"/>
    </xf>
    <xf numFmtId="0" fontId="103" fillId="0" borderId="115" xfId="0" applyFont="1" applyFill="1" applyBorder="1" applyAlignment="1">
      <alignment horizontal="left" wrapText="1"/>
    </xf>
    <xf numFmtId="0" fontId="33" fillId="0" borderId="2" xfId="0" applyFont="1" applyBorder="1" applyAlignment="1">
      <alignment horizontal="center" vertical="center"/>
    </xf>
    <xf numFmtId="0" fontId="33" fillId="0" borderId="84" xfId="0" applyFont="1" applyFill="1" applyBorder="1" applyAlignment="1">
      <alignment horizontal="justify" wrapText="1"/>
    </xf>
    <xf numFmtId="0" fontId="67" fillId="0" borderId="174" xfId="0" applyNumberFormat="1" applyFont="1" applyFill="1" applyBorder="1" applyAlignment="1">
      <alignment horizontal="center" vertical="center" wrapText="1"/>
    </xf>
    <xf numFmtId="0" fontId="142" fillId="0" borderId="0" xfId="0" applyFont="1" applyBorder="1" applyAlignment="1">
      <alignment vertical="center"/>
    </xf>
    <xf numFmtId="0" fontId="115" fillId="0" borderId="19" xfId="0" applyFont="1" applyBorder="1" applyAlignment="1">
      <alignment horizontal="left" vertical="center"/>
    </xf>
    <xf numFmtId="0" fontId="121" fillId="0" borderId="197" xfId="0" applyFont="1" applyBorder="1" applyAlignment="1">
      <alignment horizontal="center" vertical="center"/>
    </xf>
    <xf numFmtId="0" fontId="74" fillId="0" borderId="57" xfId="0" applyFont="1" applyFill="1" applyBorder="1" applyAlignment="1">
      <alignment horizontal="center" vertical="center" wrapText="1"/>
    </xf>
    <xf numFmtId="0" fontId="74" fillId="0" borderId="57" xfId="0" applyFont="1" applyBorder="1" applyAlignment="1">
      <alignment horizontal="center" vertical="center" wrapText="1"/>
    </xf>
    <xf numFmtId="0" fontId="74" fillId="0" borderId="0" xfId="0" applyFont="1" applyAlignment="1">
      <alignment vertical="center" wrapText="1"/>
    </xf>
    <xf numFmtId="0" fontId="8" fillId="0" borderId="0" xfId="0" applyFont="1" applyFill="1" applyBorder="1" applyAlignment="1">
      <alignment horizontal="left" wrapText="1"/>
    </xf>
    <xf numFmtId="0" fontId="8" fillId="0" borderId="0" xfId="0" applyFont="1" applyFill="1" applyBorder="1" applyAlignment="1">
      <alignment horizontal="center" wrapText="1"/>
    </xf>
    <xf numFmtId="167" fontId="8" fillId="0" borderId="0" xfId="8" applyNumberFormat="1" applyFont="1" applyFill="1" applyBorder="1" applyAlignment="1">
      <alignment horizontal="center"/>
    </xf>
    <xf numFmtId="0" fontId="8" fillId="0" borderId="0" xfId="8" applyNumberFormat="1" applyFont="1" applyFill="1" applyBorder="1" applyAlignment="1">
      <alignment horizontal="center"/>
    </xf>
    <xf numFmtId="0" fontId="106" fillId="0" borderId="51" xfId="0" applyFont="1" applyBorder="1" applyAlignment="1">
      <alignment vertical="center"/>
    </xf>
    <xf numFmtId="0" fontId="33" fillId="0" borderId="18" xfId="0" applyFont="1" applyFill="1" applyBorder="1" applyAlignment="1">
      <alignment horizontal="justify" wrapText="1"/>
    </xf>
    <xf numFmtId="0" fontId="104" fillId="0" borderId="155" xfId="0" applyFont="1" applyBorder="1" applyAlignment="1">
      <alignment vertical="center"/>
    </xf>
    <xf numFmtId="0" fontId="128" fillId="0" borderId="189" xfId="0" applyFont="1" applyFill="1" applyBorder="1" applyAlignment="1">
      <alignment horizontal="center" vertical="center" wrapText="1"/>
    </xf>
    <xf numFmtId="0" fontId="67" fillId="0" borderId="188" xfId="0" applyFont="1" applyFill="1" applyBorder="1" applyAlignment="1">
      <alignment vertical="center"/>
    </xf>
    <xf numFmtId="0" fontId="106" fillId="0" borderId="188" xfId="0" applyFont="1" applyBorder="1" applyAlignment="1">
      <alignment vertical="center"/>
    </xf>
    <xf numFmtId="0" fontId="67" fillId="8" borderId="25" xfId="0" applyFont="1" applyFill="1" applyBorder="1" applyAlignment="1">
      <alignment horizontal="center" vertical="center" wrapText="1"/>
    </xf>
    <xf numFmtId="0" fontId="33" fillId="0" borderId="2" xfId="0" applyFont="1" applyBorder="1" applyAlignment="1">
      <alignment horizontal="center" vertical="center" wrapText="1"/>
    </xf>
    <xf numFmtId="0" fontId="41" fillId="0" borderId="197" xfId="0" applyFont="1" applyBorder="1" applyAlignment="1">
      <alignment horizontal="center" vertical="center"/>
    </xf>
    <xf numFmtId="0" fontId="0" fillId="0" borderId="197" xfId="0" applyFont="1" applyBorder="1" applyAlignment="1">
      <alignment horizontal="center" vertical="center"/>
    </xf>
    <xf numFmtId="0" fontId="41" fillId="83" borderId="197" xfId="0" applyFont="1" applyFill="1" applyBorder="1" applyAlignment="1">
      <alignment horizontal="center" vertical="center"/>
    </xf>
    <xf numFmtId="0" fontId="0" fillId="83" borderId="197" xfId="0" applyFill="1" applyBorder="1" applyAlignment="1">
      <alignment horizontal="center" vertical="center"/>
    </xf>
    <xf numFmtId="0" fontId="0" fillId="0" borderId="0" xfId="0" applyAlignment="1">
      <alignment horizontal="center" vertical="center"/>
    </xf>
    <xf numFmtId="0" fontId="33" fillId="0" borderId="0" xfId="0" quotePrefix="1" applyFont="1" applyAlignment="1">
      <alignment vertical="center" wrapText="1"/>
    </xf>
    <xf numFmtId="0" fontId="33" fillId="72" borderId="85" xfId="0" applyFont="1" applyFill="1" applyBorder="1" applyAlignment="1">
      <alignment horizontal="center" vertical="center" wrapText="1"/>
    </xf>
    <xf numFmtId="0" fontId="33" fillId="72" borderId="198" xfId="0" applyFont="1" applyFill="1" applyBorder="1" applyAlignment="1">
      <alignment horizontal="center" vertical="center" wrapText="1"/>
    </xf>
    <xf numFmtId="0" fontId="33" fillId="72" borderId="147" xfId="0" applyFont="1" applyFill="1" applyBorder="1" applyAlignment="1">
      <alignment horizontal="center" vertical="center" wrapText="1"/>
    </xf>
    <xf numFmtId="0" fontId="33" fillId="72" borderId="174" xfId="0" applyFont="1" applyFill="1" applyBorder="1" applyAlignment="1">
      <alignment horizontal="center" vertical="center" wrapText="1"/>
    </xf>
    <xf numFmtId="0" fontId="33" fillId="72" borderId="200" xfId="0" applyFont="1" applyFill="1" applyBorder="1" applyAlignment="1">
      <alignment horizontal="center" vertical="center" wrapText="1"/>
    </xf>
    <xf numFmtId="0" fontId="33" fillId="72" borderId="57" xfId="0" applyFont="1" applyFill="1" applyBorder="1" applyAlignment="1">
      <alignment horizontal="center" vertical="center" wrapText="1"/>
    </xf>
    <xf numFmtId="0" fontId="33" fillId="72" borderId="197" xfId="0" applyFont="1" applyFill="1" applyBorder="1" applyAlignment="1">
      <alignment horizontal="center" vertical="center" wrapText="1"/>
    </xf>
    <xf numFmtId="0" fontId="33" fillId="72" borderId="188" xfId="0" applyFont="1" applyFill="1" applyBorder="1" applyAlignment="1">
      <alignment horizontal="center" vertical="center" wrapText="1"/>
    </xf>
    <xf numFmtId="0" fontId="33" fillId="72" borderId="153" xfId="0" applyFont="1" applyFill="1" applyBorder="1" applyAlignment="1">
      <alignment horizontal="center" vertical="center" wrapText="1"/>
    </xf>
    <xf numFmtId="0" fontId="33" fillId="0" borderId="0" xfId="0" applyFont="1" applyAlignment="1">
      <alignment horizontal="center" vertical="center" wrapText="1"/>
    </xf>
    <xf numFmtId="167" fontId="33" fillId="72" borderId="85" xfId="0" applyNumberFormat="1" applyFont="1" applyFill="1" applyBorder="1" applyAlignment="1">
      <alignment horizontal="center" vertical="center" wrapText="1"/>
    </xf>
    <xf numFmtId="167" fontId="33" fillId="72" borderId="198" xfId="0" applyNumberFormat="1" applyFont="1" applyFill="1" applyBorder="1" applyAlignment="1">
      <alignment horizontal="center" vertical="center" wrapText="1"/>
    </xf>
    <xf numFmtId="167" fontId="33" fillId="72" borderId="147" xfId="0" applyNumberFormat="1" applyFont="1" applyFill="1" applyBorder="1" applyAlignment="1">
      <alignment horizontal="center" vertical="center" wrapText="1"/>
    </xf>
    <xf numFmtId="167" fontId="33" fillId="72" borderId="174" xfId="0" applyNumberFormat="1" applyFont="1" applyFill="1" applyBorder="1" applyAlignment="1">
      <alignment horizontal="center" vertical="center" wrapText="1"/>
    </xf>
    <xf numFmtId="167" fontId="33" fillId="72" borderId="200" xfId="0" applyNumberFormat="1" applyFont="1" applyFill="1" applyBorder="1" applyAlignment="1">
      <alignment horizontal="center" vertical="center" wrapText="1"/>
    </xf>
    <xf numFmtId="167" fontId="33" fillId="72" borderId="57" xfId="0" applyNumberFormat="1" applyFont="1" applyFill="1" applyBorder="1" applyAlignment="1">
      <alignment horizontal="center" vertical="center" wrapText="1"/>
    </xf>
    <xf numFmtId="167" fontId="33" fillId="72" borderId="197" xfId="0" applyNumberFormat="1" applyFont="1" applyFill="1" applyBorder="1" applyAlignment="1">
      <alignment horizontal="center" vertical="center" wrapText="1"/>
    </xf>
    <xf numFmtId="167" fontId="33" fillId="72" borderId="188" xfId="0" applyNumberFormat="1" applyFont="1" applyFill="1" applyBorder="1" applyAlignment="1">
      <alignment horizontal="center" vertical="center" wrapText="1"/>
    </xf>
    <xf numFmtId="167" fontId="33" fillId="72" borderId="153" xfId="0" applyNumberFormat="1" applyFont="1" applyFill="1" applyBorder="1" applyAlignment="1">
      <alignment horizontal="center" vertical="center" wrapText="1"/>
    </xf>
    <xf numFmtId="167" fontId="33" fillId="0" borderId="57" xfId="0" applyNumberFormat="1" applyFont="1" applyFill="1" applyBorder="1" applyAlignment="1">
      <alignment horizontal="center" vertical="center" wrapText="1"/>
    </xf>
    <xf numFmtId="167" fontId="33" fillId="0" borderId="197" xfId="0" applyNumberFormat="1" applyFont="1" applyFill="1" applyBorder="1" applyAlignment="1">
      <alignment horizontal="center" vertical="center" wrapText="1"/>
    </xf>
    <xf numFmtId="167" fontId="33" fillId="0" borderId="174" xfId="0" applyNumberFormat="1" applyFont="1" applyFill="1" applyBorder="1" applyAlignment="1">
      <alignment horizontal="center" vertical="center" wrapText="1"/>
    </xf>
    <xf numFmtId="167" fontId="33" fillId="0" borderId="69" xfId="0" applyNumberFormat="1" applyFont="1" applyFill="1" applyBorder="1" applyAlignment="1">
      <alignment horizontal="center" vertical="center" wrapText="1"/>
    </xf>
    <xf numFmtId="0" fontId="143" fillId="0" borderId="198" xfId="0" applyFont="1" applyFill="1" applyBorder="1" applyAlignment="1">
      <alignment horizontal="center" vertical="center" wrapText="1"/>
    </xf>
    <xf numFmtId="167" fontId="143" fillId="0" borderId="198" xfId="0" applyNumberFormat="1" applyFont="1" applyFill="1" applyBorder="1" applyAlignment="1">
      <alignment horizontal="center" vertical="center" wrapText="1"/>
    </xf>
    <xf numFmtId="0" fontId="67" fillId="0" borderId="85" xfId="0" applyFont="1" applyFill="1" applyBorder="1" applyAlignment="1">
      <alignment horizontal="left" vertical="center"/>
    </xf>
    <xf numFmtId="0" fontId="106" fillId="0" borderId="85" xfId="0" applyFont="1" applyBorder="1" applyAlignment="1">
      <alignment vertical="center"/>
    </xf>
    <xf numFmtId="0" fontId="33" fillId="0" borderId="85" xfId="0" applyFont="1" applyFill="1" applyBorder="1" applyAlignment="1">
      <alignment horizontal="center" vertical="center" wrapText="1"/>
    </xf>
    <xf numFmtId="0" fontId="67" fillId="0" borderId="197" xfId="0" applyFont="1" applyFill="1" applyBorder="1" applyAlignment="1">
      <alignment horizontal="center" vertical="center"/>
    </xf>
    <xf numFmtId="0" fontId="74" fillId="0" borderId="197" xfId="0" applyFont="1" applyBorder="1" applyAlignment="1">
      <alignment horizontal="center" vertical="center" wrapText="1"/>
    </xf>
    <xf numFmtId="0" fontId="67" fillId="0" borderId="140" xfId="0" applyFont="1" applyFill="1" applyBorder="1" applyAlignment="1">
      <alignment horizontal="justify" vertical="center" wrapText="1"/>
    </xf>
    <xf numFmtId="0" fontId="67" fillId="0" borderId="173" xfId="0" applyFont="1" applyFill="1" applyBorder="1" applyAlignment="1">
      <alignment horizontal="justify" vertical="center" wrapText="1"/>
    </xf>
    <xf numFmtId="0" fontId="104" fillId="0" borderId="176" xfId="0" applyFont="1" applyBorder="1" applyAlignment="1">
      <alignment vertical="center"/>
    </xf>
    <xf numFmtId="0" fontId="104" fillId="0" borderId="51" xfId="0" applyFont="1" applyBorder="1" applyAlignment="1">
      <alignment vertical="center"/>
    </xf>
    <xf numFmtId="0" fontId="104" fillId="0" borderId="175" xfId="0" applyFont="1" applyBorder="1" applyAlignment="1">
      <alignment vertical="center"/>
    </xf>
    <xf numFmtId="0" fontId="33" fillId="0" borderId="173" xfId="0" applyFont="1" applyFill="1" applyBorder="1" applyAlignment="1">
      <alignment horizontal="justify" wrapText="1"/>
    </xf>
    <xf numFmtId="0" fontId="74" fillId="0" borderId="26" xfId="0" applyFont="1" applyBorder="1" applyAlignment="1">
      <alignment horizontal="center" vertical="center" wrapText="1"/>
    </xf>
    <xf numFmtId="0" fontId="103" fillId="8" borderId="197" xfId="0" applyFont="1" applyFill="1" applyBorder="1" applyAlignment="1">
      <alignment horizontal="center" vertical="center" wrapText="1"/>
    </xf>
    <xf numFmtId="0" fontId="136" fillId="0" borderId="197" xfId="0" applyFont="1" applyBorder="1" applyAlignment="1">
      <alignment horizontal="center" vertical="center" wrapText="1"/>
    </xf>
    <xf numFmtId="0" fontId="137" fillId="0" borderId="197" xfId="0" applyFont="1" applyBorder="1" applyAlignment="1">
      <alignment horizontal="left" vertical="center"/>
    </xf>
    <xf numFmtId="0" fontId="138" fillId="0" borderId="197" xfId="0" applyFont="1" applyBorder="1" applyAlignment="1">
      <alignment horizontal="left" vertical="center"/>
    </xf>
    <xf numFmtId="0" fontId="103" fillId="0" borderId="197" xfId="0" applyFont="1" applyBorder="1" applyAlignment="1">
      <alignment horizontal="left" vertical="center" wrapText="1"/>
    </xf>
    <xf numFmtId="0" fontId="67" fillId="0" borderId="57" xfId="0" applyNumberFormat="1" applyFont="1" applyBorder="1" applyAlignment="1">
      <alignment horizontal="center" vertical="center" wrapText="1"/>
    </xf>
    <xf numFmtId="0" fontId="103" fillId="8" borderId="57" xfId="0" applyFont="1" applyFill="1" applyBorder="1" applyAlignment="1">
      <alignment horizontal="center" vertical="center" wrapText="1"/>
    </xf>
    <xf numFmtId="0" fontId="103" fillId="8" borderId="140" xfId="0" applyFont="1" applyFill="1" applyBorder="1" applyAlignment="1">
      <alignment horizontal="left" vertical="center" wrapText="1"/>
    </xf>
    <xf numFmtId="0" fontId="33" fillId="8" borderId="140" xfId="0" applyFont="1" applyFill="1" applyBorder="1" applyAlignment="1">
      <alignment horizontal="left" vertical="center" wrapText="1"/>
    </xf>
    <xf numFmtId="0" fontId="103" fillId="8" borderId="174" xfId="0" applyFont="1" applyFill="1" applyBorder="1" applyAlignment="1">
      <alignment horizontal="center" vertical="center" wrapText="1"/>
    </xf>
    <xf numFmtId="0" fontId="67" fillId="0" borderId="19" xfId="0" applyFont="1" applyFill="1" applyBorder="1" applyAlignment="1">
      <alignment horizontal="left" vertical="center" wrapText="1"/>
    </xf>
    <xf numFmtId="0" fontId="103" fillId="0" borderId="67" xfId="0" applyFont="1" applyFill="1" applyBorder="1" applyAlignment="1">
      <alignment horizontal="left" vertical="center" wrapText="1"/>
    </xf>
    <xf numFmtId="0" fontId="103" fillId="0" borderId="193" xfId="0" applyFont="1" applyFill="1" applyBorder="1" applyAlignment="1">
      <alignment horizontal="left" vertical="center" wrapText="1"/>
    </xf>
    <xf numFmtId="0" fontId="33" fillId="0" borderId="47" xfId="0" applyFont="1" applyFill="1" applyBorder="1" applyAlignment="1">
      <alignment horizontal="justify" wrapText="1"/>
    </xf>
    <xf numFmtId="0" fontId="41" fillId="0" borderId="188" xfId="0" applyFont="1" applyBorder="1" applyAlignment="1">
      <alignment horizontal="center" vertical="center"/>
    </xf>
    <xf numFmtId="0" fontId="67" fillId="0" borderId="176" xfId="0" applyFont="1" applyBorder="1" applyAlignment="1">
      <alignment horizontal="center" vertical="center" wrapText="1"/>
    </xf>
    <xf numFmtId="0" fontId="67" fillId="0" borderId="72" xfId="0" applyFont="1" applyFill="1" applyBorder="1" applyAlignment="1">
      <alignment horizontal="left" vertical="center"/>
    </xf>
    <xf numFmtId="0" fontId="67" fillId="0" borderId="69" xfId="0" applyFont="1" applyBorder="1" applyAlignment="1">
      <alignment horizontal="center" vertical="center" wrapText="1"/>
    </xf>
    <xf numFmtId="0" fontId="67" fillId="0" borderId="73" xfId="0" applyFont="1" applyBorder="1" applyAlignment="1">
      <alignment horizontal="center" vertical="center" wrapText="1"/>
    </xf>
    <xf numFmtId="0" fontId="0" fillId="0" borderId="57" xfId="0" applyFont="1" applyBorder="1" applyAlignment="1">
      <alignment horizontal="center" vertical="center"/>
    </xf>
    <xf numFmtId="0" fontId="67" fillId="0" borderId="173" xfId="0" applyFont="1" applyBorder="1" applyAlignment="1">
      <alignment vertical="center" wrapText="1"/>
    </xf>
    <xf numFmtId="0" fontId="115" fillId="0" borderId="72" xfId="0" applyFont="1" applyBorder="1" applyAlignment="1">
      <alignment horizontal="left" vertical="center"/>
    </xf>
    <xf numFmtId="0" fontId="121" fillId="0" borderId="140" xfId="0" applyFont="1" applyFill="1" applyBorder="1" applyAlignment="1">
      <alignment horizontal="left" vertical="center"/>
    </xf>
    <xf numFmtId="0" fontId="115" fillId="0" borderId="162" xfId="0" applyFont="1" applyBorder="1" applyAlignment="1">
      <alignment horizontal="left" vertical="center"/>
    </xf>
    <xf numFmtId="0" fontId="74" fillId="0" borderId="197" xfId="0" applyFont="1" applyFill="1" applyBorder="1" applyAlignment="1">
      <alignment horizontal="center" vertical="center"/>
    </xf>
    <xf numFmtId="0" fontId="104" fillId="0" borderId="197" xfId="0" applyFont="1" applyFill="1" applyBorder="1" applyAlignment="1">
      <alignment horizontal="center" vertical="center"/>
    </xf>
    <xf numFmtId="0" fontId="33" fillId="0" borderId="197" xfId="0" applyFont="1" applyFill="1" applyBorder="1" applyAlignment="1">
      <alignment horizontal="center" vertical="center"/>
    </xf>
    <xf numFmtId="0" fontId="74" fillId="0" borderId="175" xfId="0" applyFont="1" applyFill="1" applyBorder="1" applyAlignment="1">
      <alignment horizontal="center" vertical="center" wrapText="1"/>
    </xf>
    <xf numFmtId="0" fontId="104" fillId="0" borderId="175" xfId="0" applyFont="1" applyFill="1" applyBorder="1" applyAlignment="1">
      <alignment horizontal="center" vertical="center"/>
    </xf>
    <xf numFmtId="0" fontId="121" fillId="0" borderId="173" xfId="0" applyFont="1" applyFill="1" applyBorder="1" applyAlignment="1">
      <alignment horizontal="left" vertical="center"/>
    </xf>
    <xf numFmtId="0" fontId="104" fillId="0" borderId="174" xfId="0" applyFont="1" applyFill="1" applyBorder="1" applyAlignment="1">
      <alignment horizontal="center" vertical="center"/>
    </xf>
    <xf numFmtId="0" fontId="33" fillId="0" borderId="174" xfId="0" applyFont="1" applyFill="1" applyBorder="1" applyAlignment="1">
      <alignment horizontal="center" vertical="center"/>
    </xf>
    <xf numFmtId="0" fontId="104" fillId="0" borderId="142" xfId="0" applyFont="1" applyFill="1" applyBorder="1" applyAlignment="1">
      <alignment horizontal="center" vertical="center"/>
    </xf>
    <xf numFmtId="0" fontId="0" fillId="0" borderId="0" xfId="0" applyAlignment="1">
      <alignment vertical="center" wrapText="1"/>
    </xf>
    <xf numFmtId="0" fontId="128" fillId="8" borderId="174" xfId="0" applyFont="1" applyFill="1" applyBorder="1" applyAlignment="1">
      <alignment horizontal="center" vertical="center" wrapText="1"/>
    </xf>
    <xf numFmtId="0" fontId="103" fillId="0" borderId="69" xfId="0" applyFont="1" applyBorder="1" applyAlignment="1">
      <alignment horizontal="center" vertical="center" wrapText="1"/>
    </xf>
    <xf numFmtId="0" fontId="103" fillId="0" borderId="197" xfId="0" applyFont="1" applyBorder="1" applyAlignment="1">
      <alignment horizontal="center" vertical="center" wrapText="1"/>
    </xf>
    <xf numFmtId="0" fontId="103" fillId="0" borderId="174" xfId="0" applyFont="1" applyBorder="1" applyAlignment="1">
      <alignment horizontal="center" vertical="center" wrapText="1"/>
    </xf>
    <xf numFmtId="0" fontId="67" fillId="8" borderId="0" xfId="0" applyFont="1" applyFill="1" applyBorder="1" applyAlignment="1">
      <alignment horizontal="center" vertical="center" wrapText="1"/>
    </xf>
    <xf numFmtId="0" fontId="67" fillId="0" borderId="0" xfId="0" applyFont="1" applyAlignment="1">
      <alignment vertical="center" wrapText="1"/>
    </xf>
    <xf numFmtId="0" fontId="67" fillId="0" borderId="147" xfId="0" applyFont="1" applyBorder="1" applyAlignment="1">
      <alignment horizontal="center" vertical="center" wrapText="1"/>
    </xf>
    <xf numFmtId="0" fontId="67" fillId="0" borderId="0" xfId="0" applyFont="1" applyAlignment="1">
      <alignment horizontal="center" vertical="center" wrapText="1"/>
    </xf>
    <xf numFmtId="0" fontId="67" fillId="72" borderId="153" xfId="0" applyFont="1" applyFill="1" applyBorder="1" applyAlignment="1">
      <alignment horizontal="center" vertical="center" wrapText="1"/>
    </xf>
    <xf numFmtId="167" fontId="67" fillId="72" borderId="153" xfId="0" applyNumberFormat="1" applyFont="1" applyFill="1" applyBorder="1" applyAlignment="1">
      <alignment horizontal="center" vertical="center" wrapText="1"/>
    </xf>
    <xf numFmtId="0" fontId="13" fillId="72" borderId="7" xfId="0" applyFont="1" applyFill="1" applyBorder="1" applyAlignment="1">
      <alignment horizontal="center" vertical="center"/>
    </xf>
    <xf numFmtId="0" fontId="67" fillId="0" borderId="158" xfId="0" applyFont="1" applyFill="1" applyBorder="1" applyAlignment="1">
      <alignment vertical="center"/>
    </xf>
    <xf numFmtId="0" fontId="0" fillId="72" borderId="9" xfId="0" applyFill="1" applyBorder="1" applyAlignment="1">
      <alignment wrapText="1"/>
    </xf>
    <xf numFmtId="2" fontId="4" fillId="72" borderId="1" xfId="0" applyNumberFormat="1" applyFont="1" applyFill="1" applyBorder="1" applyAlignment="1">
      <alignment vertical="center" wrapText="1"/>
    </xf>
    <xf numFmtId="2" fontId="4" fillId="72" borderId="5" xfId="0" applyNumberFormat="1" applyFont="1" applyFill="1" applyBorder="1" applyAlignment="1">
      <alignment horizontal="center" vertical="center" wrapText="1"/>
    </xf>
    <xf numFmtId="2" fontId="4" fillId="72" borderId="2" xfId="0" applyNumberFormat="1" applyFont="1" applyFill="1" applyBorder="1" applyAlignment="1">
      <alignment horizontal="center" vertical="center" wrapText="1"/>
    </xf>
    <xf numFmtId="0" fontId="0" fillId="83" borderId="197" xfId="0" applyFill="1" applyBorder="1" applyAlignment="1">
      <alignment horizontal="center" vertical="center" wrapText="1"/>
    </xf>
    <xf numFmtId="0" fontId="0" fillId="83" borderId="197" xfId="0" applyNumberFormat="1" applyFill="1" applyBorder="1" applyAlignment="1">
      <alignment horizontal="center" vertical="center"/>
    </xf>
    <xf numFmtId="10" fontId="0" fillId="83" borderId="197" xfId="0" applyNumberFormat="1" applyFill="1" applyBorder="1" applyAlignment="1">
      <alignment vertical="center"/>
    </xf>
    <xf numFmtId="0" fontId="1" fillId="0" borderId="0" xfId="0" applyFont="1" applyFill="1" applyBorder="1" applyAlignment="1">
      <alignment horizontal="center" vertical="center"/>
    </xf>
    <xf numFmtId="0" fontId="0" fillId="0" borderId="197" xfId="0" applyBorder="1" applyAlignment="1">
      <alignment vertical="center" wrapText="1"/>
    </xf>
    <xf numFmtId="0" fontId="33" fillId="0" borderId="180" xfId="0" applyFont="1" applyBorder="1" applyAlignment="1">
      <alignment horizontal="center" vertical="center" wrapText="1"/>
    </xf>
    <xf numFmtId="167" fontId="33" fillId="0" borderId="188" xfId="0" applyNumberFormat="1" applyFont="1" applyFill="1" applyBorder="1" applyAlignment="1">
      <alignment horizontal="center" vertical="center" wrapText="1"/>
    </xf>
    <xf numFmtId="0" fontId="33" fillId="8" borderId="16" xfId="0" applyFont="1" applyFill="1" applyBorder="1" applyAlignment="1">
      <alignment horizontal="left" vertical="center" wrapText="1"/>
    </xf>
    <xf numFmtId="0" fontId="33" fillId="8" borderId="18" xfId="0" applyFont="1" applyFill="1" applyBorder="1" applyAlignment="1">
      <alignment horizontal="left" vertical="center" wrapText="1"/>
    </xf>
    <xf numFmtId="0" fontId="103" fillId="8" borderId="97" xfId="0" applyFont="1" applyFill="1" applyBorder="1" applyAlignment="1">
      <alignment horizontal="left" vertical="center" wrapText="1"/>
    </xf>
    <xf numFmtId="0" fontId="33" fillId="8" borderId="182" xfId="0" applyFont="1" applyFill="1" applyBorder="1" applyAlignment="1">
      <alignment horizontal="left" vertical="center" wrapText="1"/>
    </xf>
    <xf numFmtId="0" fontId="33" fillId="0" borderId="18" xfId="0" applyFont="1" applyBorder="1" applyAlignment="1">
      <alignment vertical="center" wrapText="1"/>
    </xf>
    <xf numFmtId="0" fontId="67" fillId="8" borderId="153" xfId="0" applyFont="1" applyFill="1" applyBorder="1" applyAlignment="1">
      <alignment horizontal="center" vertical="center" wrapText="1"/>
    </xf>
    <xf numFmtId="0" fontId="0" fillId="0" borderId="0" xfId="0" applyFont="1" applyAlignment="1">
      <alignment horizontal="center" vertical="center"/>
    </xf>
    <xf numFmtId="0" fontId="65" fillId="0" borderId="0" xfId="0" applyFont="1" applyAlignment="1">
      <alignment vertical="center"/>
    </xf>
    <xf numFmtId="0" fontId="0" fillId="0" borderId="0" xfId="0" applyAlignment="1">
      <alignment horizontal="center" vertical="center"/>
    </xf>
    <xf numFmtId="0" fontId="0" fillId="0" borderId="0" xfId="0" applyAlignment="1">
      <alignment wrapText="1"/>
    </xf>
    <xf numFmtId="0" fontId="136" fillId="0" borderId="0" xfId="0" applyFont="1" applyFill="1" applyBorder="1" applyAlignment="1">
      <alignment horizontal="center"/>
    </xf>
    <xf numFmtId="0" fontId="145" fillId="0" borderId="0" xfId="0" applyFont="1" applyFill="1" applyBorder="1" applyAlignment="1">
      <alignment vertical="top" wrapText="1"/>
    </xf>
    <xf numFmtId="0" fontId="145" fillId="0" borderId="0" xfId="0" applyFont="1" applyFill="1" applyBorder="1" applyAlignment="1">
      <alignment horizontal="center" vertical="top" wrapText="1"/>
    </xf>
    <xf numFmtId="0" fontId="59" fillId="0" borderId="0" xfId="0" applyFont="1" applyFill="1" applyBorder="1" applyAlignment="1">
      <alignment vertical="top" wrapText="1"/>
    </xf>
    <xf numFmtId="0" fontId="59" fillId="0" borderId="0" xfId="0" applyFont="1" applyFill="1" applyBorder="1" applyAlignment="1">
      <alignment horizontal="center" vertical="top" wrapText="1"/>
    </xf>
    <xf numFmtId="0" fontId="144" fillId="0" borderId="0" xfId="0" applyFont="1" applyFill="1" applyBorder="1" applyAlignment="1">
      <alignment vertical="top" wrapText="1"/>
    </xf>
    <xf numFmtId="0" fontId="144" fillId="0" borderId="0" xfId="0" applyFont="1" applyFill="1" applyBorder="1" applyAlignment="1">
      <alignment horizontal="center" vertical="top" wrapText="1"/>
    </xf>
    <xf numFmtId="167" fontId="13" fillId="0" borderId="0" xfId="0" applyNumberFormat="1" applyFont="1" applyFill="1" applyBorder="1" applyAlignment="1">
      <alignment horizontal="center" vertical="center"/>
    </xf>
    <xf numFmtId="0" fontId="128" fillId="0" borderId="198" xfId="0" applyFont="1" applyFill="1" applyBorder="1" applyAlignment="1">
      <alignment horizontal="center" vertical="center" wrapText="1"/>
    </xf>
    <xf numFmtId="0" fontId="128" fillId="0" borderId="197" xfId="0" applyFont="1" applyBorder="1" applyAlignment="1">
      <alignment horizontal="center" vertical="center" wrapText="1"/>
    </xf>
    <xf numFmtId="167" fontId="13" fillId="0" borderId="0" xfId="0" applyNumberFormat="1" applyFont="1"/>
    <xf numFmtId="0" fontId="67" fillId="0" borderId="0" xfId="0" applyFont="1" applyAlignment="1">
      <alignment horizontal="center" vertical="center"/>
    </xf>
    <xf numFmtId="0" fontId="146" fillId="0" borderId="0" xfId="0" applyFont="1" applyBorder="1" applyAlignment="1">
      <alignment horizontal="left" wrapText="1"/>
    </xf>
    <xf numFmtId="0" fontId="147" fillId="0" borderId="0" xfId="0" applyFont="1" applyBorder="1" applyAlignment="1">
      <alignment horizontal="center" vertical="center" wrapText="1"/>
    </xf>
    <xf numFmtId="0" fontId="0" fillId="0" borderId="151" xfId="0" applyBorder="1" applyAlignment="1">
      <alignment horizontal="center" vertical="center" wrapText="1"/>
    </xf>
    <xf numFmtId="0" fontId="67" fillId="0" borderId="0" xfId="0" applyFont="1" applyFill="1" applyBorder="1" applyAlignment="1">
      <alignment vertical="center"/>
    </xf>
    <xf numFmtId="0" fontId="106" fillId="0" borderId="0" xfId="0" applyFont="1" applyFill="1" applyBorder="1" applyAlignment="1">
      <alignment vertical="center"/>
    </xf>
    <xf numFmtId="0" fontId="0" fillId="0" borderId="0" xfId="0" applyNumberFormat="1" applyFont="1"/>
    <xf numFmtId="0" fontId="0" fillId="0" borderId="0" xfId="0" applyNumberFormat="1" applyAlignment="1">
      <alignment wrapText="1"/>
    </xf>
    <xf numFmtId="0" fontId="33" fillId="0" borderId="0" xfId="0" quotePrefix="1" applyNumberFormat="1" applyFont="1" applyAlignment="1">
      <alignment vertical="center" wrapText="1"/>
    </xf>
    <xf numFmtId="0" fontId="0" fillId="0" borderId="0" xfId="0" applyAlignment="1">
      <alignment horizontal="center" wrapText="1"/>
    </xf>
    <xf numFmtId="0" fontId="0" fillId="0" borderId="197" xfId="0" applyBorder="1" applyAlignment="1">
      <alignment horizontal="center" vertical="center" wrapText="1"/>
    </xf>
    <xf numFmtId="0" fontId="67" fillId="0" borderId="85" xfId="0" applyFont="1" applyBorder="1" applyAlignment="1">
      <alignment horizontal="center" vertical="center"/>
    </xf>
    <xf numFmtId="0" fontId="130" fillId="3" borderId="197" xfId="1" applyNumberFormat="1" applyFont="1" applyFill="1" applyBorder="1" applyAlignment="1">
      <alignment horizontal="center" vertical="center" wrapText="1"/>
    </xf>
    <xf numFmtId="0" fontId="33" fillId="72" borderId="69" xfId="0" applyFont="1" applyFill="1" applyBorder="1" applyAlignment="1">
      <alignment horizontal="center" vertical="center" wrapText="1"/>
    </xf>
    <xf numFmtId="167" fontId="33" fillId="72" borderId="69" xfId="0" applyNumberFormat="1" applyFont="1" applyFill="1" applyBorder="1" applyAlignment="1">
      <alignment horizontal="center" vertical="center" wrapText="1"/>
    </xf>
    <xf numFmtId="0" fontId="67" fillId="72" borderId="197" xfId="0" applyFont="1" applyFill="1" applyBorder="1" applyAlignment="1">
      <alignment horizontal="center" vertical="center"/>
    </xf>
    <xf numFmtId="0" fontId="67" fillId="72" borderId="198" xfId="0" applyFont="1" applyFill="1" applyBorder="1" applyAlignment="1">
      <alignment horizontal="center" vertical="center" wrapText="1"/>
    </xf>
    <xf numFmtId="0" fontId="67" fillId="72" borderId="57" xfId="0" applyFont="1" applyFill="1" applyBorder="1" applyAlignment="1">
      <alignment horizontal="center" vertical="center"/>
    </xf>
    <xf numFmtId="0" fontId="67" fillId="72" borderId="174" xfId="0" applyFont="1" applyFill="1" applyBorder="1" applyAlignment="1">
      <alignment horizontal="center" vertical="center"/>
    </xf>
    <xf numFmtId="0" fontId="67" fillId="72" borderId="85" xfId="0" applyFont="1" applyFill="1" applyBorder="1" applyAlignment="1">
      <alignment horizontal="center" vertical="center"/>
    </xf>
    <xf numFmtId="0" fontId="67" fillId="72" borderId="147" xfId="0" applyFont="1" applyFill="1" applyBorder="1" applyAlignment="1">
      <alignment horizontal="center" vertical="center"/>
    </xf>
    <xf numFmtId="0" fontId="67" fillId="72" borderId="198" xfId="0" applyFont="1" applyFill="1" applyBorder="1" applyAlignment="1">
      <alignment horizontal="center" vertical="center"/>
    </xf>
    <xf numFmtId="0" fontId="67" fillId="72" borderId="57" xfId="0" applyFont="1" applyFill="1" applyBorder="1" applyAlignment="1">
      <alignment horizontal="center" vertical="center" wrapText="1"/>
    </xf>
    <xf numFmtId="0" fontId="67" fillId="72" borderId="197" xfId="0" applyFont="1" applyFill="1" applyBorder="1" applyAlignment="1">
      <alignment horizontal="center" vertical="center" wrapText="1"/>
    </xf>
    <xf numFmtId="0" fontId="67" fillId="72" borderId="174" xfId="0" applyFont="1" applyFill="1" applyBorder="1" applyAlignment="1">
      <alignment horizontal="center" vertical="center" wrapText="1"/>
    </xf>
    <xf numFmtId="0" fontId="67" fillId="0" borderId="69" xfId="0" applyFont="1" applyFill="1" applyBorder="1" applyAlignment="1">
      <alignment horizontal="center" vertical="center"/>
    </xf>
    <xf numFmtId="0" fontId="67" fillId="0" borderId="57" xfId="0" applyFont="1" applyFill="1" applyBorder="1" applyAlignment="1">
      <alignment horizontal="center" vertical="center"/>
    </xf>
    <xf numFmtId="0" fontId="67" fillId="0" borderId="174" xfId="0" applyFont="1" applyFill="1" applyBorder="1" applyAlignment="1">
      <alignment horizontal="center" vertical="center"/>
    </xf>
    <xf numFmtId="0" fontId="139" fillId="5" borderId="0" xfId="9" applyFont="1" applyFill="1" applyBorder="1" applyAlignment="1">
      <alignment vertical="center" wrapText="1"/>
    </xf>
    <xf numFmtId="0" fontId="140" fillId="5" borderId="147" xfId="9" applyFont="1" applyFill="1" applyBorder="1" applyAlignment="1">
      <alignment vertical="center" wrapText="1"/>
    </xf>
    <xf numFmtId="0" fontId="33" fillId="8" borderId="151" xfId="0" applyFont="1" applyFill="1" applyBorder="1" applyAlignment="1">
      <alignment horizontal="center" vertical="center" wrapText="1"/>
    </xf>
    <xf numFmtId="0" fontId="103" fillId="8" borderId="197" xfId="0" applyFont="1" applyFill="1" applyBorder="1" applyAlignment="1">
      <alignment horizontal="left" vertical="center" wrapText="1"/>
    </xf>
    <xf numFmtId="0" fontId="103" fillId="8" borderId="19" xfId="0" applyFont="1" applyFill="1" applyBorder="1" applyAlignment="1">
      <alignment vertical="center" wrapText="1"/>
    </xf>
    <xf numFmtId="0" fontId="103" fillId="8" borderId="140" xfId="0" applyFont="1" applyFill="1" applyBorder="1" applyAlignment="1">
      <alignment vertical="center" wrapText="1"/>
    </xf>
    <xf numFmtId="0" fontId="103" fillId="8" borderId="173" xfId="0" applyFont="1" applyFill="1" applyBorder="1" applyAlignment="1">
      <alignment vertical="center" wrapText="1"/>
    </xf>
    <xf numFmtId="0" fontId="143" fillId="0" borderId="85" xfId="0" applyFont="1" applyFill="1" applyBorder="1" applyAlignment="1">
      <alignment horizontal="center" vertical="center" wrapText="1"/>
    </xf>
    <xf numFmtId="167" fontId="143" fillId="0" borderId="85" xfId="0" applyNumberFormat="1" applyFont="1" applyFill="1" applyBorder="1" applyAlignment="1">
      <alignment horizontal="center" vertical="center" wrapText="1"/>
    </xf>
    <xf numFmtId="0" fontId="13" fillId="0" borderId="0" xfId="0" applyFont="1" applyBorder="1" applyAlignment="1">
      <alignment vertical="center"/>
    </xf>
    <xf numFmtId="0" fontId="33" fillId="0" borderId="72" xfId="0" applyFont="1" applyFill="1" applyBorder="1" applyAlignment="1">
      <alignment horizontal="justify" wrapText="1"/>
    </xf>
    <xf numFmtId="0" fontId="122" fillId="0" borderId="69" xfId="0" applyFont="1" applyFill="1" applyBorder="1" applyAlignment="1">
      <alignment horizontal="left" vertical="center" wrapText="1"/>
    </xf>
    <xf numFmtId="0" fontId="125" fillId="0" borderId="69" xfId="0" applyFont="1" applyBorder="1" applyAlignment="1">
      <alignment vertical="center" wrapText="1"/>
    </xf>
    <xf numFmtId="0" fontId="104" fillId="0" borderId="73" xfId="0" applyFont="1" applyBorder="1" applyAlignment="1">
      <alignment vertical="center"/>
    </xf>
    <xf numFmtId="0" fontId="106" fillId="0" borderId="142" xfId="0" applyFont="1" applyBorder="1" applyAlignment="1">
      <alignment vertical="center"/>
    </xf>
    <xf numFmtId="0" fontId="122" fillId="0" borderId="188" xfId="0" applyFont="1" applyFill="1" applyBorder="1" applyAlignment="1">
      <alignment horizontal="left" vertical="center" wrapText="1"/>
    </xf>
    <xf numFmtId="0" fontId="125" fillId="0" borderId="188" xfId="0" applyFont="1" applyBorder="1" applyAlignment="1">
      <alignment vertical="center" wrapText="1"/>
    </xf>
    <xf numFmtId="0" fontId="0" fillId="0" borderId="0" xfId="0" applyAlignment="1">
      <alignment horizontal="center" vertical="center"/>
    </xf>
    <xf numFmtId="0" fontId="23" fillId="8" borderId="183" xfId="0" applyFont="1" applyFill="1" applyBorder="1" applyAlignment="1">
      <alignment horizontal="center"/>
    </xf>
    <xf numFmtId="1" fontId="23" fillId="0" borderId="6" xfId="0" applyNumberFormat="1" applyFont="1" applyFill="1" applyBorder="1" applyAlignment="1">
      <alignment horizontal="left" vertical="center"/>
    </xf>
    <xf numFmtId="1" fontId="23" fillId="0" borderId="6" xfId="0" applyNumberFormat="1" applyFont="1" applyFill="1" applyBorder="1" applyAlignment="1">
      <alignment horizontal="center" vertical="center"/>
    </xf>
    <xf numFmtId="0" fontId="23" fillId="8" borderId="19" xfId="0" applyFont="1" applyFill="1" applyBorder="1" applyAlignment="1">
      <alignment horizontal="left" vertical="center"/>
    </xf>
    <xf numFmtId="0" fontId="3" fillId="8" borderId="57" xfId="0" applyFont="1" applyFill="1" applyBorder="1" applyAlignment="1">
      <alignment horizontal="center"/>
    </xf>
    <xf numFmtId="0" fontId="3" fillId="8" borderId="174" xfId="0" applyFont="1" applyFill="1" applyBorder="1" applyAlignment="1">
      <alignment horizontal="center"/>
    </xf>
    <xf numFmtId="0" fontId="128" fillId="0" borderId="188" xfId="0" applyNumberFormat="1" applyFont="1" applyFill="1" applyBorder="1" applyAlignment="1">
      <alignment horizontal="center" vertical="center" wrapText="1"/>
    </xf>
    <xf numFmtId="3" fontId="32" fillId="0" borderId="0" xfId="94" applyNumberFormat="1" applyFont="1" applyFill="1" applyBorder="1" applyAlignment="1">
      <alignment horizontal="center"/>
    </xf>
    <xf numFmtId="0" fontId="95" fillId="0" borderId="0" xfId="0" applyFont="1" applyBorder="1" applyAlignment="1"/>
    <xf numFmtId="0" fontId="0" fillId="5" borderId="0" xfId="0" applyFill="1" applyAlignment="1">
      <alignment horizontal="center"/>
    </xf>
    <xf numFmtId="0" fontId="2" fillId="3" borderId="12" xfId="1" applyFont="1" applyFill="1" applyBorder="1" applyAlignment="1">
      <alignment horizontal="center" vertical="center" wrapText="1"/>
    </xf>
    <xf numFmtId="0" fontId="0" fillId="0" borderId="0" xfId="0" applyFont="1" applyFill="1" applyBorder="1" applyAlignment="1">
      <alignment horizontal="center"/>
    </xf>
    <xf numFmtId="0" fontId="74" fillId="0" borderId="188" xfId="0" applyFont="1" applyBorder="1" applyAlignment="1">
      <alignment horizontal="center" vertical="center"/>
    </xf>
    <xf numFmtId="0" fontId="74" fillId="0" borderId="188" xfId="0" applyFont="1" applyBorder="1" applyAlignment="1">
      <alignment horizontal="center" vertical="center" wrapText="1"/>
    </xf>
    <xf numFmtId="0" fontId="74" fillId="0" borderId="176" xfId="0" applyFont="1" applyBorder="1" applyAlignment="1">
      <alignment horizontal="center" vertical="center" wrapText="1"/>
    </xf>
    <xf numFmtId="0" fontId="115" fillId="0" borderId="173" xfId="0" applyFont="1" applyBorder="1" applyAlignment="1">
      <alignment horizontal="left" vertical="center"/>
    </xf>
    <xf numFmtId="0" fontId="86" fillId="0" borderId="140" xfId="0" applyFont="1" applyBorder="1" applyAlignment="1">
      <alignment horizontal="left" vertical="center"/>
    </xf>
    <xf numFmtId="0" fontId="115" fillId="0" borderId="55" xfId="0" applyFont="1" applyBorder="1" applyAlignment="1">
      <alignment horizontal="left" vertical="center"/>
    </xf>
    <xf numFmtId="0" fontId="115" fillId="0" borderId="96" xfId="0" applyFont="1" applyBorder="1" applyAlignment="1">
      <alignment horizontal="left" vertical="center"/>
    </xf>
    <xf numFmtId="0" fontId="126" fillId="0" borderId="140" xfId="0" applyFont="1" applyFill="1" applyBorder="1" applyAlignment="1">
      <alignment horizontal="left" vertical="center" wrapText="1"/>
    </xf>
    <xf numFmtId="0" fontId="114" fillId="80" borderId="26" xfId="0" applyFont="1" applyFill="1" applyBorder="1" applyAlignment="1">
      <alignment horizontal="left"/>
    </xf>
    <xf numFmtId="0" fontId="124" fillId="0" borderId="140" xfId="0" applyFont="1" applyBorder="1" applyAlignment="1">
      <alignment horizontal="left" vertical="center"/>
    </xf>
    <xf numFmtId="0" fontId="124" fillId="0" borderId="19" xfId="0" applyFont="1" applyBorder="1" applyAlignment="1">
      <alignment horizontal="left" vertical="center"/>
    </xf>
    <xf numFmtId="0" fontId="124" fillId="0" borderId="162" xfId="0" applyFont="1" applyBorder="1" applyAlignment="1">
      <alignment horizontal="left" vertical="center"/>
    </xf>
    <xf numFmtId="0" fontId="86" fillId="0" borderId="162" xfId="0" applyFont="1" applyBorder="1" applyAlignment="1">
      <alignment horizontal="left" vertical="center"/>
    </xf>
    <xf numFmtId="0" fontId="121" fillId="0" borderId="55" xfId="0" applyFont="1" applyBorder="1" applyAlignment="1">
      <alignment horizontal="left" vertical="center"/>
    </xf>
    <xf numFmtId="0" fontId="115" fillId="0" borderId="19" xfId="0" applyFont="1" applyFill="1" applyBorder="1" applyAlignment="1">
      <alignment horizontal="left" vertical="center"/>
    </xf>
    <xf numFmtId="0" fontId="86" fillId="0" borderId="140" xfId="0" applyFont="1" applyFill="1" applyBorder="1" applyAlignment="1">
      <alignment horizontal="left" vertical="center"/>
    </xf>
    <xf numFmtId="0" fontId="115" fillId="0" borderId="140" xfId="0" applyFont="1" applyFill="1" applyBorder="1" applyAlignment="1">
      <alignment horizontal="left" vertical="center"/>
    </xf>
    <xf numFmtId="0" fontId="115" fillId="0" borderId="162" xfId="0" applyFont="1" applyFill="1" applyBorder="1" applyAlignment="1">
      <alignment horizontal="left" vertical="center"/>
    </xf>
    <xf numFmtId="0" fontId="115" fillId="0" borderId="173" xfId="0" applyFont="1" applyFill="1" applyBorder="1" applyAlignment="1">
      <alignment horizontal="left" vertical="center"/>
    </xf>
    <xf numFmtId="0" fontId="115" fillId="0" borderId="72" xfId="0" applyFont="1" applyFill="1" applyBorder="1" applyAlignment="1">
      <alignment horizontal="left" vertical="center"/>
    </xf>
    <xf numFmtId="0" fontId="124" fillId="0" borderId="19" xfId="0" applyFont="1" applyFill="1" applyBorder="1" applyAlignment="1">
      <alignment horizontal="left" vertical="center"/>
    </xf>
    <xf numFmtId="0" fontId="124" fillId="0" borderId="162" xfId="0" applyFont="1" applyFill="1" applyBorder="1" applyAlignment="1">
      <alignment horizontal="left" vertical="center"/>
    </xf>
    <xf numFmtId="0" fontId="124" fillId="0" borderId="140" xfId="0" applyFont="1" applyFill="1" applyBorder="1" applyAlignment="1">
      <alignment horizontal="left" vertical="center"/>
    </xf>
    <xf numFmtId="0" fontId="86" fillId="0" borderId="162" xfId="0" applyFont="1" applyFill="1" applyBorder="1" applyAlignment="1">
      <alignment horizontal="left" vertical="center"/>
    </xf>
    <xf numFmtId="3" fontId="3" fillId="0" borderId="0" xfId="1" applyNumberFormat="1" applyFont="1" applyFill="1" applyBorder="1" applyAlignment="1">
      <alignment horizontal="center" vertical="center" wrapText="1"/>
    </xf>
    <xf numFmtId="167" fontId="31" fillId="0" borderId="0" xfId="0" applyNumberFormat="1" applyFont="1" applyFill="1" applyBorder="1" applyAlignment="1">
      <alignment horizontal="center" vertical="center" wrapText="1"/>
    </xf>
    <xf numFmtId="167" fontId="67" fillId="0" borderId="0" xfId="0" applyNumberFormat="1" applyFont="1" applyBorder="1" applyAlignment="1">
      <alignment horizontal="center"/>
    </xf>
    <xf numFmtId="167" fontId="128" fillId="0" borderId="0" xfId="0" applyNumberFormat="1" applyFont="1" applyBorder="1" applyAlignment="1">
      <alignment horizontal="center"/>
    </xf>
    <xf numFmtId="0" fontId="73" fillId="0" borderId="0" xfId="0" applyFont="1" applyFill="1" applyBorder="1" applyAlignment="1">
      <alignment horizontal="center" vertical="center" wrapText="1"/>
    </xf>
    <xf numFmtId="3" fontId="8" fillId="0" borderId="0" xfId="1" applyNumberFormat="1" applyFont="1" applyFill="1" applyBorder="1" applyAlignment="1">
      <alignment horizontal="center" vertical="center" wrapText="1"/>
    </xf>
    <xf numFmtId="167" fontId="73" fillId="0" borderId="0" xfId="0" applyNumberFormat="1" applyFont="1" applyFill="1" applyBorder="1" applyAlignment="1">
      <alignment horizontal="center" vertical="center" wrapText="1"/>
    </xf>
    <xf numFmtId="167" fontId="74" fillId="0" borderId="0" xfId="0" applyNumberFormat="1" applyFont="1" applyBorder="1" applyAlignment="1">
      <alignment horizontal="center"/>
    </xf>
    <xf numFmtId="2" fontId="0" fillId="0" borderId="0" xfId="0" applyNumberFormat="1" applyFont="1" applyFill="1" applyBorder="1" applyAlignment="1">
      <alignment horizontal="center" vertical="center"/>
    </xf>
    <xf numFmtId="167" fontId="31" fillId="0" borderId="0" xfId="1" applyNumberFormat="1" applyFont="1" applyFill="1" applyBorder="1" applyAlignment="1">
      <alignment horizontal="center" vertical="center" wrapText="1"/>
    </xf>
    <xf numFmtId="167" fontId="148" fillId="0" borderId="0" xfId="1" applyNumberFormat="1" applyFont="1" applyFill="1" applyBorder="1" applyAlignment="1">
      <alignment horizontal="center" vertical="center" wrapText="1"/>
    </xf>
    <xf numFmtId="3" fontId="3" fillId="5" borderId="0" xfId="0" applyNumberFormat="1" applyFont="1" applyFill="1" applyBorder="1" applyAlignment="1">
      <alignment horizontal="center"/>
    </xf>
    <xf numFmtId="0" fontId="38" fillId="5" borderId="0" xfId="0" applyFont="1" applyFill="1" applyBorder="1" applyAlignment="1">
      <alignment horizontal="center" wrapText="1"/>
    </xf>
    <xf numFmtId="3" fontId="31" fillId="0" borderId="0" xfId="1" applyNumberFormat="1" applyFont="1" applyFill="1" applyBorder="1" applyAlignment="1">
      <alignment horizontal="center" vertical="center" wrapText="1"/>
    </xf>
    <xf numFmtId="0" fontId="38" fillId="0" borderId="0" xfId="0" applyNumberFormat="1" applyFont="1" applyFill="1" applyBorder="1" applyAlignment="1">
      <alignment horizontal="center" vertical="center"/>
    </xf>
    <xf numFmtId="167" fontId="67" fillId="0" borderId="0" xfId="0" applyNumberFormat="1" applyFont="1" applyFill="1" applyBorder="1" applyAlignment="1">
      <alignment horizontal="center" vertical="center"/>
    </xf>
    <xf numFmtId="167" fontId="128" fillId="0" borderId="0" xfId="0" applyNumberFormat="1" applyFont="1" applyFill="1" applyBorder="1" applyAlignment="1">
      <alignment horizontal="center" vertical="center"/>
    </xf>
    <xf numFmtId="3" fontId="3" fillId="0" borderId="0" xfId="0" applyNumberFormat="1" applyFont="1" applyFill="1" applyBorder="1" applyAlignment="1">
      <alignment horizontal="center" vertical="center"/>
    </xf>
    <xf numFmtId="167" fontId="148" fillId="0" borderId="0" xfId="52" applyNumberFormat="1" applyFont="1" applyBorder="1" applyAlignment="1">
      <alignment horizontal="center"/>
    </xf>
    <xf numFmtId="10" fontId="41" fillId="0" borderId="0" xfId="0" applyNumberFormat="1" applyFont="1" applyBorder="1" applyAlignment="1">
      <alignment horizontal="center"/>
    </xf>
    <xf numFmtId="0" fontId="41" fillId="5" borderId="0" xfId="0" applyFont="1" applyFill="1" applyBorder="1" applyAlignment="1"/>
    <xf numFmtId="0" fontId="41" fillId="5" borderId="0" xfId="0" applyFont="1" applyFill="1" applyBorder="1" applyAlignment="1">
      <alignment horizontal="center"/>
    </xf>
    <xf numFmtId="0" fontId="0" fillId="0" borderId="45" xfId="0" applyBorder="1" applyAlignment="1">
      <alignment wrapText="1"/>
    </xf>
    <xf numFmtId="0" fontId="94" fillId="11" borderId="15" xfId="0" applyFont="1" applyFill="1" applyBorder="1" applyAlignment="1">
      <alignment horizontal="center" vertical="center" wrapText="1"/>
    </xf>
    <xf numFmtId="0" fontId="31" fillId="11" borderId="15" xfId="0" applyFont="1" applyFill="1" applyBorder="1" applyAlignment="1">
      <alignment horizontal="center" vertical="center" wrapText="1"/>
    </xf>
    <xf numFmtId="0" fontId="31" fillId="11" borderId="45" xfId="0" applyFont="1" applyFill="1" applyBorder="1" applyAlignment="1">
      <alignment horizontal="center" vertical="center" wrapText="1"/>
    </xf>
    <xf numFmtId="165" fontId="0" fillId="78" borderId="45" xfId="0" applyNumberFormat="1" applyFill="1" applyBorder="1" applyAlignment="1">
      <alignment wrapText="1"/>
    </xf>
    <xf numFmtId="0" fontId="0" fillId="0" borderId="45" xfId="0" applyFill="1" applyBorder="1" applyAlignment="1">
      <alignment wrapText="1"/>
    </xf>
    <xf numFmtId="0" fontId="99" fillId="0" borderId="45" xfId="0" applyFont="1" applyFill="1" applyBorder="1" applyAlignment="1">
      <alignment wrapText="1"/>
    </xf>
    <xf numFmtId="0" fontId="56" fillId="10" borderId="15" xfId="9" applyFont="1" applyFill="1" applyBorder="1" applyAlignment="1">
      <alignment horizontal="center" vertical="center" wrapText="1"/>
    </xf>
    <xf numFmtId="0" fontId="56" fillId="10" borderId="13" xfId="9" applyFont="1" applyFill="1" applyBorder="1" applyAlignment="1">
      <alignment horizontal="center" vertical="center" wrapText="1"/>
    </xf>
    <xf numFmtId="0" fontId="32" fillId="0" borderId="0" xfId="0" applyFont="1" applyFill="1" applyBorder="1" applyAlignment="1">
      <alignment horizontal="left" vertical="center" wrapText="1"/>
    </xf>
    <xf numFmtId="0" fontId="73" fillId="0" borderId="0" xfId="0" applyFont="1" applyFill="1" applyBorder="1" applyAlignment="1">
      <alignment horizontal="left" vertical="center" wrapText="1"/>
    </xf>
    <xf numFmtId="0" fontId="38" fillId="5" borderId="0" xfId="0" applyFont="1" applyFill="1" applyBorder="1" applyAlignment="1">
      <alignment horizontal="left" wrapText="1"/>
    </xf>
    <xf numFmtId="0" fontId="38" fillId="0" borderId="0" xfId="0" applyNumberFormat="1" applyFont="1" applyFill="1" applyBorder="1" applyAlignment="1">
      <alignment horizontal="left" vertical="center"/>
    </xf>
    <xf numFmtId="2" fontId="67" fillId="0" borderId="0" xfId="0" applyNumberFormat="1" applyFont="1"/>
    <xf numFmtId="0" fontId="67" fillId="0" borderId="195" xfId="0" applyFont="1" applyBorder="1" applyAlignment="1">
      <alignment horizontal="center" vertical="center" wrapText="1"/>
    </xf>
    <xf numFmtId="167" fontId="13" fillId="0" borderId="0" xfId="0" applyNumberFormat="1" applyFont="1" applyAlignment="1">
      <alignment horizontal="center"/>
    </xf>
    <xf numFmtId="0" fontId="0" fillId="0" borderId="0" xfId="0" applyAlignment="1">
      <alignment horizontal="center" vertical="center"/>
    </xf>
    <xf numFmtId="0" fontId="114" fillId="80" borderId="26" xfId="0" applyFont="1" applyFill="1"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wrapText="1"/>
    </xf>
    <xf numFmtId="0" fontId="143" fillId="0" borderId="0" xfId="0" applyFont="1" applyFill="1" applyBorder="1" applyAlignment="1">
      <alignment horizontal="center" vertical="center" wrapText="1"/>
    </xf>
    <xf numFmtId="167" fontId="143" fillId="0" borderId="0" xfId="0" applyNumberFormat="1" applyFont="1" applyFill="1" applyBorder="1" applyAlignment="1">
      <alignment horizontal="center" vertical="center" wrapText="1"/>
    </xf>
    <xf numFmtId="0" fontId="106" fillId="0" borderId="153" xfId="0" applyFont="1" applyBorder="1" applyAlignment="1">
      <alignment vertical="center"/>
    </xf>
    <xf numFmtId="0" fontId="67" fillId="0" borderId="25" xfId="0" applyFont="1" applyBorder="1" applyAlignment="1">
      <alignment horizontal="center" vertical="center"/>
    </xf>
    <xf numFmtId="0" fontId="74" fillId="0" borderId="153" xfId="0" applyFont="1" applyFill="1" applyBorder="1" applyAlignment="1">
      <alignment horizontal="center" vertical="center" wrapText="1"/>
    </xf>
    <xf numFmtId="0" fontId="74" fillId="0" borderId="190" xfId="0" applyFont="1" applyBorder="1" applyAlignment="1">
      <alignment horizontal="center" vertical="center" wrapText="1"/>
    </xf>
    <xf numFmtId="0" fontId="128" fillId="0" borderId="57" xfId="0" applyNumberFormat="1" applyFont="1" applyBorder="1" applyAlignment="1">
      <alignment horizontal="center" vertical="center" wrapText="1"/>
    </xf>
    <xf numFmtId="0" fontId="67" fillId="72" borderId="69" xfId="0" applyFont="1" applyFill="1" applyBorder="1" applyAlignment="1">
      <alignment horizontal="center" vertical="center"/>
    </xf>
    <xf numFmtId="0" fontId="67" fillId="72" borderId="69" xfId="0" applyFont="1" applyFill="1" applyBorder="1" applyAlignment="1">
      <alignment horizontal="center" vertical="center" wrapText="1"/>
    </xf>
    <xf numFmtId="0" fontId="103" fillId="0" borderId="96" xfId="0" applyFont="1" applyFill="1" applyBorder="1" applyAlignment="1">
      <alignment horizontal="left" wrapText="1"/>
    </xf>
    <xf numFmtId="0" fontId="128" fillId="0" borderId="147" xfId="0" applyNumberFormat="1" applyFont="1" applyFill="1" applyBorder="1" applyAlignment="1">
      <alignment horizontal="center" vertical="center" wrapText="1"/>
    </xf>
    <xf numFmtId="0" fontId="104" fillId="0" borderId="147" xfId="0" applyFont="1" applyBorder="1" applyAlignment="1">
      <alignment vertical="center"/>
    </xf>
    <xf numFmtId="0" fontId="33" fillId="0" borderId="147" xfId="0" applyFont="1" applyFill="1" applyBorder="1" applyAlignment="1">
      <alignment horizontal="center" vertical="center" wrapText="1"/>
    </xf>
    <xf numFmtId="167" fontId="67" fillId="0" borderId="69" xfId="0" applyNumberFormat="1" applyFont="1" applyFill="1" applyBorder="1" applyAlignment="1">
      <alignment horizontal="center" vertical="center"/>
    </xf>
    <xf numFmtId="167" fontId="67" fillId="0" borderId="197" xfId="0" applyNumberFormat="1" applyFont="1" applyFill="1" applyBorder="1" applyAlignment="1">
      <alignment horizontal="center" vertical="center"/>
    </xf>
    <xf numFmtId="167" fontId="67" fillId="72" borderId="198" xfId="0" applyNumberFormat="1" applyFont="1" applyFill="1" applyBorder="1" applyAlignment="1">
      <alignment horizontal="center" vertical="center" wrapText="1"/>
    </xf>
    <xf numFmtId="167" fontId="67" fillId="0" borderId="57" xfId="0" applyNumberFormat="1" applyFont="1" applyFill="1" applyBorder="1" applyAlignment="1">
      <alignment horizontal="center" vertical="center"/>
    </xf>
    <xf numFmtId="167" fontId="67" fillId="0" borderId="174" xfId="0" applyNumberFormat="1" applyFont="1" applyFill="1" applyBorder="1" applyAlignment="1">
      <alignment horizontal="center" vertical="center"/>
    </xf>
    <xf numFmtId="167" fontId="67" fillId="72" borderId="147" xfId="0" applyNumberFormat="1" applyFont="1" applyFill="1" applyBorder="1" applyAlignment="1">
      <alignment horizontal="center" vertical="center"/>
    </xf>
    <xf numFmtId="167" fontId="67" fillId="72" borderId="198" xfId="0" applyNumberFormat="1" applyFont="1" applyFill="1" applyBorder="1" applyAlignment="1">
      <alignment horizontal="center" vertical="center"/>
    </xf>
    <xf numFmtId="167" fontId="67" fillId="72" borderId="69" xfId="0" applyNumberFormat="1" applyFont="1" applyFill="1" applyBorder="1" applyAlignment="1">
      <alignment horizontal="center" vertical="center" wrapText="1"/>
    </xf>
    <xf numFmtId="167" fontId="67" fillId="72" borderId="69" xfId="0" applyNumberFormat="1" applyFont="1" applyFill="1" applyBorder="1" applyAlignment="1">
      <alignment horizontal="center" vertical="center"/>
    </xf>
    <xf numFmtId="167" fontId="67" fillId="72" borderId="174" xfId="0" applyNumberFormat="1" applyFont="1" applyFill="1" applyBorder="1" applyAlignment="1">
      <alignment horizontal="center" vertical="center" wrapText="1"/>
    </xf>
    <xf numFmtId="167" fontId="67" fillId="72" borderId="57" xfId="0" applyNumberFormat="1" applyFont="1" applyFill="1" applyBorder="1" applyAlignment="1">
      <alignment horizontal="center" vertical="center"/>
    </xf>
    <xf numFmtId="167" fontId="67" fillId="72" borderId="174" xfId="0" applyNumberFormat="1" applyFont="1" applyFill="1" applyBorder="1" applyAlignment="1">
      <alignment horizontal="center" vertical="center"/>
    </xf>
    <xf numFmtId="167" fontId="67" fillId="72" borderId="85" xfId="0" applyNumberFormat="1" applyFont="1" applyFill="1" applyBorder="1" applyAlignment="1">
      <alignment horizontal="center" vertical="center"/>
    </xf>
    <xf numFmtId="167" fontId="67" fillId="72" borderId="57" xfId="0" applyNumberFormat="1" applyFont="1" applyFill="1" applyBorder="1" applyAlignment="1">
      <alignment horizontal="center" vertical="center" wrapText="1"/>
    </xf>
    <xf numFmtId="167" fontId="67" fillId="0" borderId="197" xfId="0" applyNumberFormat="1" applyFont="1" applyFill="1" applyBorder="1" applyAlignment="1">
      <alignment horizontal="center" vertical="center" wrapText="1"/>
    </xf>
    <xf numFmtId="167" fontId="67" fillId="0" borderId="188" xfId="0" applyNumberFormat="1" applyFont="1" applyFill="1" applyBorder="1" applyAlignment="1">
      <alignment horizontal="center" vertical="center" wrapText="1"/>
    </xf>
    <xf numFmtId="167" fontId="67" fillId="72" borderId="197" xfId="0" applyNumberFormat="1" applyFont="1" applyFill="1" applyBorder="1" applyAlignment="1">
      <alignment horizontal="center" vertical="center"/>
    </xf>
    <xf numFmtId="167" fontId="67" fillId="72" borderId="197" xfId="0" applyNumberFormat="1" applyFont="1" applyFill="1" applyBorder="1" applyAlignment="1">
      <alignment horizontal="center" vertical="center" wrapText="1"/>
    </xf>
    <xf numFmtId="0" fontId="98" fillId="0" borderId="0" xfId="0" applyFont="1" applyBorder="1" applyAlignment="1">
      <alignment horizontal="left" vertical="center" wrapText="1"/>
    </xf>
    <xf numFmtId="0" fontId="103" fillId="0" borderId="97" xfId="0" applyFont="1" applyFill="1" applyBorder="1" applyAlignment="1">
      <alignment horizontal="left" vertical="center" wrapText="1"/>
    </xf>
    <xf numFmtId="0" fontId="13" fillId="0" borderId="0" xfId="0" applyFont="1" applyBorder="1" applyAlignment="1">
      <alignment horizontal="center"/>
    </xf>
    <xf numFmtId="0" fontId="41" fillId="0" borderId="0" xfId="0" applyFont="1" applyAlignment="1">
      <alignment horizontal="center" vertical="center" wrapText="1"/>
    </xf>
    <xf numFmtId="0" fontId="103" fillId="0" borderId="140" xfId="0" applyFont="1" applyFill="1" applyBorder="1" applyAlignment="1">
      <alignment horizontal="left" vertical="center" wrapText="1"/>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67" fillId="0" borderId="162" xfId="0" applyFont="1" applyFill="1" applyBorder="1" applyAlignment="1">
      <alignment horizontal="justify" vertical="center" wrapText="1"/>
    </xf>
    <xf numFmtId="0" fontId="104" fillId="0" borderId="188" xfId="0" applyFont="1" applyFill="1" applyBorder="1" applyAlignment="1">
      <alignment horizontal="center" vertical="center"/>
    </xf>
    <xf numFmtId="0" fontId="33" fillId="0" borderId="188" xfId="0" applyFont="1" applyFill="1" applyBorder="1" applyAlignment="1">
      <alignment horizontal="center" vertical="center"/>
    </xf>
    <xf numFmtId="0" fontId="104" fillId="0" borderId="176" xfId="0" applyFont="1" applyFill="1" applyBorder="1" applyAlignment="1">
      <alignment horizontal="center" vertical="center"/>
    </xf>
    <xf numFmtId="0" fontId="122" fillId="0" borderId="197" xfId="0" applyFont="1" applyFill="1" applyBorder="1" applyAlignment="1">
      <alignment horizontal="left" vertical="center" wrapText="1"/>
    </xf>
    <xf numFmtId="0" fontId="125" fillId="0" borderId="197" xfId="0" applyFont="1" applyBorder="1" applyAlignment="1">
      <alignment vertical="center" wrapText="1"/>
    </xf>
    <xf numFmtId="0" fontId="124" fillId="0" borderId="197" xfId="0" applyFont="1" applyBorder="1" applyAlignment="1">
      <alignment horizontal="center" vertical="center"/>
    </xf>
    <xf numFmtId="0" fontId="86" fillId="0" borderId="197" xfId="0" applyFont="1" applyBorder="1" applyAlignment="1">
      <alignment vertical="center"/>
    </xf>
    <xf numFmtId="0" fontId="121" fillId="0" borderId="198" xfId="0" applyFont="1" applyBorder="1" applyAlignment="1">
      <alignment horizontal="left" vertical="center"/>
    </xf>
    <xf numFmtId="0" fontId="123" fillId="0" borderId="198" xfId="0" applyFont="1" applyBorder="1" applyAlignment="1">
      <alignment horizontal="left" vertical="center"/>
    </xf>
    <xf numFmtId="0" fontId="115" fillId="0" borderId="198" xfId="0" applyFont="1" applyBorder="1" applyAlignment="1">
      <alignment horizontal="center" vertical="center"/>
    </xf>
    <xf numFmtId="0" fontId="124" fillId="0" borderId="198" xfId="0" applyFont="1" applyBorder="1" applyAlignment="1">
      <alignment horizontal="center" vertical="center"/>
    </xf>
    <xf numFmtId="0" fontId="126" fillId="0" borderId="197" xfId="0" applyFont="1" applyFill="1" applyBorder="1" applyAlignment="1">
      <alignment horizontal="center" vertical="center" wrapText="1"/>
    </xf>
    <xf numFmtId="0" fontId="86" fillId="0" borderId="197" xfId="0" applyFont="1" applyBorder="1" applyAlignment="1">
      <alignment horizontal="center" vertical="center" wrapText="1"/>
    </xf>
    <xf numFmtId="0" fontId="122" fillId="0" borderId="197" xfId="0" applyFont="1" applyFill="1" applyBorder="1" applyAlignment="1">
      <alignment horizontal="left" vertical="center"/>
    </xf>
    <xf numFmtId="0" fontId="125" fillId="0" borderId="197" xfId="0" applyFont="1" applyBorder="1" applyAlignment="1">
      <alignment vertical="center"/>
    </xf>
    <xf numFmtId="0" fontId="121" fillId="0" borderId="0" xfId="0" applyFont="1" applyBorder="1" applyAlignment="1">
      <alignment horizontal="left" vertical="center"/>
    </xf>
    <xf numFmtId="0" fontId="74" fillId="0" borderId="0" xfId="0" quotePrefix="1" applyNumberFormat="1" applyFont="1" applyAlignment="1">
      <alignment vertical="center" wrapText="1"/>
    </xf>
    <xf numFmtId="0" fontId="24" fillId="8" borderId="91" xfId="0" applyFont="1" applyFill="1" applyBorder="1" applyAlignment="1">
      <alignment horizontal="left"/>
    </xf>
    <xf numFmtId="0" fontId="24" fillId="8" borderId="51" xfId="0" applyFont="1" applyFill="1" applyBorder="1" applyAlignment="1">
      <alignment horizontal="left"/>
    </xf>
    <xf numFmtId="0" fontId="24" fillId="8" borderId="53" xfId="0" applyFont="1" applyFill="1" applyBorder="1" applyAlignment="1">
      <alignment horizontal="left"/>
    </xf>
    <xf numFmtId="0" fontId="24" fillId="8" borderId="52" xfId="0" applyFont="1" applyFill="1" applyBorder="1" applyAlignment="1">
      <alignment horizontal="left"/>
    </xf>
    <xf numFmtId="0" fontId="24" fillId="0" borderId="73" xfId="0" applyFont="1" applyBorder="1" applyAlignment="1">
      <alignment horizontal="left"/>
    </xf>
    <xf numFmtId="0" fontId="24" fillId="0" borderId="53" xfId="0" applyFont="1" applyBorder="1" applyAlignment="1">
      <alignment horizontal="left"/>
    </xf>
    <xf numFmtId="0" fontId="24" fillId="0" borderId="52" xfId="0" applyFont="1" applyBorder="1" applyAlignment="1">
      <alignment horizontal="left"/>
    </xf>
    <xf numFmtId="0" fontId="24" fillId="8" borderId="73" xfId="0" applyFont="1" applyFill="1" applyBorder="1" applyAlignment="1">
      <alignment horizontal="left"/>
    </xf>
    <xf numFmtId="0" fontId="23" fillId="0" borderId="44" xfId="0" applyFont="1" applyBorder="1" applyAlignment="1"/>
    <xf numFmtId="0" fontId="24" fillId="8" borderId="111" xfId="0" applyFont="1" applyFill="1" applyBorder="1" applyAlignment="1">
      <alignment horizontal="left"/>
    </xf>
    <xf numFmtId="0" fontId="24" fillId="0" borderId="53" xfId="0" applyFont="1" applyFill="1" applyBorder="1" applyAlignment="1">
      <alignment horizontal="left"/>
    </xf>
    <xf numFmtId="0" fontId="24" fillId="5" borderId="53" xfId="0" applyFont="1" applyFill="1" applyBorder="1" applyAlignment="1">
      <alignment horizontal="left"/>
    </xf>
    <xf numFmtId="0" fontId="24" fillId="5" borderId="52" xfId="0" applyFont="1" applyFill="1" applyBorder="1" applyAlignment="1">
      <alignment horizontal="left"/>
    </xf>
    <xf numFmtId="0" fontId="24" fillId="8" borderId="83" xfId="0" applyFont="1" applyFill="1" applyBorder="1" applyAlignment="1">
      <alignment horizontal="left"/>
    </xf>
    <xf numFmtId="0" fontId="24" fillId="0" borderId="83" xfId="0" applyFont="1" applyBorder="1" applyAlignment="1">
      <alignment horizontal="left"/>
    </xf>
    <xf numFmtId="0" fontId="23" fillId="8" borderId="83" xfId="0" applyFont="1" applyFill="1" applyBorder="1" applyAlignment="1">
      <alignment horizontal="left"/>
    </xf>
    <xf numFmtId="0" fontId="0" fillId="0" borderId="83" xfId="0" applyBorder="1" applyAlignment="1"/>
    <xf numFmtId="0" fontId="23" fillId="0" borderId="0" xfId="0" applyFont="1" applyBorder="1" applyAlignment="1"/>
    <xf numFmtId="0" fontId="23" fillId="8" borderId="51" xfId="0" applyFont="1" applyFill="1" applyBorder="1" applyAlignment="1">
      <alignment horizontal="left"/>
    </xf>
    <xf numFmtId="0" fontId="24" fillId="0" borderId="26" xfId="0" applyFont="1" applyBorder="1" applyAlignment="1"/>
    <xf numFmtId="0" fontId="23" fillId="8" borderId="52" xfId="0" applyFont="1" applyFill="1" applyBorder="1" applyAlignment="1">
      <alignment horizontal="left"/>
    </xf>
    <xf numFmtId="0" fontId="23" fillId="8" borderId="86" xfId="0" applyFont="1" applyFill="1" applyBorder="1" applyAlignment="1">
      <alignment horizontal="left"/>
    </xf>
    <xf numFmtId="0" fontId="24" fillId="78" borderId="177" xfId="0" applyFont="1" applyFill="1" applyBorder="1" applyAlignment="1">
      <alignment horizontal="center" wrapText="1"/>
    </xf>
    <xf numFmtId="0" fontId="3" fillId="78" borderId="177" xfId="0" applyFont="1" applyFill="1" applyBorder="1" applyAlignment="1">
      <alignment horizontal="center" wrapText="1"/>
    </xf>
    <xf numFmtId="0" fontId="3" fillId="78" borderId="177" xfId="0" applyFont="1" applyFill="1" applyBorder="1" applyAlignment="1">
      <alignment horizontal="center"/>
    </xf>
    <xf numFmtId="0" fontId="3" fillId="78" borderId="192" xfId="0" applyFont="1" applyFill="1" applyBorder="1" applyAlignment="1">
      <alignment horizontal="center" wrapText="1"/>
    </xf>
    <xf numFmtId="0" fontId="3" fillId="78" borderId="72" xfId="0" applyFont="1" applyFill="1" applyBorder="1" applyAlignment="1">
      <alignment horizontal="center" wrapText="1"/>
    </xf>
    <xf numFmtId="0" fontId="3" fillId="78" borderId="182" xfId="0" applyFont="1" applyFill="1" applyBorder="1" applyAlignment="1">
      <alignment horizontal="center" vertical="center"/>
    </xf>
    <xf numFmtId="0" fontId="3" fillId="78" borderId="192" xfId="0" applyFont="1" applyFill="1" applyBorder="1" applyAlignment="1">
      <alignment horizontal="center"/>
    </xf>
    <xf numFmtId="0" fontId="3" fillId="78" borderId="13" xfId="0" applyFont="1" applyFill="1" applyBorder="1" applyAlignment="1">
      <alignment horizontal="center"/>
    </xf>
    <xf numFmtId="0" fontId="3" fillId="78" borderId="178" xfId="0" applyFont="1" applyFill="1" applyBorder="1" applyAlignment="1">
      <alignment horizontal="center"/>
    </xf>
    <xf numFmtId="0" fontId="3" fillId="78" borderId="12" xfId="0" applyFont="1" applyFill="1" applyBorder="1" applyAlignment="1">
      <alignment horizontal="center"/>
    </xf>
    <xf numFmtId="0" fontId="67" fillId="0" borderId="161" xfId="0" applyFont="1" applyFill="1" applyBorder="1" applyAlignment="1">
      <alignment horizontal="center" vertical="center"/>
    </xf>
    <xf numFmtId="0" fontId="67" fillId="0" borderId="195" xfId="0" applyFont="1" applyFill="1" applyBorder="1" applyAlignment="1">
      <alignment horizontal="center" vertical="center"/>
    </xf>
    <xf numFmtId="0" fontId="24" fillId="0" borderId="99" xfId="0" applyFont="1" applyBorder="1" applyAlignment="1">
      <alignment horizontal="left"/>
    </xf>
    <xf numFmtId="0" fontId="57" fillId="5" borderId="117" xfId="9" applyFont="1" applyFill="1" applyBorder="1" applyAlignment="1"/>
    <xf numFmtId="0" fontId="3" fillId="0" borderId="117" xfId="0" applyFont="1" applyBorder="1" applyAlignment="1"/>
    <xf numFmtId="0" fontId="24" fillId="0" borderId="99" xfId="0" applyFont="1" applyFill="1" applyBorder="1" applyAlignment="1">
      <alignment horizontal="left"/>
    </xf>
    <xf numFmtId="0" fontId="24" fillId="0" borderId="161" xfId="0" applyFont="1" applyFill="1" applyBorder="1" applyAlignment="1">
      <alignment horizontal="left"/>
    </xf>
    <xf numFmtId="0" fontId="24" fillId="5" borderId="161" xfId="0" applyFont="1" applyFill="1" applyBorder="1" applyAlignment="1">
      <alignment horizontal="left"/>
    </xf>
    <xf numFmtId="0" fontId="24" fillId="5" borderId="195" xfId="0" applyFont="1" applyFill="1" applyBorder="1" applyAlignment="1">
      <alignment horizontal="left"/>
    </xf>
    <xf numFmtId="0" fontId="57" fillId="5" borderId="142" xfId="9" applyFont="1" applyFill="1" applyBorder="1" applyAlignment="1"/>
    <xf numFmtId="0" fontId="0" fillId="0" borderId="0" xfId="0" applyAlignment="1">
      <alignment horizontal="center" vertical="center"/>
    </xf>
    <xf numFmtId="0" fontId="86" fillId="0" borderId="0" xfId="0" applyNumberFormat="1" applyFont="1" applyAlignment="1">
      <alignment wrapText="1"/>
    </xf>
    <xf numFmtId="2" fontId="4" fillId="72" borderId="2" xfId="0" applyNumberFormat="1" applyFont="1" applyFill="1" applyBorder="1" applyAlignment="1">
      <alignment horizontal="center" vertical="center" wrapText="1"/>
    </xf>
    <xf numFmtId="0" fontId="0" fillId="0" borderId="0" xfId="0" applyAlignment="1">
      <alignment vertical="center" wrapText="1"/>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xf>
    <xf numFmtId="167" fontId="99" fillId="0" borderId="0" xfId="0" applyNumberFormat="1" applyFont="1" applyAlignment="1">
      <alignment vertical="center"/>
    </xf>
    <xf numFmtId="0" fontId="74" fillId="8" borderId="162" xfId="0" applyFont="1" applyFill="1" applyBorder="1" applyAlignment="1">
      <alignment horizontal="left" vertical="center" wrapText="1"/>
    </xf>
    <xf numFmtId="0" fontId="74" fillId="8" borderId="188" xfId="0" applyFont="1" applyFill="1" applyBorder="1" applyAlignment="1">
      <alignment horizontal="center" vertical="center" wrapText="1"/>
    </xf>
    <xf numFmtId="0" fontId="74" fillId="0" borderId="0" xfId="0" applyFont="1" applyAlignment="1">
      <alignment horizontal="center" vertical="center" wrapText="1"/>
    </xf>
    <xf numFmtId="0" fontId="74" fillId="72" borderId="147" xfId="0" applyFont="1" applyFill="1" applyBorder="1" applyAlignment="1">
      <alignment horizontal="center" vertical="center" wrapText="1"/>
    </xf>
    <xf numFmtId="167" fontId="74" fillId="72" borderId="147" xfId="0" applyNumberFormat="1" applyFont="1" applyFill="1" applyBorder="1" applyAlignment="1">
      <alignment horizontal="center" vertical="center" wrapText="1"/>
    </xf>
    <xf numFmtId="0" fontId="8" fillId="0" borderId="0" xfId="0" applyFont="1" applyFill="1" applyBorder="1" applyAlignment="1">
      <alignment horizontal="center"/>
    </xf>
    <xf numFmtId="0" fontId="103" fillId="8" borderId="72" xfId="0" applyFont="1" applyFill="1" applyBorder="1" applyAlignment="1">
      <alignment vertical="center" wrapText="1"/>
    </xf>
    <xf numFmtId="0" fontId="33" fillId="8" borderId="69" xfId="0" applyFont="1" applyFill="1" applyBorder="1" applyAlignment="1">
      <alignment horizontal="center" vertical="center" wrapText="1"/>
    </xf>
    <xf numFmtId="0" fontId="103" fillId="8" borderId="69" xfId="0" applyFont="1" applyFill="1" applyBorder="1" applyAlignment="1">
      <alignment horizontal="left" vertical="center" wrapText="1"/>
    </xf>
    <xf numFmtId="0" fontId="33" fillId="8" borderId="173" xfId="0" applyFont="1" applyFill="1" applyBorder="1" applyAlignment="1">
      <alignment horizontal="left" vertical="center" wrapText="1"/>
    </xf>
    <xf numFmtId="0" fontId="139" fillId="5" borderId="174" xfId="9" applyFont="1" applyFill="1" applyBorder="1" applyAlignment="1">
      <alignment vertical="center" wrapText="1"/>
    </xf>
    <xf numFmtId="0" fontId="140" fillId="5" borderId="174" xfId="9" applyFont="1" applyFill="1" applyBorder="1" applyAlignment="1">
      <alignment vertical="center" wrapText="1"/>
    </xf>
    <xf numFmtId="0" fontId="74" fillId="0" borderId="197" xfId="0" applyFont="1" applyBorder="1" applyAlignment="1">
      <alignment horizontal="left" vertical="center" wrapText="1"/>
    </xf>
    <xf numFmtId="0" fontId="151" fillId="0" borderId="197" xfId="0" applyFont="1" applyBorder="1" applyAlignment="1">
      <alignment horizontal="left" vertical="center" wrapText="1"/>
    </xf>
    <xf numFmtId="0" fontId="33" fillId="0" borderId="3" xfId="0" applyFont="1" applyBorder="1" applyAlignment="1">
      <alignment vertical="center" wrapText="1"/>
    </xf>
    <xf numFmtId="0" fontId="33" fillId="0" borderId="27" xfId="0" applyFont="1" applyBorder="1" applyAlignment="1">
      <alignment vertical="center" wrapText="1"/>
    </xf>
    <xf numFmtId="0" fontId="104" fillId="0" borderId="85" xfId="0" applyFont="1" applyBorder="1" applyAlignment="1">
      <alignment vertical="center" wrapText="1"/>
    </xf>
    <xf numFmtId="0" fontId="67" fillId="0" borderId="173" xfId="0" applyFont="1" applyFill="1" applyBorder="1" applyAlignment="1">
      <alignment horizontal="left" wrapText="1"/>
    </xf>
    <xf numFmtId="0" fontId="67" fillId="72" borderId="147" xfId="0" applyFont="1" applyFill="1" applyBorder="1" applyAlignment="1">
      <alignment horizontal="center" vertical="center" wrapText="1"/>
    </xf>
    <xf numFmtId="167" fontId="67" fillId="72" borderId="147" xfId="0" applyNumberFormat="1" applyFont="1" applyFill="1" applyBorder="1" applyAlignment="1">
      <alignment horizontal="center" vertical="center" wrapText="1"/>
    </xf>
    <xf numFmtId="0" fontId="3" fillId="0" borderId="0" xfId="8" applyNumberFormat="1" applyFont="1" applyFill="1" applyBorder="1" applyAlignment="1">
      <alignment horizontal="center"/>
    </xf>
    <xf numFmtId="0" fontId="74" fillId="72" borderId="197" xfId="0" applyFont="1" applyFill="1" applyBorder="1" applyAlignment="1">
      <alignment horizontal="center" vertical="center" wrapText="1"/>
    </xf>
    <xf numFmtId="167" fontId="74" fillId="72" borderId="197" xfId="0" applyNumberFormat="1" applyFont="1" applyFill="1" applyBorder="1" applyAlignment="1">
      <alignment horizontal="center" vertical="center" wrapText="1"/>
    </xf>
    <xf numFmtId="0" fontId="3" fillId="0" borderId="0" xfId="0" applyFont="1" applyFill="1" applyBorder="1" applyAlignment="1">
      <alignment horizontal="left" vertical="center" wrapText="1"/>
    </xf>
    <xf numFmtId="0" fontId="3" fillId="0" borderId="0" xfId="8" applyNumberFormat="1" applyFont="1" applyFill="1" applyBorder="1" applyAlignment="1">
      <alignment horizontal="center" vertical="center"/>
    </xf>
    <xf numFmtId="0" fontId="67" fillId="0" borderId="0" xfId="0" applyFont="1" applyBorder="1" applyAlignment="1">
      <alignment horizontal="center" vertical="center" wrapText="1"/>
    </xf>
    <xf numFmtId="0" fontId="41" fillId="0" borderId="198" xfId="0" applyFont="1" applyBorder="1" applyAlignment="1">
      <alignment horizontal="center" vertical="center"/>
    </xf>
    <xf numFmtId="0" fontId="67" fillId="0" borderId="150" xfId="0" applyFont="1" applyFill="1" applyBorder="1" applyAlignment="1">
      <alignment horizontal="center" vertical="center" wrapText="1"/>
    </xf>
    <xf numFmtId="0" fontId="33" fillId="0" borderId="149" xfId="0" applyFont="1" applyBorder="1" applyAlignment="1">
      <alignment horizontal="center" vertical="center"/>
    </xf>
    <xf numFmtId="0" fontId="33" fillId="0" borderId="188" xfId="0" applyFont="1" applyFill="1" applyBorder="1" applyAlignment="1">
      <alignment horizontal="center" wrapText="1"/>
    </xf>
    <xf numFmtId="0" fontId="98" fillId="0" borderId="0" xfId="0" applyFont="1" applyBorder="1" applyAlignment="1">
      <alignment horizontal="center" wrapText="1"/>
    </xf>
    <xf numFmtId="0" fontId="103" fillId="8" borderId="195" xfId="0" applyFont="1" applyFill="1" applyBorder="1" applyAlignment="1">
      <alignment horizontal="center" vertical="center" wrapText="1"/>
    </xf>
    <xf numFmtId="0" fontId="33" fillId="8" borderId="5" xfId="0" applyFont="1" applyFill="1" applyBorder="1" applyAlignment="1">
      <alignment horizontal="center" vertical="center" textRotation="90"/>
    </xf>
    <xf numFmtId="0" fontId="103" fillId="0" borderId="187" xfId="0" applyFont="1" applyFill="1" applyBorder="1" applyAlignment="1">
      <alignment horizontal="left" vertical="center" wrapText="1"/>
    </xf>
    <xf numFmtId="2" fontId="4" fillId="72" borderId="2" xfId="0" applyNumberFormat="1" applyFont="1" applyFill="1" applyBorder="1" applyAlignment="1">
      <alignment horizontal="center" vertical="center" wrapText="1"/>
    </xf>
    <xf numFmtId="0" fontId="139" fillId="0" borderId="0" xfId="0" applyFont="1" applyBorder="1" applyAlignment="1">
      <alignment horizontal="left" vertical="center" wrapText="1"/>
    </xf>
    <xf numFmtId="0" fontId="33" fillId="8" borderId="18" xfId="0" applyFont="1" applyFill="1" applyBorder="1" applyAlignment="1">
      <alignment horizontal="center" vertical="center" textRotation="90" wrapText="1"/>
    </xf>
    <xf numFmtId="0" fontId="103" fillId="5" borderId="96" xfId="0" applyFont="1" applyFill="1" applyBorder="1" applyAlignment="1">
      <alignment horizontal="left" vertical="center" wrapText="1"/>
    </xf>
    <xf numFmtId="0" fontId="67" fillId="5" borderId="3" xfId="9" applyFont="1" applyFill="1" applyBorder="1" applyAlignment="1">
      <alignment horizontal="left" vertical="center" wrapText="1"/>
    </xf>
    <xf numFmtId="0" fontId="0" fillId="0" borderId="0" xfId="0" applyAlignment="1">
      <alignment vertical="center" wrapText="1"/>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xf>
    <xf numFmtId="0" fontId="137" fillId="69" borderId="69" xfId="0" applyFont="1" applyFill="1" applyBorder="1" applyAlignment="1">
      <alignment horizontal="left" vertical="center"/>
    </xf>
    <xf numFmtId="0" fontId="137" fillId="78" borderId="197" xfId="0" applyFont="1" applyFill="1" applyBorder="1" applyAlignment="1">
      <alignment horizontal="left" vertical="center"/>
    </xf>
    <xf numFmtId="0" fontId="137" fillId="69" borderId="197" xfId="0" applyFont="1" applyFill="1" applyBorder="1" applyAlignment="1">
      <alignment horizontal="left" vertical="center"/>
    </xf>
    <xf numFmtId="0" fontId="67" fillId="69" borderId="197" xfId="0" applyFont="1" applyFill="1" applyBorder="1" applyAlignment="1">
      <alignment horizontal="left" vertical="center"/>
    </xf>
    <xf numFmtId="0" fontId="137" fillId="65" borderId="197" xfId="0" applyFont="1" applyFill="1" applyBorder="1" applyAlignment="1">
      <alignment horizontal="left" vertical="center"/>
    </xf>
    <xf numFmtId="0" fontId="103" fillId="69" borderId="197" xfId="0" applyFont="1" applyFill="1" applyBorder="1" applyAlignment="1">
      <alignment horizontal="left" vertical="center" wrapText="1"/>
    </xf>
    <xf numFmtId="0" fontId="137" fillId="0" borderId="0" xfId="0" applyFont="1" applyFill="1" applyBorder="1" applyAlignment="1">
      <alignment horizontal="left" vertical="center"/>
    </xf>
    <xf numFmtId="0" fontId="103" fillId="8" borderId="162" xfId="0" applyFont="1" applyFill="1" applyBorder="1" applyAlignment="1">
      <alignment horizontal="left" vertical="center" wrapText="1"/>
    </xf>
    <xf numFmtId="0" fontId="103" fillId="65" borderId="188" xfId="0" applyFont="1" applyFill="1" applyBorder="1" applyAlignment="1">
      <alignment horizontal="left" vertical="center" wrapText="1"/>
    </xf>
    <xf numFmtId="0" fontId="135" fillId="0" borderId="188" xfId="0" applyFont="1" applyBorder="1" applyAlignment="1">
      <alignment horizontal="left" vertical="center" wrapText="1"/>
    </xf>
    <xf numFmtId="0" fontId="103" fillId="8" borderId="188" xfId="0" applyFont="1" applyFill="1" applyBorder="1" applyAlignment="1">
      <alignment horizontal="center" vertical="center" wrapText="1"/>
    </xf>
    <xf numFmtId="0" fontId="103" fillId="78" borderId="174" xfId="0" applyFont="1" applyFill="1" applyBorder="1" applyAlignment="1">
      <alignment horizontal="left" vertical="center" wrapText="1"/>
    </xf>
    <xf numFmtId="0" fontId="152" fillId="0" borderId="0" xfId="0" applyFont="1" applyAlignment="1">
      <alignment wrapText="1"/>
    </xf>
    <xf numFmtId="0" fontId="67" fillId="69" borderId="57" xfId="0" applyFont="1" applyFill="1" applyBorder="1" applyAlignment="1">
      <alignment horizontal="left" vertical="center"/>
    </xf>
    <xf numFmtId="0" fontId="67" fillId="69" borderId="174" xfId="0" applyFont="1" applyFill="1" applyBorder="1" applyAlignment="1">
      <alignment horizontal="left" vertical="center" wrapText="1"/>
    </xf>
    <xf numFmtId="0" fontId="153" fillId="0" borderId="0" xfId="0" applyFont="1" applyAlignment="1">
      <alignment wrapText="1"/>
    </xf>
    <xf numFmtId="0" fontId="67" fillId="69" borderId="27" xfId="0" applyFont="1" applyFill="1" applyBorder="1" applyAlignment="1">
      <alignment vertical="center"/>
    </xf>
    <xf numFmtId="0" fontId="33" fillId="78" borderId="158" xfId="0" applyFont="1" applyFill="1" applyBorder="1" applyAlignment="1">
      <alignment horizontal="left" vertical="center" wrapText="1"/>
    </xf>
    <xf numFmtId="0" fontId="33" fillId="78" borderId="0" xfId="0" applyFont="1" applyFill="1" applyBorder="1" applyAlignment="1">
      <alignment horizontal="justify" vertical="center"/>
    </xf>
    <xf numFmtId="0" fontId="33" fillId="69" borderId="158" xfId="0" applyFont="1" applyFill="1" applyBorder="1" applyAlignment="1">
      <alignment horizontal="left" vertical="center" wrapText="1"/>
    </xf>
    <xf numFmtId="0" fontId="33" fillId="69" borderId="0" xfId="0" applyFont="1" applyFill="1" applyBorder="1" applyAlignment="1">
      <alignment horizontal="justify" vertical="center"/>
    </xf>
    <xf numFmtId="0" fontId="154" fillId="0" borderId="0" xfId="0" applyFont="1" applyAlignment="1">
      <alignment wrapText="1"/>
    </xf>
    <xf numFmtId="0" fontId="33" fillId="65" borderId="57" xfId="0" applyFont="1" applyFill="1" applyBorder="1" applyAlignment="1">
      <alignment horizontal="left" vertical="center" wrapText="1"/>
    </xf>
    <xf numFmtId="1" fontId="33" fillId="8" borderId="174" xfId="0" applyNumberFormat="1" applyFont="1" applyFill="1" applyBorder="1" applyAlignment="1">
      <alignment horizontal="center" vertical="center" wrapText="1"/>
    </xf>
    <xf numFmtId="0" fontId="33" fillId="78" borderId="174" xfId="0" applyFont="1" applyFill="1" applyBorder="1" applyAlignment="1">
      <alignment horizontal="left" vertical="center" wrapText="1"/>
    </xf>
    <xf numFmtId="0" fontId="104" fillId="8" borderId="174" xfId="0" applyFont="1" applyFill="1" applyBorder="1" applyAlignment="1">
      <alignment horizontal="left" vertical="center" wrapText="1"/>
    </xf>
    <xf numFmtId="0" fontId="33" fillId="8" borderId="72" xfId="0" applyFont="1" applyFill="1" applyBorder="1" applyAlignment="1">
      <alignment horizontal="left" vertical="center" wrapText="1"/>
    </xf>
    <xf numFmtId="1" fontId="33" fillId="8" borderId="69" xfId="0" applyNumberFormat="1" applyFont="1" applyFill="1" applyBorder="1" applyAlignment="1">
      <alignment horizontal="center" vertical="center" wrapText="1"/>
    </xf>
    <xf numFmtId="0" fontId="67" fillId="69" borderId="69" xfId="0" applyFont="1" applyFill="1" applyBorder="1" applyAlignment="1">
      <alignment horizontal="left" vertical="center"/>
    </xf>
    <xf numFmtId="0" fontId="67" fillId="69" borderId="197" xfId="0" applyFont="1" applyFill="1" applyBorder="1" applyAlignment="1">
      <alignment horizontal="left" vertical="center" wrapText="1"/>
    </xf>
    <xf numFmtId="0" fontId="67" fillId="69" borderId="188" xfId="0" applyFont="1" applyFill="1" applyBorder="1" applyAlignment="1">
      <alignment vertical="center"/>
    </xf>
    <xf numFmtId="0" fontId="67" fillId="78" borderId="25" xfId="0" applyFont="1" applyFill="1" applyBorder="1" applyAlignment="1">
      <alignment vertical="center"/>
    </xf>
    <xf numFmtId="0" fontId="103" fillId="78" borderId="197" xfId="0" applyFont="1" applyFill="1" applyBorder="1" applyAlignment="1">
      <alignment horizontal="left" vertical="center" wrapText="1"/>
    </xf>
    <xf numFmtId="0" fontId="135" fillId="5" borderId="174" xfId="0" applyFont="1" applyFill="1" applyBorder="1" applyAlignment="1">
      <alignment horizontal="left" vertical="center" wrapText="1"/>
    </xf>
    <xf numFmtId="0" fontId="103" fillId="0" borderId="18" xfId="0" applyFont="1" applyFill="1" applyBorder="1" applyAlignment="1">
      <alignment horizontal="left" vertical="center" wrapText="1"/>
    </xf>
    <xf numFmtId="0" fontId="103" fillId="65" borderId="0" xfId="0" applyFont="1" applyFill="1" applyBorder="1" applyAlignment="1">
      <alignment horizontal="left" vertical="center" wrapText="1"/>
    </xf>
    <xf numFmtId="0" fontId="135" fillId="0" borderId="147" xfId="0" applyFont="1" applyFill="1" applyBorder="1" applyAlignment="1">
      <alignment horizontal="left" vertical="center" wrapText="1"/>
    </xf>
    <xf numFmtId="0" fontId="103" fillId="8" borderId="0" xfId="0" applyFont="1" applyFill="1" applyBorder="1" applyAlignment="1">
      <alignment horizontal="center" vertical="center" wrapText="1"/>
    </xf>
    <xf numFmtId="0" fontId="67" fillId="78" borderId="57" xfId="0" applyFont="1" applyFill="1" applyBorder="1" applyAlignment="1">
      <alignment vertical="center"/>
    </xf>
    <xf numFmtId="0" fontId="103" fillId="65" borderId="174" xfId="0" applyFont="1" applyFill="1" applyBorder="1" applyAlignment="1">
      <alignment horizontal="left" vertical="center" wrapText="1"/>
    </xf>
    <xf numFmtId="0" fontId="67" fillId="0" borderId="203" xfId="0" applyNumberFormat="1" applyFont="1" applyBorder="1" applyAlignment="1">
      <alignment horizontal="center" vertical="center" wrapText="1"/>
    </xf>
    <xf numFmtId="0" fontId="67" fillId="69" borderId="85" xfId="0" applyFont="1" applyFill="1" applyBorder="1" applyAlignment="1">
      <alignment horizontal="left" vertical="center"/>
    </xf>
    <xf numFmtId="0" fontId="103" fillId="69" borderId="45" xfId="0" applyFont="1" applyFill="1" applyBorder="1" applyAlignment="1">
      <alignment horizontal="left" vertical="center" wrapText="1"/>
    </xf>
    <xf numFmtId="0" fontId="103" fillId="69" borderId="196" xfId="0" applyFont="1" applyFill="1" applyBorder="1" applyAlignment="1">
      <alignment horizontal="left" vertical="center" wrapText="1"/>
    </xf>
    <xf numFmtId="0" fontId="33" fillId="69" borderId="196" xfId="0" applyFont="1" applyFill="1" applyBorder="1" applyAlignment="1">
      <alignment horizontal="left" vertical="center" wrapText="1"/>
    </xf>
    <xf numFmtId="0" fontId="33" fillId="69" borderId="196" xfId="0" applyFont="1" applyFill="1" applyBorder="1" applyAlignment="1">
      <alignment vertical="center" wrapText="1"/>
    </xf>
    <xf numFmtId="0" fontId="103" fillId="69" borderId="158" xfId="0" applyFont="1" applyFill="1" applyBorder="1" applyAlignment="1">
      <alignment horizontal="left" vertical="center" wrapText="1"/>
    </xf>
    <xf numFmtId="0" fontId="139" fillId="69" borderId="0" xfId="9" applyFont="1" applyFill="1" applyBorder="1" applyAlignment="1">
      <alignment vertical="center" wrapText="1"/>
    </xf>
    <xf numFmtId="0" fontId="33" fillId="0" borderId="0" xfId="0" applyFont="1" applyBorder="1" applyAlignment="1">
      <alignment horizontal="center" vertical="center" wrapText="1"/>
    </xf>
    <xf numFmtId="0" fontId="0" fillId="0" borderId="0" xfId="0" applyAlignment="1">
      <alignment wrapText="1"/>
    </xf>
    <xf numFmtId="0" fontId="67" fillId="0" borderId="166" xfId="0" applyFont="1" applyBorder="1" applyAlignment="1">
      <alignment horizontal="center" vertical="center" wrapText="1"/>
    </xf>
    <xf numFmtId="0" fontId="67" fillId="0" borderId="193" xfId="0" applyFont="1" applyBorder="1" applyAlignment="1">
      <alignment horizontal="center" vertical="center" wrapText="1"/>
    </xf>
    <xf numFmtId="0" fontId="67" fillId="0" borderId="188" xfId="0" applyNumberFormat="1" applyFont="1" applyFill="1" applyBorder="1" applyAlignment="1">
      <alignment horizontal="center" vertical="center" wrapText="1"/>
    </xf>
    <xf numFmtId="0" fontId="67" fillId="0" borderId="197" xfId="0" applyNumberFormat="1" applyFont="1" applyFill="1" applyBorder="1" applyAlignment="1">
      <alignment horizontal="center" vertical="center" wrapText="1"/>
    </xf>
    <xf numFmtId="0" fontId="41" fillId="0" borderId="117" xfId="0" applyFont="1" applyBorder="1" applyAlignment="1">
      <alignment vertical="center" wrapText="1"/>
    </xf>
    <xf numFmtId="0" fontId="67" fillId="0" borderId="155" xfId="0" applyFont="1" applyFill="1" applyBorder="1" applyAlignment="1">
      <alignment horizontal="center" vertical="center"/>
    </xf>
    <xf numFmtId="0" fontId="67" fillId="0" borderId="150" xfId="0" applyFont="1" applyFill="1" applyBorder="1" applyAlignment="1">
      <alignment horizontal="center" vertical="center"/>
    </xf>
    <xf numFmtId="0" fontId="67" fillId="0" borderId="197" xfId="0" applyFont="1" applyBorder="1" applyAlignment="1">
      <alignment horizontal="center" vertical="center" wrapText="1"/>
    </xf>
    <xf numFmtId="0" fontId="67" fillId="0" borderId="86" xfId="0" applyFont="1" applyFill="1" applyBorder="1" applyAlignment="1">
      <alignment horizontal="center" vertical="center"/>
    </xf>
    <xf numFmtId="2" fontId="67" fillId="0" borderId="0" xfId="0" applyNumberFormat="1" applyFont="1" applyAlignment="1">
      <alignment horizontal="right"/>
    </xf>
    <xf numFmtId="2" fontId="74" fillId="0" borderId="0" xfId="0" applyNumberFormat="1" applyFont="1" applyAlignment="1">
      <alignment horizontal="right"/>
    </xf>
    <xf numFmtId="167" fontId="33" fillId="0" borderId="85" xfId="0" applyNumberFormat="1" applyFont="1" applyFill="1" applyBorder="1" applyAlignment="1">
      <alignment horizontal="center" vertical="center" wrapText="1"/>
    </xf>
    <xf numFmtId="0" fontId="0" fillId="0" borderId="0" xfId="0" applyAlignment="1">
      <alignment wrapText="1"/>
    </xf>
    <xf numFmtId="167" fontId="33" fillId="72" borderId="0" xfId="0" applyNumberFormat="1" applyFont="1" applyFill="1" applyBorder="1" applyAlignment="1">
      <alignment horizontal="center" vertical="center" wrapText="1"/>
    </xf>
    <xf numFmtId="0" fontId="0" fillId="0" borderId="0" xfId="0" applyAlignment="1">
      <alignment horizontal="center" vertical="center"/>
    </xf>
    <xf numFmtId="3" fontId="69" fillId="0" borderId="0" xfId="0" applyNumberFormat="1" applyFont="1" applyAlignment="1">
      <alignment vertical="center"/>
    </xf>
    <xf numFmtId="0" fontId="67" fillId="8" borderId="158" xfId="0" applyFont="1" applyFill="1" applyBorder="1" applyAlignment="1">
      <alignment horizontal="left" vertical="center" wrapText="1"/>
    </xf>
    <xf numFmtId="0" fontId="106" fillId="8" borderId="57" xfId="0" applyFont="1" applyFill="1" applyBorder="1" applyAlignment="1">
      <alignment horizontal="left" vertical="center" wrapText="1"/>
    </xf>
    <xf numFmtId="0" fontId="0" fillId="0" borderId="0" xfId="0" applyAlignment="1">
      <alignment horizontal="center" vertical="center"/>
    </xf>
    <xf numFmtId="0" fontId="0" fillId="0" borderId="1" xfId="0" applyFont="1" applyBorder="1" applyAlignment="1">
      <alignment horizontal="center" vertical="center"/>
    </xf>
    <xf numFmtId="0" fontId="1" fillId="0" borderId="0" xfId="0" applyFont="1" applyAlignment="1">
      <alignment vertical="center"/>
    </xf>
    <xf numFmtId="0" fontId="0" fillId="0" borderId="18" xfId="0" applyFont="1" applyBorder="1" applyAlignment="1">
      <alignment vertical="center"/>
    </xf>
    <xf numFmtId="0" fontId="33" fillId="0" borderId="18" xfId="0" applyFont="1" applyBorder="1" applyAlignment="1">
      <alignment vertical="center"/>
    </xf>
    <xf numFmtId="0" fontId="0" fillId="0" borderId="18" xfId="0" applyBorder="1" applyAlignment="1">
      <alignment vertical="center"/>
    </xf>
    <xf numFmtId="0" fontId="0" fillId="0" borderId="3" xfId="0" applyBorder="1" applyAlignment="1">
      <alignment vertical="center"/>
    </xf>
    <xf numFmtId="0" fontId="103" fillId="0" borderId="140" xfId="0" applyFont="1" applyFill="1" applyBorder="1" applyAlignment="1">
      <alignment horizontal="left" vertical="center" wrapText="1"/>
    </xf>
    <xf numFmtId="0" fontId="0" fillId="0" borderId="0" xfId="0" applyAlignment="1">
      <alignment horizontal="center" vertical="center"/>
    </xf>
    <xf numFmtId="0" fontId="103" fillId="0" borderId="19" xfId="0" applyFont="1" applyFill="1" applyBorder="1" applyAlignment="1">
      <alignment horizontal="left" vertical="center" wrapText="1"/>
    </xf>
    <xf numFmtId="0" fontId="103" fillId="0" borderId="72" xfId="0" applyFont="1" applyFill="1" applyBorder="1" applyAlignment="1">
      <alignment horizontal="left" vertical="center" wrapText="1"/>
    </xf>
    <xf numFmtId="0" fontId="103" fillId="0" borderId="23" xfId="0" applyFont="1" applyFill="1" applyBorder="1" applyAlignment="1">
      <alignment horizontal="left" vertical="center" wrapText="1"/>
    </xf>
    <xf numFmtId="0" fontId="33" fillId="0" borderId="162" xfId="0" applyFont="1" applyBorder="1" applyAlignment="1">
      <alignment horizontal="left" vertical="center" wrapText="1"/>
    </xf>
    <xf numFmtId="0" fontId="67" fillId="0" borderId="173" xfId="0" applyFont="1" applyFill="1" applyBorder="1" applyAlignment="1">
      <alignment horizontal="left" vertical="center" wrapText="1"/>
    </xf>
    <xf numFmtId="0" fontId="33" fillId="0" borderId="174" xfId="0" applyFont="1" applyBorder="1" applyAlignment="1">
      <alignment horizontal="justify"/>
    </xf>
    <xf numFmtId="0" fontId="135" fillId="0" borderId="174" xfId="0" applyFont="1" applyBorder="1"/>
    <xf numFmtId="0" fontId="74" fillId="0" borderId="174" xfId="0" applyFont="1" applyBorder="1" applyAlignment="1">
      <alignment horizontal="center" wrapText="1"/>
    </xf>
    <xf numFmtId="0" fontId="74" fillId="0" borderId="174"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25" fillId="0" borderId="0" xfId="0" applyFont="1" applyAlignment="1">
      <alignment horizontal="left"/>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xf>
    <xf numFmtId="0" fontId="0" fillId="0" borderId="0" xfId="0" applyFont="1" applyAlignment="1">
      <alignment horizontal="left" vertical="center"/>
    </xf>
    <xf numFmtId="167" fontId="0" fillId="0" borderId="0" xfId="0" applyNumberFormat="1" applyFont="1" applyAlignment="1">
      <alignment horizontal="center" vertical="center"/>
    </xf>
    <xf numFmtId="0" fontId="0" fillId="0" borderId="0" xfId="0" applyAlignment="1">
      <alignment horizontal="center" vertical="center"/>
    </xf>
    <xf numFmtId="0" fontId="8" fillId="0" borderId="0" xfId="0" applyFont="1"/>
    <xf numFmtId="3" fontId="8" fillId="0" borderId="0" xfId="0" applyNumberFormat="1" applyFont="1" applyAlignment="1">
      <alignment horizontal="left"/>
    </xf>
    <xf numFmtId="0" fontId="67" fillId="8" borderId="16" xfId="0" applyFont="1" applyFill="1" applyBorder="1" applyAlignment="1">
      <alignment horizontal="left" vertical="center" wrapText="1"/>
    </xf>
    <xf numFmtId="0" fontId="157" fillId="0" borderId="0" xfId="0" applyFont="1" applyAlignment="1">
      <alignment vertical="center"/>
    </xf>
    <xf numFmtId="0" fontId="41" fillId="0" borderId="0" xfId="0" applyFont="1" applyFill="1" applyAlignment="1">
      <alignment vertical="center"/>
    </xf>
    <xf numFmtId="0" fontId="41" fillId="0" borderId="0" xfId="0" applyFont="1" applyFill="1" applyBorder="1" applyAlignment="1">
      <alignment wrapText="1"/>
    </xf>
    <xf numFmtId="3" fontId="67" fillId="0" borderId="197" xfId="0" applyNumberFormat="1" applyFont="1" applyFill="1" applyBorder="1" applyAlignment="1">
      <alignment horizontal="center" vertical="center"/>
    </xf>
    <xf numFmtId="0" fontId="0" fillId="0" borderId="0" xfId="0" applyAlignment="1">
      <alignment horizontal="left" vertical="center" wrapText="1"/>
    </xf>
    <xf numFmtId="0" fontId="5" fillId="0" borderId="0" xfId="94" applyNumberFormat="1" applyFont="1" applyFill="1" applyBorder="1" applyAlignment="1">
      <alignment vertical="center" wrapText="1"/>
    </xf>
    <xf numFmtId="0" fontId="23" fillId="0" borderId="0" xfId="0" applyFont="1" applyFill="1" applyBorder="1" applyAlignment="1"/>
    <xf numFmtId="2" fontId="23" fillId="0" borderId="0" xfId="0" applyNumberFormat="1" applyFont="1" applyFill="1" applyBorder="1" applyAlignment="1"/>
    <xf numFmtId="0" fontId="3" fillId="0" borderId="0" xfId="0" applyNumberFormat="1" applyFont="1" applyFill="1" applyBorder="1" applyAlignment="1"/>
    <xf numFmtId="0" fontId="23" fillId="0" borderId="0" xfId="0" applyNumberFormat="1" applyFont="1" applyFill="1" applyBorder="1" applyAlignment="1"/>
    <xf numFmtId="0" fontId="3" fillId="0" borderId="0" xfId="94" applyNumberFormat="1" applyFont="1" applyFill="1" applyBorder="1" applyAlignment="1">
      <alignment vertical="center" wrapText="1"/>
    </xf>
    <xf numFmtId="0" fontId="5" fillId="0" borderId="0" xfId="94" applyNumberFormat="1" applyFont="1" applyFill="1" applyBorder="1" applyAlignment="1">
      <alignment wrapText="1"/>
    </xf>
    <xf numFmtId="0" fontId="74" fillId="0" borderId="166" xfId="0" applyFont="1" applyBorder="1" applyAlignment="1">
      <alignment horizontal="center" vertical="center"/>
    </xf>
    <xf numFmtId="0" fontId="0" fillId="0" borderId="0" xfId="0" applyAlignment="1">
      <alignment wrapText="1"/>
    </xf>
    <xf numFmtId="3" fontId="65" fillId="0" borderId="0" xfId="0" applyNumberFormat="1" applyFont="1"/>
    <xf numFmtId="0" fontId="0" fillId="0" borderId="0" xfId="0" applyAlignment="1">
      <alignment horizontal="center" vertical="center"/>
    </xf>
    <xf numFmtId="0" fontId="128" fillId="0" borderId="69" xfId="0" applyFont="1" applyBorder="1" applyAlignment="1">
      <alignment horizontal="center" vertical="center" wrapText="1"/>
    </xf>
    <xf numFmtId="0" fontId="67" fillId="8" borderId="158" xfId="0" applyFont="1" applyFill="1" applyBorder="1" applyAlignment="1">
      <alignment horizontal="center" vertical="center" wrapText="1"/>
    </xf>
    <xf numFmtId="0" fontId="67" fillId="0" borderId="48"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167" fontId="8" fillId="0" borderId="13" xfId="8" applyNumberFormat="1" applyFont="1" applyFill="1" applyBorder="1" applyAlignment="1">
      <alignment horizontal="center"/>
    </xf>
    <xf numFmtId="167" fontId="8" fillId="0" borderId="177" xfId="8" applyNumberFormat="1" applyFont="1" applyFill="1" applyBorder="1" applyAlignment="1">
      <alignment horizontal="center"/>
    </xf>
    <xf numFmtId="167" fontId="8" fillId="0" borderId="178" xfId="8" applyNumberFormat="1" applyFont="1" applyFill="1" applyBorder="1" applyAlignment="1">
      <alignment horizontal="center"/>
    </xf>
    <xf numFmtId="167" fontId="8" fillId="0" borderId="48" xfId="8" applyNumberFormat="1" applyFont="1" applyFill="1" applyBorder="1" applyAlignment="1">
      <alignment horizontal="center"/>
    </xf>
    <xf numFmtId="167" fontId="8" fillId="0" borderId="179" xfId="8" applyNumberFormat="1" applyFont="1" applyFill="1" applyBorder="1" applyAlignment="1">
      <alignment horizontal="center"/>
    </xf>
    <xf numFmtId="167" fontId="8" fillId="0" borderId="181" xfId="8" applyNumberFormat="1" applyFont="1" applyFill="1" applyBorder="1" applyAlignment="1">
      <alignment horizontal="center"/>
    </xf>
    <xf numFmtId="167" fontId="8" fillId="0" borderId="15" xfId="8" applyNumberFormat="1" applyFont="1" applyFill="1" applyBorder="1" applyAlignment="1">
      <alignment horizontal="center"/>
    </xf>
    <xf numFmtId="167" fontId="8" fillId="0" borderId="7" xfId="8" applyNumberFormat="1" applyFont="1" applyFill="1" applyBorder="1" applyAlignment="1">
      <alignment horizontal="center"/>
    </xf>
    <xf numFmtId="167" fontId="8" fillId="78" borderId="12" xfId="8" applyNumberFormat="1" applyFont="1" applyFill="1" applyBorder="1" applyAlignment="1">
      <alignment horizontal="center" vertical="center"/>
    </xf>
    <xf numFmtId="167" fontId="8" fillId="0" borderId="12" xfId="8" applyNumberFormat="1" applyFont="1" applyFill="1" applyBorder="1" applyAlignment="1">
      <alignment horizontal="center" vertical="center"/>
    </xf>
    <xf numFmtId="167" fontId="8" fillId="0" borderId="12" xfId="8" applyNumberFormat="1" applyFont="1" applyFill="1" applyBorder="1" applyAlignment="1">
      <alignment horizontal="center"/>
    </xf>
    <xf numFmtId="167" fontId="63" fillId="0" borderId="11" xfId="0" applyNumberFormat="1" applyFont="1" applyBorder="1" applyAlignment="1">
      <alignment horizontal="center"/>
    </xf>
    <xf numFmtId="167" fontId="8" fillId="78" borderId="14" xfId="8" applyNumberFormat="1" applyFont="1" applyFill="1" applyBorder="1" applyAlignment="1">
      <alignment horizontal="center"/>
    </xf>
    <xf numFmtId="167" fontId="8" fillId="78" borderId="119" xfId="8" applyNumberFormat="1" applyFont="1" applyFill="1" applyBorder="1" applyAlignment="1">
      <alignment horizontal="center"/>
    </xf>
    <xf numFmtId="167" fontId="8" fillId="78" borderId="125" xfId="8" applyNumberFormat="1" applyFont="1" applyFill="1" applyBorder="1" applyAlignment="1">
      <alignment horizontal="center"/>
    </xf>
    <xf numFmtId="167" fontId="8" fillId="78" borderId="98" xfId="8" applyNumberFormat="1" applyFont="1" applyFill="1" applyBorder="1" applyAlignment="1">
      <alignment horizontal="center"/>
    </xf>
    <xf numFmtId="167" fontId="8" fillId="78" borderId="14" xfId="8" applyNumberFormat="1" applyFont="1" applyFill="1" applyBorder="1" applyAlignment="1">
      <alignment horizontal="center" vertical="center"/>
    </xf>
    <xf numFmtId="167" fontId="8" fillId="78" borderId="119" xfId="8" applyNumberFormat="1" applyFont="1" applyFill="1" applyBorder="1" applyAlignment="1">
      <alignment horizontal="center" vertical="center"/>
    </xf>
    <xf numFmtId="167" fontId="8" fillId="78" borderId="125" xfId="8" applyNumberFormat="1" applyFont="1" applyFill="1" applyBorder="1" applyAlignment="1">
      <alignment horizontal="center" vertical="center"/>
    </xf>
    <xf numFmtId="167" fontId="8" fillId="78" borderId="98" xfId="8" applyNumberFormat="1" applyFont="1" applyFill="1" applyBorder="1" applyAlignment="1">
      <alignment horizontal="center" vertical="center"/>
    </xf>
    <xf numFmtId="167" fontId="113" fillId="0" borderId="57" xfId="84" applyNumberFormat="1" applyFont="1" applyFill="1" applyBorder="1" applyAlignment="1">
      <alignment horizontal="center" wrapText="1"/>
    </xf>
    <xf numFmtId="167" fontId="113" fillId="0" borderId="51" xfId="84" applyNumberFormat="1" applyFont="1" applyFill="1" applyBorder="1" applyAlignment="1">
      <alignment horizontal="center" wrapText="1"/>
    </xf>
    <xf numFmtId="167" fontId="13" fillId="0" borderId="82" xfId="0" applyNumberFormat="1" applyFont="1" applyFill="1" applyBorder="1" applyAlignment="1">
      <alignment horizontal="left" wrapText="1"/>
    </xf>
    <xf numFmtId="167" fontId="113" fillId="0" borderId="157" xfId="84" applyNumberFormat="1" applyFont="1" applyFill="1" applyBorder="1" applyAlignment="1">
      <alignment horizontal="center" wrapText="1"/>
    </xf>
    <xf numFmtId="167" fontId="113" fillId="0" borderId="175" xfId="84" applyNumberFormat="1" applyFont="1" applyFill="1" applyBorder="1" applyAlignment="1">
      <alignment horizontal="center" wrapText="1"/>
    </xf>
    <xf numFmtId="167" fontId="113" fillId="0" borderId="174" xfId="84" applyNumberFormat="1" applyFont="1" applyFill="1" applyBorder="1" applyAlignment="1">
      <alignment horizontal="center" wrapText="1"/>
    </xf>
    <xf numFmtId="167" fontId="113" fillId="0" borderId="124" xfId="84" applyNumberFormat="1" applyFont="1" applyFill="1" applyBorder="1" applyAlignment="1">
      <alignment horizontal="center" wrapText="1"/>
    </xf>
    <xf numFmtId="0" fontId="75" fillId="0" borderId="67" xfId="0" applyFont="1" applyBorder="1" applyAlignment="1">
      <alignment vertical="top"/>
    </xf>
    <xf numFmtId="0" fontId="75" fillId="0" borderId="196" xfId="0" applyFont="1" applyBorder="1" applyAlignment="1">
      <alignment vertical="top"/>
    </xf>
    <xf numFmtId="0" fontId="75" fillId="0" borderId="166" xfId="0" applyFont="1" applyBorder="1" applyAlignment="1">
      <alignment vertical="top"/>
    </xf>
    <xf numFmtId="0" fontId="75" fillId="0" borderId="183" xfId="0" applyFont="1" applyBorder="1" applyAlignment="1">
      <alignment vertical="top"/>
    </xf>
    <xf numFmtId="0" fontId="75" fillId="0" borderId="203" xfId="0" applyFont="1" applyBorder="1" applyAlignment="1">
      <alignment vertical="top"/>
    </xf>
    <xf numFmtId="167" fontId="0" fillId="78" borderId="0" xfId="0" applyNumberFormat="1" applyFill="1" applyBorder="1" applyAlignment="1">
      <alignment horizontal="center"/>
    </xf>
    <xf numFmtId="0" fontId="0" fillId="0" borderId="0" xfId="0" applyAlignment="1">
      <alignment wrapText="1"/>
    </xf>
    <xf numFmtId="0" fontId="106" fillId="0" borderId="188" xfId="0" applyFont="1" applyFill="1" applyBorder="1" applyAlignment="1">
      <alignment vertical="center"/>
    </xf>
    <xf numFmtId="0" fontId="67" fillId="0" borderId="188" xfId="0" applyFont="1" applyBorder="1" applyAlignment="1">
      <alignment horizontal="center" vertical="center" wrapText="1"/>
    </xf>
    <xf numFmtId="0" fontId="0" fillId="0" borderId="0" xfId="0" applyAlignment="1">
      <alignment horizontal="center" vertical="center"/>
    </xf>
    <xf numFmtId="2" fontId="67" fillId="0" borderId="0" xfId="0" applyNumberFormat="1" applyFont="1" applyAlignment="1">
      <alignment horizontal="right" vertical="center"/>
    </xf>
    <xf numFmtId="0" fontId="33" fillId="0" borderId="0" xfId="0" applyFont="1" applyBorder="1" applyAlignment="1">
      <alignment vertical="center" textRotation="90"/>
    </xf>
    <xf numFmtId="0" fontId="33" fillId="0" borderId="12" xfId="0" applyFont="1" applyBorder="1" applyAlignment="1">
      <alignment horizontal="center" vertical="center" textRotation="90"/>
    </xf>
    <xf numFmtId="0" fontId="0" fillId="0" borderId="0" xfId="0" applyAlignment="1">
      <alignment horizontal="center" vertical="center"/>
    </xf>
    <xf numFmtId="167" fontId="0" fillId="0" borderId="0" xfId="0" applyNumberFormat="1" applyAlignment="1">
      <alignment horizontal="left" indent="1"/>
    </xf>
    <xf numFmtId="0" fontId="73" fillId="0" borderId="0" xfId="0" applyFont="1" applyFill="1" applyAlignment="1">
      <alignment horizontal="left"/>
    </xf>
    <xf numFmtId="0" fontId="142" fillId="0" borderId="0" xfId="0" applyFont="1"/>
    <xf numFmtId="0" fontId="13" fillId="0" borderId="0" xfId="0" applyFont="1" applyFill="1" applyBorder="1" applyAlignment="1">
      <alignment horizontal="center" wrapText="1"/>
    </xf>
    <xf numFmtId="167" fontId="13" fillId="78" borderId="0" xfId="0" applyNumberFormat="1" applyFont="1" applyFill="1" applyBorder="1" applyAlignment="1">
      <alignment horizontal="center"/>
    </xf>
    <xf numFmtId="10" fontId="13" fillId="0" borderId="0" xfId="0" applyNumberFormat="1" applyFont="1" applyAlignment="1">
      <alignment horizontal="center"/>
    </xf>
    <xf numFmtId="0" fontId="73" fillId="0" borderId="0" xfId="0" applyNumberFormat="1" applyFont="1" applyFill="1" applyAlignment="1">
      <alignment horizontal="left"/>
    </xf>
    <xf numFmtId="0" fontId="69" fillId="0" borderId="0" xfId="0" applyFont="1" applyAlignment="1">
      <alignment vertical="center"/>
    </xf>
    <xf numFmtId="0" fontId="0" fillId="9" borderId="0" xfId="0" applyFill="1"/>
    <xf numFmtId="0" fontId="109" fillId="11" borderId="8" xfId="0" applyFont="1" applyFill="1" applyBorder="1" applyAlignment="1">
      <alignment horizontal="center" vertical="center" wrapText="1"/>
    </xf>
    <xf numFmtId="0" fontId="109" fillId="0" borderId="26" xfId="0" applyFont="1" applyBorder="1" applyAlignment="1">
      <alignment horizontal="center" vertical="center"/>
    </xf>
    <xf numFmtId="0" fontId="58" fillId="11" borderId="25" xfId="0" applyFont="1" applyFill="1" applyBorder="1" applyAlignment="1">
      <alignment horizontal="center" vertical="center" wrapText="1"/>
    </xf>
    <xf numFmtId="0" fontId="59" fillId="0" borderId="0" xfId="0" applyFont="1" applyAlignment="1">
      <alignment vertical="center"/>
    </xf>
    <xf numFmtId="8" fontId="89" fillId="0" borderId="0" xfId="0" applyNumberFormat="1" applyFont="1" applyAlignment="1">
      <alignment horizontal="center" vertical="center"/>
    </xf>
    <xf numFmtId="0" fontId="57" fillId="0" borderId="137" xfId="100" applyFont="1" applyFill="1" applyBorder="1" applyAlignment="1"/>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197" xfId="0" applyBorder="1"/>
    <xf numFmtId="0" fontId="0" fillId="0" borderId="197" xfId="0" applyBorder="1" applyAlignment="1">
      <alignment horizontal="center" vertical="center"/>
    </xf>
    <xf numFmtId="0" fontId="0" fillId="0" borderId="197" xfId="0" applyBorder="1" applyAlignment="1">
      <alignment horizontal="center"/>
    </xf>
    <xf numFmtId="0" fontId="1" fillId="0" borderId="197" xfId="0" applyFont="1" applyBorder="1"/>
    <xf numFmtId="0" fontId="0" fillId="0" borderId="0" xfId="0" applyAlignment="1">
      <alignment horizontal="center" vertical="center"/>
    </xf>
    <xf numFmtId="0" fontId="74" fillId="0" borderId="197" xfId="0" applyFont="1" applyFill="1" applyBorder="1" applyAlignment="1">
      <alignment horizontal="center" vertical="center" wrapText="1"/>
    </xf>
    <xf numFmtId="0" fontId="33" fillId="0" borderId="0" xfId="0" applyFont="1" applyBorder="1" applyAlignment="1">
      <alignment horizontal="center" vertical="center" wrapText="1"/>
    </xf>
    <xf numFmtId="0" fontId="0" fillId="0" borderId="0" xfId="0" applyAlignment="1">
      <alignment horizontal="center" vertical="center"/>
    </xf>
    <xf numFmtId="0" fontId="0" fillId="0" borderId="197"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9" fontId="0" fillId="0" borderId="0" xfId="0" applyNumberFormat="1"/>
    <xf numFmtId="0" fontId="41" fillId="0" borderId="197" xfId="0" applyFont="1" applyFill="1" applyBorder="1" applyAlignment="1">
      <alignment horizontal="center" vertical="center"/>
    </xf>
    <xf numFmtId="10" fontId="41" fillId="0" borderId="0" xfId="0" applyNumberFormat="1" applyFont="1"/>
    <xf numFmtId="167" fontId="23" fillId="0" borderId="175" xfId="8" applyNumberFormat="1" applyFont="1" applyFill="1" applyBorder="1" applyAlignment="1">
      <alignment horizontal="center"/>
    </xf>
    <xf numFmtId="167" fontId="23" fillId="0" borderId="176" xfId="8" applyNumberFormat="1" applyFont="1" applyFill="1" applyBorder="1" applyAlignment="1">
      <alignment horizontal="center"/>
    </xf>
    <xf numFmtId="167" fontId="23" fillId="0" borderId="76" xfId="8" applyNumberFormat="1" applyFont="1" applyFill="1" applyBorder="1" applyAlignment="1">
      <alignment horizontal="center"/>
    </xf>
    <xf numFmtId="0" fontId="106" fillId="0" borderId="197" xfId="0" applyFont="1" applyFill="1" applyBorder="1" applyAlignment="1">
      <alignment horizontal="left" vertical="center"/>
    </xf>
    <xf numFmtId="0" fontId="106" fillId="0" borderId="197" xfId="0" applyFont="1" applyFill="1" applyBorder="1" applyAlignment="1">
      <alignment horizontal="left" vertical="center" wrapText="1"/>
    </xf>
    <xf numFmtId="0" fontId="67" fillId="0" borderId="0" xfId="0" applyFont="1" applyAlignment="1">
      <alignment horizontal="center"/>
    </xf>
    <xf numFmtId="167" fontId="33" fillId="0" borderId="0" xfId="0" applyNumberFormat="1" applyFont="1"/>
    <xf numFmtId="0" fontId="33" fillId="0" borderId="197" xfId="0" applyFont="1" applyBorder="1" applyAlignment="1">
      <alignment horizontal="center"/>
    </xf>
    <xf numFmtId="0" fontId="67" fillId="0" borderId="0" xfId="0" applyFont="1" applyFill="1" applyBorder="1" applyAlignment="1">
      <alignment horizontal="center" vertical="center"/>
    </xf>
    <xf numFmtId="0" fontId="67" fillId="0" borderId="197" xfId="0" applyFont="1" applyBorder="1" applyAlignment="1">
      <alignment horizontal="center"/>
    </xf>
    <xf numFmtId="0" fontId="33" fillId="0" borderId="0" xfId="0" applyFont="1" applyAlignment="1">
      <alignment horizontal="center"/>
    </xf>
    <xf numFmtId="0" fontId="33" fillId="0" borderId="0" xfId="0" applyFont="1" applyFill="1" applyBorder="1" applyAlignment="1">
      <alignment horizontal="center" vertical="center"/>
    </xf>
    <xf numFmtId="0" fontId="67" fillId="0" borderId="0" xfId="0" applyFont="1"/>
    <xf numFmtId="167" fontId="67" fillId="0" borderId="0" xfId="0" applyNumberFormat="1" applyFont="1"/>
    <xf numFmtId="167" fontId="33" fillId="0" borderId="197" xfId="0" applyNumberFormat="1" applyFont="1" applyBorder="1" applyAlignment="1">
      <alignment horizontal="center"/>
    </xf>
    <xf numFmtId="167" fontId="67" fillId="0" borderId="197" xfId="0" applyNumberFormat="1" applyFont="1" applyBorder="1" applyAlignment="1">
      <alignment horizontal="center"/>
    </xf>
    <xf numFmtId="0" fontId="33" fillId="0" borderId="197" xfId="0" applyFont="1" applyFill="1" applyBorder="1" applyAlignment="1">
      <alignment horizontal="center"/>
    </xf>
    <xf numFmtId="0" fontId="67" fillId="0" borderId="197" xfId="0" applyFont="1" applyFill="1" applyBorder="1" applyAlignment="1">
      <alignment horizontal="center"/>
    </xf>
    <xf numFmtId="167" fontId="33" fillId="72" borderId="197" xfId="0" applyNumberFormat="1" applyFont="1" applyFill="1" applyBorder="1" applyAlignment="1">
      <alignment horizontal="center"/>
    </xf>
    <xf numFmtId="167" fontId="67" fillId="72" borderId="197" xfId="0" applyNumberFormat="1" applyFont="1" applyFill="1" applyBorder="1" applyAlignment="1">
      <alignment horizontal="center"/>
    </xf>
    <xf numFmtId="167" fontId="143" fillId="72" borderId="198" xfId="0" applyNumberFormat="1" applyFont="1" applyFill="1" applyBorder="1" applyAlignment="1">
      <alignment horizontal="center" vertical="center" wrapText="1"/>
    </xf>
    <xf numFmtId="0" fontId="67" fillId="0" borderId="166" xfId="0" applyFont="1" applyFill="1" applyBorder="1" applyAlignment="1">
      <alignment horizontal="left" vertical="center"/>
    </xf>
    <xf numFmtId="0" fontId="33" fillId="0" borderId="197" xfId="0" applyFont="1" applyBorder="1" applyAlignment="1">
      <alignment horizontal="center" vertical="center" textRotation="90" wrapText="1"/>
    </xf>
    <xf numFmtId="0" fontId="33" fillId="0" borderId="166" xfId="0" applyFont="1" applyBorder="1" applyAlignment="1">
      <alignment horizontal="center" vertical="center" textRotation="90" wrapText="1"/>
    </xf>
    <xf numFmtId="2" fontId="158" fillId="49" borderId="197" xfId="0" applyNumberFormat="1" applyFont="1" applyFill="1" applyBorder="1" applyAlignment="1">
      <alignment horizontal="center" vertical="center" wrapText="1"/>
    </xf>
    <xf numFmtId="0" fontId="143" fillId="0" borderId="0" xfId="0" applyFont="1" applyAlignment="1">
      <alignment horizontal="center" vertical="center" wrapText="1"/>
    </xf>
    <xf numFmtId="0" fontId="34" fillId="3" borderId="197" xfId="1" applyNumberFormat="1" applyFont="1" applyFill="1" applyBorder="1" applyAlignment="1">
      <alignment horizontal="center" vertical="center" wrapText="1"/>
    </xf>
    <xf numFmtId="0" fontId="0" fillId="0" borderId="0" xfId="0" applyFont="1" applyAlignment="1">
      <alignment horizontal="left"/>
    </xf>
    <xf numFmtId="49" fontId="0" fillId="0" borderId="0" xfId="0" applyNumberFormat="1" applyFont="1" applyAlignment="1">
      <alignment horizontal="left"/>
    </xf>
    <xf numFmtId="0" fontId="0" fillId="73" borderId="0" xfId="0" applyFont="1" applyFill="1" applyAlignment="1">
      <alignment horizontal="left"/>
    </xf>
    <xf numFmtId="0" fontId="103" fillId="0" borderId="140" xfId="0" applyFont="1" applyFill="1" applyBorder="1" applyAlignment="1">
      <alignment horizontal="left" vertical="center" wrapText="1"/>
    </xf>
    <xf numFmtId="0" fontId="0" fillId="0" borderId="0" xfId="0" applyAlignment="1">
      <alignment wrapText="1"/>
    </xf>
    <xf numFmtId="0" fontId="67" fillId="0" borderId="198" xfId="0" applyFont="1" applyBorder="1" applyAlignment="1">
      <alignment horizontal="center" vertical="center" wrapText="1"/>
    </xf>
    <xf numFmtId="0" fontId="0" fillId="0" borderId="0" xfId="0" applyAlignment="1">
      <alignment horizontal="center" vertical="center"/>
    </xf>
    <xf numFmtId="0" fontId="128" fillId="0" borderId="96" xfId="0" applyFont="1" applyFill="1" applyBorder="1" applyAlignment="1">
      <alignment horizontal="justify" vertical="center" wrapText="1"/>
    </xf>
    <xf numFmtId="2" fontId="128" fillId="0" borderId="0" xfId="0" applyNumberFormat="1" applyFont="1"/>
    <xf numFmtId="0" fontId="128" fillId="0" borderId="174" xfId="0" applyFont="1" applyBorder="1" applyAlignment="1">
      <alignment horizontal="center" vertical="center" wrapText="1"/>
    </xf>
    <xf numFmtId="0" fontId="128" fillId="0" borderId="0" xfId="0" applyFont="1" applyAlignment="1">
      <alignment horizontal="center" vertical="center" wrapText="1"/>
    </xf>
    <xf numFmtId="0" fontId="128" fillId="72" borderId="174" xfId="0" applyFont="1" applyFill="1" applyBorder="1" applyAlignment="1">
      <alignment horizontal="center" vertical="center" wrapText="1"/>
    </xf>
    <xf numFmtId="167" fontId="128" fillId="72" borderId="85" xfId="0" applyNumberFormat="1" applyFont="1" applyFill="1" applyBorder="1" applyAlignment="1">
      <alignment horizontal="center" vertical="center" wrapText="1"/>
    </xf>
    <xf numFmtId="167" fontId="128" fillId="72" borderId="0" xfId="0" applyNumberFormat="1" applyFont="1" applyFill="1" applyBorder="1" applyAlignment="1">
      <alignment horizontal="center" vertical="center" wrapText="1"/>
    </xf>
    <xf numFmtId="0" fontId="128" fillId="0" borderId="0" xfId="0" applyFont="1" applyAlignment="1">
      <alignment horizontal="center" vertical="center"/>
    </xf>
    <xf numFmtId="0" fontId="99" fillId="0" borderId="0" xfId="0" applyFont="1" applyAlignment="1">
      <alignment vertical="center"/>
    </xf>
    <xf numFmtId="3" fontId="99" fillId="0" borderId="0" xfId="0" applyNumberFormat="1" applyFont="1" applyAlignment="1">
      <alignment horizontal="left"/>
    </xf>
    <xf numFmtId="0" fontId="128" fillId="0" borderId="198" xfId="0" applyFont="1" applyBorder="1" applyAlignment="1">
      <alignment horizontal="center" vertical="center" wrapText="1"/>
    </xf>
    <xf numFmtId="0" fontId="74" fillId="0" borderId="198" xfId="0" applyFont="1" applyBorder="1" applyAlignment="1">
      <alignment horizontal="center" vertical="center" wrapText="1"/>
    </xf>
    <xf numFmtId="0" fontId="74" fillId="0" borderId="198" xfId="0" applyFont="1" applyFill="1" applyBorder="1" applyAlignment="1">
      <alignment horizontal="left" vertical="center"/>
    </xf>
    <xf numFmtId="0" fontId="151" fillId="0" borderId="198" xfId="0" applyFont="1" applyBorder="1" applyAlignment="1">
      <alignment vertical="center"/>
    </xf>
    <xf numFmtId="0" fontId="74" fillId="0" borderId="69" xfId="0" applyFont="1" applyFill="1" applyBorder="1" applyAlignment="1">
      <alignment horizontal="center" vertical="center" wrapText="1"/>
    </xf>
    <xf numFmtId="0" fontId="74" fillId="0" borderId="69" xfId="0" applyFont="1" applyFill="1" applyBorder="1" applyAlignment="1">
      <alignment horizontal="left" vertical="center"/>
    </xf>
    <xf numFmtId="0" fontId="151" fillId="0" borderId="69" xfId="0" applyFont="1" applyBorder="1" applyAlignment="1">
      <alignment vertical="center"/>
    </xf>
    <xf numFmtId="0" fontId="74" fillId="0" borderId="197" xfId="0" applyFont="1" applyFill="1" applyBorder="1" applyAlignment="1">
      <alignment horizontal="left" vertical="center"/>
    </xf>
    <xf numFmtId="0" fontId="151" fillId="0" borderId="197" xfId="0" applyFont="1" applyBorder="1" applyAlignment="1">
      <alignment vertical="center"/>
    </xf>
    <xf numFmtId="0" fontId="74" fillId="0" borderId="174" xfId="0" applyFont="1" applyFill="1" applyBorder="1" applyAlignment="1">
      <alignment horizontal="left" vertical="center" wrapText="1"/>
    </xf>
    <xf numFmtId="0" fontId="151" fillId="0" borderId="174" xfId="0" applyFont="1" applyBorder="1" applyAlignment="1">
      <alignment vertical="center" wrapText="1"/>
    </xf>
    <xf numFmtId="0" fontId="106" fillId="0" borderId="174" xfId="0" applyFont="1" applyBorder="1" applyAlignment="1">
      <alignment vertical="center" wrapText="1"/>
    </xf>
    <xf numFmtId="0" fontId="77" fillId="0" borderId="0" xfId="0" applyFont="1" applyAlignment="1">
      <alignment horizontal="left" vertical="center"/>
    </xf>
    <xf numFmtId="0" fontId="0" fillId="0" borderId="0" xfId="0" applyAlignment="1">
      <alignment horizontal="left" vertical="center"/>
    </xf>
    <xf numFmtId="165" fontId="0" fillId="78" borderId="0" xfId="0" applyNumberFormat="1" applyFill="1" applyAlignment="1">
      <alignment horizontal="center"/>
    </xf>
    <xf numFmtId="2" fontId="67" fillId="0" borderId="0" xfId="0" applyNumberFormat="1" applyFont="1" applyAlignment="1">
      <alignment horizontal="center"/>
    </xf>
    <xf numFmtId="0" fontId="74" fillId="0" borderId="0" xfId="0" applyFont="1" applyFill="1" applyBorder="1" applyAlignment="1">
      <alignment vertical="center"/>
    </xf>
    <xf numFmtId="0" fontId="67" fillId="0" borderId="173" xfId="0" applyFont="1" applyFill="1" applyBorder="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67" fillId="0" borderId="142"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67" fillId="0" borderId="84" xfId="0" applyFont="1" applyFill="1" applyBorder="1" applyAlignment="1">
      <alignment horizontal="left" vertical="center"/>
    </xf>
    <xf numFmtId="0" fontId="106" fillId="0" borderId="85" xfId="0" applyFont="1" applyFill="1" applyBorder="1" applyAlignment="1">
      <alignment vertical="center"/>
    </xf>
    <xf numFmtId="0" fontId="103" fillId="0" borderId="85" xfId="0" applyFont="1" applyFill="1" applyBorder="1" applyAlignment="1">
      <alignment horizontal="center" vertical="center" wrapText="1"/>
    </xf>
    <xf numFmtId="0" fontId="67" fillId="0" borderId="19" xfId="0" applyFont="1" applyBorder="1" applyAlignment="1">
      <alignment vertical="center" wrapText="1"/>
    </xf>
    <xf numFmtId="0" fontId="67" fillId="0" borderId="153" xfId="0" applyFont="1" applyFill="1" applyBorder="1" applyAlignment="1">
      <alignment horizontal="left" vertical="center"/>
    </xf>
    <xf numFmtId="8" fontId="23" fillId="0" borderId="197" xfId="0" applyNumberFormat="1" applyFont="1" applyFill="1" applyBorder="1" applyAlignment="1">
      <alignment horizontal="center" wrapText="1"/>
    </xf>
    <xf numFmtId="0" fontId="13" fillId="0" borderId="54" xfId="0" applyFont="1" applyBorder="1" applyAlignment="1">
      <alignment horizontal="center" vertical="center"/>
    </xf>
    <xf numFmtId="0" fontId="13" fillId="0" borderId="101" xfId="0" applyFont="1" applyBorder="1"/>
    <xf numFmtId="0" fontId="13" fillId="0" borderId="54" xfId="0" applyFont="1" applyBorder="1" applyAlignment="1">
      <alignment horizontal="center"/>
    </xf>
    <xf numFmtId="8" fontId="13" fillId="0" borderId="69" xfId="0" applyNumberFormat="1" applyFont="1" applyBorder="1" applyAlignment="1">
      <alignment horizontal="center"/>
    </xf>
    <xf numFmtId="8" fontId="8" fillId="0" borderId="54" xfId="0" applyNumberFormat="1" applyFont="1" applyFill="1" applyBorder="1" applyAlignment="1">
      <alignment horizontal="center" wrapText="1"/>
    </xf>
    <xf numFmtId="167" fontId="13" fillId="0" borderId="69" xfId="0" applyNumberFormat="1" applyFont="1" applyBorder="1" applyAlignment="1">
      <alignment horizontal="center"/>
    </xf>
    <xf numFmtId="0" fontId="41" fillId="0" borderId="101" xfId="0" applyFont="1" applyBorder="1"/>
    <xf numFmtId="0" fontId="0" fillId="0" borderId="0" xfId="0" applyAlignment="1">
      <alignment horizontal="center" vertical="center"/>
    </xf>
    <xf numFmtId="0" fontId="0" fillId="0" borderId="0" xfId="0" applyAlignment="1">
      <alignment horizontal="left" vertical="center"/>
    </xf>
    <xf numFmtId="167" fontId="33" fillId="0" borderId="0" xfId="0" quotePrefix="1" applyNumberFormat="1" applyFont="1" applyAlignment="1">
      <alignment vertical="center" wrapText="1"/>
    </xf>
    <xf numFmtId="0" fontId="86" fillId="0" borderId="0" xfId="0" applyNumberFormat="1" applyFont="1" applyAlignment="1">
      <alignment horizontal="center" wrapText="1"/>
    </xf>
    <xf numFmtId="0" fontId="86" fillId="0" borderId="0" xfId="0" applyFont="1" applyAlignment="1">
      <alignment horizontal="center" wrapText="1"/>
    </xf>
    <xf numFmtId="0" fontId="0" fillId="0" borderId="151" xfId="0" applyBorder="1" applyAlignment="1"/>
    <xf numFmtId="0" fontId="0" fillId="0" borderId="151" xfId="0" applyBorder="1"/>
    <xf numFmtId="8" fontId="133" fillId="0" borderId="151" xfId="0" applyNumberFormat="1" applyFont="1" applyBorder="1" applyAlignment="1">
      <alignment horizontal="center"/>
    </xf>
    <xf numFmtId="8" fontId="23" fillId="0" borderId="151" xfId="0" applyNumberFormat="1" applyFont="1" applyBorder="1" applyAlignment="1">
      <alignment horizontal="center"/>
    </xf>
    <xf numFmtId="8" fontId="0" fillId="0" borderId="151" xfId="0" applyNumberFormat="1" applyBorder="1"/>
    <xf numFmtId="0" fontId="0" fillId="0" borderId="45" xfId="0" applyBorder="1" applyAlignment="1"/>
    <xf numFmtId="0" fontId="99" fillId="0" borderId="45" xfId="0" applyFont="1" applyBorder="1" applyAlignment="1">
      <alignment vertical="center"/>
    </xf>
    <xf numFmtId="8" fontId="133" fillId="0" borderId="45" xfId="0" applyNumberFormat="1" applyFont="1" applyBorder="1" applyAlignment="1">
      <alignment horizontal="center"/>
    </xf>
    <xf numFmtId="8" fontId="23" fillId="0" borderId="45" xfId="0" applyNumberFormat="1" applyFont="1" applyBorder="1" applyAlignment="1">
      <alignment horizontal="center"/>
    </xf>
    <xf numFmtId="8" fontId="0" fillId="0" borderId="45" xfId="0" applyNumberFormat="1" applyBorder="1"/>
    <xf numFmtId="2" fontId="41" fillId="0" borderId="0" xfId="0" applyNumberFormat="1" applyFont="1" applyFill="1" applyBorder="1" applyAlignment="1">
      <alignment horizontal="center" vertical="center"/>
    </xf>
    <xf numFmtId="2" fontId="31" fillId="0" borderId="0" xfId="0" applyNumberFormat="1" applyFont="1" applyFill="1" applyBorder="1" applyAlignment="1">
      <alignment horizontal="left" vertical="center"/>
    </xf>
    <xf numFmtId="0" fontId="31" fillId="5" borderId="0" xfId="0" applyFont="1" applyFill="1" applyBorder="1" applyAlignment="1">
      <alignment horizontal="center" wrapText="1"/>
    </xf>
    <xf numFmtId="165" fontId="41" fillId="78" borderId="0" xfId="0" applyNumberFormat="1" applyFont="1" applyFill="1" applyBorder="1" applyAlignment="1">
      <alignment horizontal="center"/>
    </xf>
    <xf numFmtId="167" fontId="41" fillId="0" borderId="0" xfId="0" applyNumberFormat="1" applyFont="1" applyBorder="1"/>
    <xf numFmtId="0" fontId="67" fillId="0" borderId="162" xfId="0" applyFont="1" applyFill="1" applyBorder="1" applyAlignment="1">
      <alignment horizontal="left" vertical="center"/>
    </xf>
    <xf numFmtId="168" fontId="33" fillId="0" borderId="197" xfId="0" applyNumberFormat="1" applyFont="1" applyFill="1" applyBorder="1" applyAlignment="1">
      <alignment horizontal="center" vertical="center" wrapText="1"/>
    </xf>
    <xf numFmtId="0" fontId="2" fillId="3" borderId="5" xfId="1" applyFont="1" applyFill="1" applyBorder="1" applyAlignment="1">
      <alignment horizontal="center" vertical="center" wrapText="1"/>
    </xf>
    <xf numFmtId="168" fontId="33" fillId="72" borderId="197" xfId="0" applyNumberFormat="1" applyFont="1" applyFill="1" applyBorder="1" applyAlignment="1">
      <alignment horizontal="center" vertical="center" wrapText="1"/>
    </xf>
    <xf numFmtId="2" fontId="74" fillId="0" borderId="0" xfId="0" applyNumberFormat="1" applyFont="1"/>
    <xf numFmtId="3" fontId="74" fillId="0" borderId="0" xfId="0" applyNumberFormat="1" applyFont="1" applyFill="1" applyBorder="1" applyAlignment="1">
      <alignment horizontal="center" vertical="center" wrapText="1"/>
    </xf>
    <xf numFmtId="0" fontId="0" fillId="0" borderId="0" xfId="0" applyAlignment="1">
      <alignment horizontal="center" vertical="center"/>
    </xf>
    <xf numFmtId="0" fontId="106" fillId="0" borderId="147" xfId="0" applyFont="1" applyBorder="1" applyAlignment="1">
      <alignment vertical="center"/>
    </xf>
    <xf numFmtId="0" fontId="57" fillId="0" borderId="157" xfId="9" applyFont="1" applyFill="1" applyBorder="1" applyAlignment="1">
      <alignment horizontal="left" wrapText="1"/>
    </xf>
    <xf numFmtId="0" fontId="38" fillId="0" borderId="0" xfId="0" applyFont="1" applyAlignment="1">
      <alignment horizontal="center" vertical="center"/>
    </xf>
    <xf numFmtId="0" fontId="106" fillId="0" borderId="69" xfId="0" applyFont="1" applyFill="1" applyBorder="1" applyAlignment="1">
      <alignment vertical="center"/>
    </xf>
    <xf numFmtId="0" fontId="128" fillId="0" borderId="197" xfId="0" applyFont="1" applyFill="1" applyBorder="1" applyAlignment="1">
      <alignment vertical="center"/>
    </xf>
    <xf numFmtId="0" fontId="159" fillId="0" borderId="197" xfId="0" applyFont="1" applyBorder="1" applyAlignment="1">
      <alignment vertical="center"/>
    </xf>
    <xf numFmtId="0" fontId="128" fillId="0" borderId="197" xfId="0" applyFont="1" applyBorder="1" applyAlignment="1">
      <alignment horizontal="center" vertical="center"/>
    </xf>
    <xf numFmtId="0" fontId="128" fillId="0" borderId="175" xfId="0" applyFont="1" applyBorder="1" applyAlignment="1">
      <alignment horizontal="center" vertical="center" wrapText="1"/>
    </xf>
    <xf numFmtId="0" fontId="67" fillId="8" borderId="57" xfId="0" applyFont="1" applyFill="1" applyBorder="1" applyAlignment="1">
      <alignment horizontal="left" vertical="center" wrapText="1"/>
    </xf>
    <xf numFmtId="0" fontId="33" fillId="8" borderId="85" xfId="0" applyFont="1" applyFill="1" applyBorder="1" applyAlignment="1">
      <alignment horizontal="center" vertical="center" wrapText="1"/>
    </xf>
    <xf numFmtId="0" fontId="103" fillId="5" borderId="27" xfId="0" applyFont="1" applyFill="1" applyBorder="1" applyAlignment="1">
      <alignment horizontal="left" vertical="center" wrapText="1"/>
    </xf>
    <xf numFmtId="0" fontId="135" fillId="5" borderId="85" xfId="0" applyFont="1" applyFill="1" applyBorder="1" applyAlignment="1">
      <alignment horizontal="left" vertical="center" wrapText="1"/>
    </xf>
    <xf numFmtId="0" fontId="103" fillId="8" borderId="27" xfId="0" applyFont="1" applyFill="1" applyBorder="1" applyAlignment="1">
      <alignment horizontal="center" vertical="center" wrapText="1"/>
    </xf>
    <xf numFmtId="0" fontId="103" fillId="5" borderId="3" xfId="0" applyFont="1" applyFill="1" applyBorder="1" applyAlignment="1">
      <alignment horizontal="left" vertical="center" wrapText="1"/>
    </xf>
    <xf numFmtId="0" fontId="74" fillId="8" borderId="174" xfId="0" applyFont="1" applyFill="1" applyBorder="1" applyAlignment="1">
      <alignment horizontal="center" vertical="center" wrapText="1"/>
    </xf>
    <xf numFmtId="0" fontId="67" fillId="0" borderId="85" xfId="0" applyFont="1" applyBorder="1" applyAlignment="1">
      <alignment horizontal="center" vertical="center" wrapText="1"/>
    </xf>
    <xf numFmtId="0" fontId="67" fillId="72" borderId="85"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167" fontId="0" fillId="0" borderId="0" xfId="0" applyNumberFormat="1" applyFill="1"/>
    <xf numFmtId="165" fontId="0" fillId="69" borderId="0" xfId="0" applyNumberFormat="1" applyFill="1" applyBorder="1" applyAlignment="1">
      <alignment wrapText="1"/>
    </xf>
    <xf numFmtId="8" fontId="0" fillId="0" borderId="0" xfId="0" applyNumberFormat="1" applyFill="1"/>
    <xf numFmtId="0" fontId="75" fillId="0" borderId="67" xfId="0" applyFont="1" applyFill="1" applyBorder="1" applyAlignment="1">
      <alignment vertical="top"/>
    </xf>
    <xf numFmtId="0" fontId="75" fillId="0" borderId="196" xfId="0" applyFont="1" applyFill="1" applyBorder="1" applyAlignment="1">
      <alignment vertical="top"/>
    </xf>
    <xf numFmtId="0" fontId="75" fillId="0" borderId="166" xfId="0" applyFont="1" applyFill="1" applyBorder="1" applyAlignment="1">
      <alignment vertical="top"/>
    </xf>
    <xf numFmtId="0" fontId="75" fillId="0" borderId="183" xfId="0" applyFont="1" applyFill="1" applyBorder="1" applyAlignment="1">
      <alignment vertical="top"/>
    </xf>
    <xf numFmtId="0" fontId="75" fillId="0" borderId="203" xfId="0" applyFont="1" applyFill="1" applyBorder="1" applyAlignment="1">
      <alignment vertical="top"/>
    </xf>
    <xf numFmtId="167" fontId="0" fillId="0" borderId="0" xfId="0" applyNumberFormat="1" applyFill="1" applyBorder="1" applyAlignment="1">
      <alignment horizontal="center" wrapText="1"/>
    </xf>
    <xf numFmtId="0" fontId="0" fillId="0" borderId="0" xfId="0" applyNumberFormat="1" applyFill="1" applyBorder="1" applyAlignment="1">
      <alignment horizontal="center" wrapText="1"/>
    </xf>
    <xf numFmtId="0" fontId="0" fillId="0" borderId="0" xfId="0" applyNumberFormat="1" applyFill="1" applyBorder="1" applyAlignment="1">
      <alignment horizontal="center"/>
    </xf>
    <xf numFmtId="167" fontId="41" fillId="0" borderId="0" xfId="0" applyNumberFormat="1" applyFont="1" applyFill="1" applyAlignment="1">
      <alignment vertical="center"/>
    </xf>
    <xf numFmtId="0" fontId="74" fillId="0" borderId="85" xfId="0" applyFont="1" applyFill="1" applyBorder="1" applyAlignment="1">
      <alignment horizontal="left" vertical="center"/>
    </xf>
    <xf numFmtId="167" fontId="160" fillId="0" borderId="0" xfId="0" applyNumberFormat="1" applyFont="1" applyFill="1" applyBorder="1" applyAlignment="1">
      <alignment horizontal="center"/>
    </xf>
    <xf numFmtId="167" fontId="160" fillId="0" borderId="0"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65" fontId="41" fillId="78" borderId="0" xfId="0" applyNumberFormat="1" applyFont="1" applyFill="1" applyBorder="1" applyAlignment="1">
      <alignment horizontal="center" wrapText="1"/>
    </xf>
    <xf numFmtId="0" fontId="41" fillId="0" borderId="0" xfId="0" applyNumberFormat="1" applyFont="1" applyFill="1" applyBorder="1" applyAlignment="1">
      <alignment horizontal="center" wrapText="1"/>
    </xf>
    <xf numFmtId="0" fontId="33" fillId="0" borderId="0" xfId="0" applyFont="1" applyBorder="1" applyAlignment="1">
      <alignment horizontal="center" vertical="center" wrapText="1"/>
    </xf>
    <xf numFmtId="0" fontId="67" fillId="0" borderId="55" xfId="0" applyFont="1" applyFill="1" applyBorder="1" applyAlignment="1">
      <alignment horizontal="left" vertical="center"/>
    </xf>
    <xf numFmtId="0" fontId="106" fillId="0" borderId="198" xfId="0" applyFont="1" applyFill="1" applyBorder="1" applyAlignment="1">
      <alignment vertical="center"/>
    </xf>
    <xf numFmtId="0" fontId="33" fillId="72" borderId="0" xfId="0" applyFont="1" applyFill="1" applyBorder="1" applyAlignment="1">
      <alignment horizontal="center" vertical="center" wrapText="1"/>
    </xf>
    <xf numFmtId="0" fontId="97" fillId="0" borderId="0" xfId="0" applyFont="1" applyFill="1"/>
    <xf numFmtId="167" fontId="41" fillId="0" borderId="0" xfId="0" applyNumberFormat="1" applyFont="1" applyAlignment="1">
      <alignment horizontal="center"/>
    </xf>
    <xf numFmtId="0" fontId="13" fillId="0" borderId="0" xfId="0" applyFont="1" applyBorder="1" applyAlignment="1">
      <alignment horizontal="center"/>
    </xf>
    <xf numFmtId="0" fontId="161" fillId="0" borderId="12" xfId="0" applyFont="1" applyBorder="1" applyAlignment="1">
      <alignment vertical="center" wrapText="1"/>
    </xf>
    <xf numFmtId="0" fontId="161" fillId="0" borderId="11" xfId="0" applyFont="1" applyBorder="1" applyAlignment="1">
      <alignment vertical="center" wrapText="1"/>
    </xf>
    <xf numFmtId="0" fontId="58" fillId="0" borderId="4" xfId="0" applyFont="1" applyBorder="1" applyAlignment="1">
      <alignment vertical="center" wrapText="1"/>
    </xf>
    <xf numFmtId="8" fontId="113" fillId="0" borderId="0" xfId="0" applyNumberFormat="1" applyFont="1" applyAlignment="1">
      <alignment horizontal="center" vertical="center"/>
    </xf>
    <xf numFmtId="0" fontId="13" fillId="0" borderId="0" xfId="0" applyFont="1" applyAlignment="1">
      <alignment horizontal="center" wrapText="1"/>
    </xf>
    <xf numFmtId="0" fontId="57" fillId="0" borderId="157" xfId="9" applyFont="1" applyFill="1" applyBorder="1" applyAlignment="1">
      <alignment horizontal="center"/>
    </xf>
    <xf numFmtId="0" fontId="0" fillId="0" borderId="0" xfId="0" applyAlignment="1">
      <alignment horizontal="center" vertical="center"/>
    </xf>
    <xf numFmtId="0" fontId="0" fillId="0" borderId="0" xfId="0" applyAlignment="1">
      <alignment horizontal="left" vertical="center"/>
    </xf>
    <xf numFmtId="0" fontId="73" fillId="0" borderId="0" xfId="0" applyFont="1" applyAlignment="1">
      <alignment vertical="center"/>
    </xf>
    <xf numFmtId="0" fontId="113" fillId="0" borderId="0" xfId="0" applyFont="1" applyAlignment="1">
      <alignment vertical="center"/>
    </xf>
    <xf numFmtId="0" fontId="13" fillId="0" borderId="0" xfId="0" applyNumberFormat="1" applyFont="1" applyFill="1" applyBorder="1" applyAlignment="1">
      <alignment horizontal="center"/>
    </xf>
    <xf numFmtId="165" fontId="13" fillId="0" borderId="0" xfId="0" applyNumberFormat="1" applyFont="1" applyFill="1" applyBorder="1" applyAlignment="1"/>
    <xf numFmtId="0" fontId="132" fillId="0" borderId="0" xfId="0" applyFont="1" applyFill="1" applyBorder="1" applyAlignment="1">
      <alignment wrapText="1"/>
    </xf>
    <xf numFmtId="3" fontId="8" fillId="0" borderId="0" xfId="0" applyNumberFormat="1" applyFont="1" applyFill="1" applyBorder="1" applyAlignment="1">
      <alignment horizontal="center" wrapText="1"/>
    </xf>
    <xf numFmtId="0" fontId="13" fillId="0" borderId="0" xfId="0" applyFont="1" applyFill="1" applyBorder="1"/>
    <xf numFmtId="0" fontId="8" fillId="0" borderId="0" xfId="0" applyFont="1" applyFill="1" applyBorder="1" applyAlignment="1">
      <alignment vertical="top"/>
    </xf>
    <xf numFmtId="0" fontId="8" fillId="0" borderId="0" xfId="0" applyFont="1" applyFill="1" applyBorder="1"/>
    <xf numFmtId="0" fontId="2" fillId="0" borderId="0" xfId="0" applyFont="1" applyFill="1" applyBorder="1" applyAlignment="1">
      <alignment wrapText="1"/>
    </xf>
    <xf numFmtId="3" fontId="3" fillId="0" borderId="0" xfId="0" applyNumberFormat="1" applyFont="1" applyFill="1" applyBorder="1" applyAlignment="1">
      <alignment horizontal="center" wrapText="1"/>
    </xf>
    <xf numFmtId="6" fontId="3" fillId="0" borderId="0" xfId="0" applyNumberFormat="1" applyFont="1" applyBorder="1" applyAlignment="1">
      <alignment horizontal="center"/>
    </xf>
    <xf numFmtId="0" fontId="3" fillId="0" borderId="0" xfId="0" applyFont="1" applyFill="1" applyBorder="1" applyAlignment="1">
      <alignment vertical="top"/>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59" fillId="0" borderId="57" xfId="0" applyFont="1" applyBorder="1" applyAlignment="1">
      <alignment horizontal="left" vertical="top"/>
    </xf>
    <xf numFmtId="0" fontId="59" fillId="0" borderId="51" xfId="0" applyFont="1" applyBorder="1" applyAlignment="1">
      <alignment horizontal="left" vertical="top"/>
    </xf>
    <xf numFmtId="0" fontId="59" fillId="0" borderId="161" xfId="0" applyFont="1" applyBorder="1" applyAlignment="1">
      <alignment horizontal="left" vertical="top"/>
    </xf>
    <xf numFmtId="0" fontId="59" fillId="0" borderId="196" xfId="0" applyFont="1" applyBorder="1" applyAlignment="1">
      <alignment horizontal="left" vertical="top"/>
    </xf>
    <xf numFmtId="0" fontId="59" fillId="0" borderId="179" xfId="0" applyFont="1" applyBorder="1" applyAlignment="1">
      <alignment horizontal="left" vertical="top"/>
    </xf>
    <xf numFmtId="0" fontId="59" fillId="0" borderId="157" xfId="0" applyFont="1" applyBorder="1" applyAlignment="1">
      <alignment horizontal="left" vertical="top"/>
    </xf>
    <xf numFmtId="0" fontId="59" fillId="0" borderId="175" xfId="0" applyFont="1" applyBorder="1" applyAlignment="1">
      <alignment horizontal="left" vertical="top"/>
    </xf>
    <xf numFmtId="0" fontId="59" fillId="0" borderId="188" xfId="0" applyFont="1" applyBorder="1" applyAlignment="1">
      <alignment horizontal="left" vertical="top"/>
    </xf>
    <xf numFmtId="0" fontId="59" fillId="0" borderId="167" xfId="0" applyFont="1" applyBorder="1" applyAlignment="1">
      <alignment horizontal="left" vertical="top"/>
    </xf>
    <xf numFmtId="0" fontId="75" fillId="71" borderId="55" xfId="0" applyFont="1" applyFill="1" applyBorder="1" applyAlignment="1">
      <alignment horizontal="center" vertical="top"/>
    </xf>
    <xf numFmtId="0" fontId="75" fillId="71" borderId="189" xfId="0" applyFont="1" applyFill="1" applyBorder="1" applyAlignment="1">
      <alignment horizontal="center" vertical="top"/>
    </xf>
    <xf numFmtId="0" fontId="75" fillId="71" borderId="149" xfId="0" applyFont="1" applyFill="1" applyBorder="1" applyAlignment="1">
      <alignment horizontal="center" vertical="top"/>
    </xf>
    <xf numFmtId="0" fontId="75" fillId="71" borderId="150" xfId="0" applyFont="1" applyFill="1" applyBorder="1" applyAlignment="1">
      <alignment horizontal="center" vertical="top"/>
    </xf>
    <xf numFmtId="0" fontId="59" fillId="0" borderId="85" xfId="0" applyFont="1" applyBorder="1" applyAlignment="1">
      <alignment horizontal="left" vertical="top"/>
    </xf>
    <xf numFmtId="0" fontId="59" fillId="0" borderId="86" xfId="0" applyFont="1" applyBorder="1" applyAlignment="1">
      <alignment horizontal="left" vertical="top"/>
    </xf>
    <xf numFmtId="0" fontId="0" fillId="0" borderId="0" xfId="0" applyAlignment="1">
      <alignment horizontal="center" vertical="center"/>
    </xf>
    <xf numFmtId="0" fontId="0" fillId="0" borderId="0" xfId="0" applyAlignment="1">
      <alignment horizontal="left" vertical="center"/>
    </xf>
    <xf numFmtId="0" fontId="59" fillId="0" borderId="0" xfId="0" applyFont="1" applyAlignment="1">
      <alignment vertical="center" wrapText="1"/>
    </xf>
    <xf numFmtId="0" fontId="2" fillId="11" borderId="25" xfId="0" applyFont="1" applyFill="1" applyBorder="1" applyAlignment="1">
      <alignment horizontal="center" vertical="center"/>
    </xf>
    <xf numFmtId="0" fontId="0" fillId="0" borderId="157" xfId="0" applyFill="1" applyBorder="1" applyAlignment="1">
      <alignment horizontal="left" vertical="center"/>
    </xf>
    <xf numFmtId="0" fontId="57" fillId="0" borderId="174" xfId="9" applyFont="1" applyFill="1" applyBorder="1" applyAlignment="1">
      <alignment horizontal="left" vertical="center"/>
    </xf>
    <xf numFmtId="0" fontId="57" fillId="0" borderId="157" xfId="9" applyFont="1" applyFill="1" applyBorder="1" applyAlignment="1">
      <alignment horizontal="left" vertical="center"/>
    </xf>
    <xf numFmtId="0" fontId="57" fillId="0" borderId="57" xfId="9" applyFont="1" applyFill="1" applyBorder="1" applyAlignment="1">
      <alignment horizontal="left" vertical="center"/>
    </xf>
    <xf numFmtId="0" fontId="57" fillId="0" borderId="188" xfId="9" applyFont="1" applyFill="1" applyBorder="1" applyAlignment="1">
      <alignment horizontal="left" vertical="center"/>
    </xf>
    <xf numFmtId="0" fontId="0" fillId="0" borderId="0" xfId="0" applyAlignment="1">
      <alignment wrapText="1"/>
    </xf>
    <xf numFmtId="0" fontId="0" fillId="0" borderId="0" xfId="0" applyAlignment="1">
      <alignment horizontal="center" vertical="center"/>
    </xf>
    <xf numFmtId="0" fontId="33" fillId="0" borderId="0" xfId="0" applyFont="1"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143" fillId="0" borderId="197" xfId="0" applyFont="1"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3" fontId="73" fillId="0" borderId="0" xfId="94" applyNumberFormat="1" applyFont="1" applyFill="1" applyBorder="1" applyAlignment="1">
      <alignment horizontal="center" vertical="center"/>
    </xf>
    <xf numFmtId="0" fontId="13" fillId="0" borderId="0" xfId="0" applyNumberFormat="1" applyFont="1" applyFill="1" applyBorder="1" applyAlignment="1">
      <alignment horizontal="center" wrapText="1"/>
    </xf>
    <xf numFmtId="165" fontId="13" fillId="78" borderId="0" xfId="0" applyNumberFormat="1" applyFont="1" applyFill="1" applyAlignment="1">
      <alignment horizontal="center"/>
    </xf>
    <xf numFmtId="0" fontId="13" fillId="0" borderId="0" xfId="0" applyFont="1" applyFill="1" applyAlignment="1">
      <alignment vertical="center"/>
    </xf>
    <xf numFmtId="0" fontId="74" fillId="0" borderId="57" xfId="0" applyFont="1" applyFill="1" applyBorder="1" applyAlignment="1">
      <alignment horizontal="left" vertical="center"/>
    </xf>
    <xf numFmtId="0" fontId="151" fillId="0" borderId="57" xfId="0" applyFont="1" applyFill="1" applyBorder="1" applyAlignment="1">
      <alignment vertical="center"/>
    </xf>
    <xf numFmtId="0" fontId="74" fillId="0" borderId="0" xfId="0" applyFont="1" applyAlignment="1">
      <alignment horizontal="center" vertical="center"/>
    </xf>
    <xf numFmtId="0" fontId="74" fillId="0" borderId="153" xfId="0" applyFont="1" applyFill="1" applyBorder="1" applyAlignment="1">
      <alignment horizontal="left" vertical="center"/>
    </xf>
    <xf numFmtId="0" fontId="74" fillId="0" borderId="57" xfId="0" applyFont="1" applyBorder="1" applyAlignment="1">
      <alignment horizontal="center" vertical="center"/>
    </xf>
    <xf numFmtId="167" fontId="74" fillId="72" borderId="0" xfId="0" applyNumberFormat="1" applyFont="1" applyFill="1" applyBorder="1" applyAlignment="1">
      <alignment horizontal="center" vertical="center" wrapText="1"/>
    </xf>
    <xf numFmtId="167" fontId="13" fillId="0" borderId="0" xfId="0" applyNumberFormat="1" applyFont="1" applyAlignment="1">
      <alignment horizontal="center" vertical="center"/>
    </xf>
    <xf numFmtId="8" fontId="99" fillId="0" borderId="0" xfId="0" applyNumberFormat="1" applyFont="1"/>
    <xf numFmtId="0" fontId="58" fillId="9" borderId="25" xfId="0" applyFont="1" applyFill="1" applyBorder="1" applyAlignment="1">
      <alignment horizontal="center" vertical="center" wrapText="1"/>
    </xf>
    <xf numFmtId="8" fontId="91" fillId="0" borderId="0" xfId="0" applyNumberFormat="1" applyFont="1" applyAlignment="1">
      <alignment horizontal="center" vertical="center"/>
    </xf>
    <xf numFmtId="0" fontId="58" fillId="69" borderId="25" xfId="0" applyFont="1" applyFill="1" applyBorder="1" applyAlignment="1">
      <alignment horizontal="center" vertical="center" wrapText="1"/>
    </xf>
    <xf numFmtId="0" fontId="0" fillId="0" borderId="0" xfId="0"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wrapText="1"/>
    </xf>
    <xf numFmtId="0" fontId="0" fillId="0" borderId="0" xfId="0" applyAlignment="1">
      <alignment horizontal="center" wrapText="1"/>
    </xf>
    <xf numFmtId="0" fontId="0" fillId="0" borderId="0" xfId="0" applyAlignment="1">
      <alignment horizontal="left" vertical="center"/>
    </xf>
    <xf numFmtId="8" fontId="8" fillId="0" borderId="188" xfId="0" applyNumberFormat="1" applyFont="1" applyFill="1" applyBorder="1" applyAlignment="1">
      <alignment horizontal="center" wrapText="1"/>
    </xf>
    <xf numFmtId="8" fontId="8" fillId="0" borderId="151" xfId="0" applyNumberFormat="1" applyFont="1" applyFill="1" applyBorder="1" applyAlignment="1">
      <alignment horizontal="center" vertical="center" wrapText="1"/>
    </xf>
    <xf numFmtId="8" fontId="8" fillId="0" borderId="0" xfId="0" applyNumberFormat="1" applyFont="1" applyFill="1" applyBorder="1" applyAlignment="1">
      <alignment horizontal="center" vertical="center" wrapText="1"/>
    </xf>
    <xf numFmtId="8" fontId="8" fillId="0" borderId="157" xfId="0" applyNumberFormat="1" applyFont="1" applyFill="1" applyBorder="1" applyAlignment="1">
      <alignment horizontal="center" wrapText="1"/>
    </xf>
    <xf numFmtId="0" fontId="31" fillId="0" borderId="12" xfId="0" applyFont="1" applyFill="1" applyBorder="1" applyAlignment="1">
      <alignment horizontal="center" vertical="center"/>
    </xf>
    <xf numFmtId="0" fontId="31" fillId="11" borderId="12" xfId="0" applyFont="1" applyFill="1" applyBorder="1" applyAlignment="1">
      <alignment horizontal="center" vertical="center" wrapText="1"/>
    </xf>
    <xf numFmtId="0" fontId="31" fillId="2" borderId="12" xfId="0" applyFont="1" applyFill="1" applyBorder="1" applyAlignment="1">
      <alignment horizontal="center" vertical="center"/>
    </xf>
    <xf numFmtId="0" fontId="31" fillId="11" borderId="12" xfId="0" applyFont="1" applyFill="1" applyBorder="1" applyAlignment="1">
      <alignment horizontal="center" vertical="center"/>
    </xf>
    <xf numFmtId="1" fontId="32" fillId="0" borderId="0" xfId="94" applyNumberFormat="1" applyFont="1" applyFill="1" applyBorder="1" applyAlignment="1">
      <alignment horizontal="center" vertical="center"/>
    </xf>
    <xf numFmtId="0" fontId="73"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xf numFmtId="0" fontId="69" fillId="0" borderId="0" xfId="0" applyFont="1" applyBorder="1"/>
    <xf numFmtId="167" fontId="0" fillId="0" borderId="26" xfId="0" applyNumberFormat="1" applyBorder="1"/>
    <xf numFmtId="0" fontId="69" fillId="0" borderId="27" xfId="0" applyFont="1" applyBorder="1"/>
    <xf numFmtId="3" fontId="69" fillId="0" borderId="27" xfId="0" applyNumberFormat="1" applyFont="1" applyBorder="1"/>
    <xf numFmtId="167" fontId="0" fillId="0" borderId="27" xfId="0" applyNumberFormat="1" applyFill="1" applyBorder="1" applyAlignment="1">
      <alignment horizontal="center"/>
    </xf>
    <xf numFmtId="167" fontId="0" fillId="0" borderId="27" xfId="0" applyNumberFormat="1" applyBorder="1"/>
    <xf numFmtId="167" fontId="0" fillId="0" borderId="4" xfId="0" applyNumberFormat="1" applyBorder="1"/>
    <xf numFmtId="0" fontId="67" fillId="0" borderId="162" xfId="0" applyFont="1" applyFill="1" applyBorder="1" applyAlignment="1">
      <alignment horizontal="left" vertical="center"/>
    </xf>
    <xf numFmtId="0" fontId="67" fillId="0" borderId="140" xfId="0" applyFont="1" applyFill="1" applyBorder="1" applyAlignment="1">
      <alignment horizontal="left" vertical="center" wrapText="1"/>
    </xf>
    <xf numFmtId="0" fontId="67" fillId="0" borderId="173" xfId="0" applyFont="1" applyFill="1" applyBorder="1" applyAlignment="1">
      <alignment horizontal="left" vertical="center" wrapText="1"/>
    </xf>
    <xf numFmtId="15" fontId="0" fillId="0" borderId="0" xfId="0" applyNumberFormat="1"/>
    <xf numFmtId="0" fontId="0" fillId="0" borderId="0" xfId="0" applyAlignment="1">
      <alignment horizontal="left" vertical="center" indent="5"/>
    </xf>
    <xf numFmtId="0" fontId="163" fillId="0" borderId="0" xfId="0" applyFont="1" applyAlignment="1">
      <alignment horizontal="left" vertical="center" indent="10"/>
    </xf>
    <xf numFmtId="2" fontId="158" fillId="49" borderId="12" xfId="0" applyNumberFormat="1" applyFont="1" applyFill="1" applyBorder="1" applyAlignment="1">
      <alignment horizontal="center" vertical="center" wrapText="1"/>
    </xf>
    <xf numFmtId="2" fontId="158" fillId="49" borderId="10" xfId="0" applyNumberFormat="1" applyFont="1" applyFill="1" applyBorder="1" applyAlignment="1">
      <alignment horizontal="center" vertical="center" wrapText="1"/>
    </xf>
    <xf numFmtId="0" fontId="0" fillId="0" borderId="19" xfId="0" applyFill="1" applyBorder="1" applyAlignment="1">
      <alignment horizontal="center" vertical="center"/>
    </xf>
    <xf numFmtId="0" fontId="67" fillId="0" borderId="51" xfId="0" applyFont="1" applyFill="1" applyBorder="1" applyAlignment="1">
      <alignment horizontal="left" vertical="center"/>
    </xf>
    <xf numFmtId="0" fontId="106" fillId="0" borderId="51" xfId="0" applyFont="1" applyFill="1" applyBorder="1" applyAlignment="1">
      <alignment horizontal="left" vertical="center"/>
    </xf>
    <xf numFmtId="0" fontId="67" fillId="0" borderId="13" xfId="0" applyFont="1" applyFill="1" applyBorder="1" applyAlignment="1">
      <alignment horizontal="left" vertical="center"/>
    </xf>
    <xf numFmtId="0" fontId="67" fillId="0" borderId="158" xfId="0" applyFont="1" applyFill="1" applyBorder="1" applyAlignment="1">
      <alignment horizontal="left" vertical="center"/>
    </xf>
    <xf numFmtId="167" fontId="33" fillId="72" borderId="13" xfId="0" applyNumberFormat="1" applyFont="1" applyFill="1" applyBorder="1" applyAlignment="1">
      <alignment horizontal="center" vertical="center" wrapText="1"/>
    </xf>
    <xf numFmtId="0" fontId="0" fillId="0" borderId="140" xfId="0" applyFill="1" applyBorder="1" applyAlignment="1">
      <alignment horizontal="center" vertical="center"/>
    </xf>
    <xf numFmtId="0" fontId="67" fillId="0" borderId="175" xfId="0" applyFont="1" applyFill="1" applyBorder="1" applyAlignment="1">
      <alignment horizontal="left" vertical="center"/>
    </xf>
    <xf numFmtId="0" fontId="67" fillId="0" borderId="177" xfId="0" applyFont="1" applyFill="1" applyBorder="1" applyAlignment="1">
      <alignment horizontal="left" vertical="center"/>
    </xf>
    <xf numFmtId="0" fontId="67" fillId="0" borderId="196" xfId="0" applyFont="1" applyFill="1" applyBorder="1" applyAlignment="1">
      <alignment horizontal="left" vertical="center"/>
    </xf>
    <xf numFmtId="167" fontId="33" fillId="72" borderId="177" xfId="0" applyNumberFormat="1" applyFont="1" applyFill="1" applyBorder="1" applyAlignment="1">
      <alignment horizontal="center" vertical="center" wrapText="1"/>
    </xf>
    <xf numFmtId="0" fontId="0" fillId="0" borderId="173" xfId="0" applyFill="1" applyBorder="1" applyAlignment="1">
      <alignment horizontal="center" vertical="center"/>
    </xf>
    <xf numFmtId="0" fontId="164" fillId="0" borderId="142" xfId="0" applyFont="1" applyFill="1" applyBorder="1" applyAlignment="1">
      <alignment horizontal="left" vertical="center" wrapText="1"/>
    </xf>
    <xf numFmtId="0" fontId="106" fillId="0" borderId="142" xfId="0" applyFont="1" applyFill="1" applyBorder="1" applyAlignment="1">
      <alignment horizontal="left" vertical="center" wrapText="1"/>
    </xf>
    <xf numFmtId="0" fontId="67" fillId="0" borderId="192" xfId="0" applyFont="1" applyFill="1" applyBorder="1" applyAlignment="1">
      <alignment horizontal="left" vertical="center" wrapText="1"/>
    </xf>
    <xf numFmtId="0" fontId="67" fillId="0" borderId="159" xfId="0" applyFont="1" applyFill="1" applyBorder="1" applyAlignment="1">
      <alignment horizontal="left" vertical="center" wrapText="1"/>
    </xf>
    <xf numFmtId="167" fontId="33" fillId="72" borderId="192" xfId="0" applyNumberFormat="1" applyFont="1" applyFill="1" applyBorder="1" applyAlignment="1">
      <alignment horizontal="center" vertical="center" wrapText="1"/>
    </xf>
    <xf numFmtId="0" fontId="67" fillId="0" borderId="175" xfId="0" applyFont="1" applyFill="1" applyBorder="1" applyAlignment="1">
      <alignment horizontal="left" vertical="center" wrapText="1"/>
    </xf>
    <xf numFmtId="0" fontId="106" fillId="0" borderId="175" xfId="0" applyFont="1" applyFill="1" applyBorder="1" applyAlignment="1">
      <alignment horizontal="left" vertical="center" wrapText="1"/>
    </xf>
    <xf numFmtId="0" fontId="67" fillId="0" borderId="177" xfId="0" applyFont="1" applyFill="1" applyBorder="1" applyAlignment="1">
      <alignment horizontal="left" vertical="center" wrapText="1"/>
    </xf>
    <xf numFmtId="0" fontId="67" fillId="0" borderId="196" xfId="0" applyFont="1" applyFill="1" applyBorder="1" applyAlignment="1">
      <alignment horizontal="left" vertical="center" wrapText="1"/>
    </xf>
    <xf numFmtId="0" fontId="106" fillId="0" borderId="175" xfId="0" applyFont="1" applyFill="1" applyBorder="1" applyAlignment="1">
      <alignment horizontal="left" vertical="center"/>
    </xf>
    <xf numFmtId="0" fontId="41" fillId="0" borderId="173" xfId="0" applyFont="1" applyFill="1" applyBorder="1" applyAlignment="1">
      <alignment horizontal="center" vertical="center"/>
    </xf>
    <xf numFmtId="0" fontId="41" fillId="0" borderId="19" xfId="0" applyFont="1" applyFill="1" applyBorder="1" applyAlignment="1">
      <alignment horizontal="center" vertical="center"/>
    </xf>
    <xf numFmtId="0" fontId="106" fillId="0" borderId="51" xfId="0" applyFont="1" applyFill="1" applyBorder="1" applyAlignment="1">
      <alignment horizontal="left" vertical="center" wrapText="1"/>
    </xf>
    <xf numFmtId="0" fontId="67" fillId="0" borderId="13" xfId="0" applyFont="1" applyFill="1" applyBorder="1" applyAlignment="1">
      <alignment horizontal="left" vertical="center" wrapText="1"/>
    </xf>
    <xf numFmtId="0" fontId="67" fillId="0" borderId="158" xfId="0" applyFont="1" applyFill="1" applyBorder="1" applyAlignment="1">
      <alignment horizontal="left" vertical="center" wrapText="1"/>
    </xf>
    <xf numFmtId="0" fontId="164" fillId="0" borderId="175" xfId="0" applyFont="1" applyFill="1" applyBorder="1" applyAlignment="1">
      <alignment horizontal="left" vertical="center"/>
    </xf>
    <xf numFmtId="0" fontId="67" fillId="0" borderId="142" xfId="0" applyFont="1" applyFill="1" applyBorder="1" applyAlignment="1">
      <alignment horizontal="left" vertical="center"/>
    </xf>
    <xf numFmtId="0" fontId="106" fillId="0" borderId="142" xfId="0" applyFont="1" applyFill="1" applyBorder="1" applyAlignment="1">
      <alignment horizontal="left" vertical="center"/>
    </xf>
    <xf numFmtId="0" fontId="67" fillId="0" borderId="192" xfId="0" applyFont="1" applyFill="1" applyBorder="1" applyAlignment="1">
      <alignment horizontal="left" vertical="center"/>
    </xf>
    <xf numFmtId="0" fontId="67" fillId="0" borderId="159" xfId="0" applyFont="1" applyFill="1" applyBorder="1" applyAlignment="1">
      <alignment horizontal="left" vertical="center"/>
    </xf>
    <xf numFmtId="0" fontId="0" fillId="0" borderId="72" xfId="0" applyFill="1" applyBorder="1" applyAlignment="1">
      <alignment horizontal="center" vertical="center"/>
    </xf>
    <xf numFmtId="0" fontId="74" fillId="0" borderId="73" xfId="0" applyFont="1" applyFill="1" applyBorder="1" applyAlignment="1">
      <alignment horizontal="left" vertical="center" wrapText="1"/>
    </xf>
    <xf numFmtId="0" fontId="74" fillId="0" borderId="72" xfId="0" applyFont="1" applyFill="1" applyBorder="1" applyAlignment="1">
      <alignment horizontal="left" vertical="center"/>
    </xf>
    <xf numFmtId="0" fontId="74" fillId="0" borderId="73" xfId="0" applyFont="1" applyFill="1" applyBorder="1" applyAlignment="1">
      <alignment horizontal="left" vertical="center"/>
    </xf>
    <xf numFmtId="0" fontId="74" fillId="0" borderId="15" xfId="0" applyFont="1" applyFill="1" applyBorder="1" applyAlignment="1">
      <alignment horizontal="left" vertical="center"/>
    </xf>
    <xf numFmtId="0" fontId="74" fillId="0" borderId="45" xfId="0" applyFont="1" applyFill="1" applyBorder="1" applyAlignment="1">
      <alignment horizontal="left" vertical="center"/>
    </xf>
    <xf numFmtId="167" fontId="74" fillId="72" borderId="15" xfId="0" applyNumberFormat="1" applyFont="1" applyFill="1" applyBorder="1" applyAlignment="1">
      <alignment horizontal="center" vertical="center" wrapText="1"/>
    </xf>
    <xf numFmtId="0" fontId="41" fillId="0" borderId="140" xfId="0" applyFont="1" applyFill="1" applyBorder="1" applyAlignment="1">
      <alignment horizontal="center" vertical="center"/>
    </xf>
    <xf numFmtId="0" fontId="74" fillId="0" borderId="175" xfId="0" applyFont="1" applyFill="1" applyBorder="1" applyAlignment="1">
      <alignment horizontal="left" vertical="center" wrapText="1"/>
    </xf>
    <xf numFmtId="0" fontId="74" fillId="0" borderId="140" xfId="0" applyFont="1" applyFill="1" applyBorder="1" applyAlignment="1">
      <alignment horizontal="left" vertical="center" wrapText="1"/>
    </xf>
    <xf numFmtId="0" fontId="151" fillId="0" borderId="175" xfId="0" applyFont="1" applyFill="1" applyBorder="1" applyAlignment="1">
      <alignment horizontal="left" vertical="center" wrapText="1"/>
    </xf>
    <xf numFmtId="0" fontId="74" fillId="0" borderId="177" xfId="0" applyFont="1" applyFill="1" applyBorder="1" applyAlignment="1">
      <alignment horizontal="left" vertical="center" wrapText="1"/>
    </xf>
    <xf numFmtId="0" fontId="74" fillId="0" borderId="196" xfId="0" applyFont="1" applyFill="1" applyBorder="1" applyAlignment="1">
      <alignment horizontal="left" vertical="center" wrapText="1"/>
    </xf>
    <xf numFmtId="167" fontId="74" fillId="72" borderId="177" xfId="0" applyNumberFormat="1" applyFont="1" applyFill="1" applyBorder="1" applyAlignment="1">
      <alignment horizontal="center" vertical="center" wrapText="1"/>
    </xf>
    <xf numFmtId="1" fontId="35" fillId="0" borderId="196" xfId="101" applyNumberFormat="1" applyFont="1" applyFill="1" applyBorder="1" applyAlignment="1">
      <alignment horizontal="left" wrapText="1"/>
    </xf>
    <xf numFmtId="0" fontId="74" fillId="0" borderId="140" xfId="0" applyFont="1" applyFill="1" applyBorder="1" applyAlignment="1">
      <alignment horizontal="left" vertical="center"/>
    </xf>
    <xf numFmtId="0" fontId="74" fillId="0" borderId="175" xfId="0" applyFont="1" applyFill="1" applyBorder="1" applyAlignment="1">
      <alignment horizontal="left" vertical="center"/>
    </xf>
    <xf numFmtId="0" fontId="74" fillId="0" borderId="177" xfId="0" applyFont="1" applyFill="1" applyBorder="1" applyAlignment="1">
      <alignment horizontal="left" vertical="center"/>
    </xf>
    <xf numFmtId="1" fontId="166" fillId="0" borderId="196" xfId="101" applyNumberFormat="1" applyFont="1" applyFill="1" applyBorder="1" applyAlignment="1">
      <alignment horizontal="left" wrapText="1"/>
    </xf>
    <xf numFmtId="0" fontId="0" fillId="0" borderId="162" xfId="0" applyFill="1" applyBorder="1" applyAlignment="1">
      <alignment horizontal="center" vertical="center"/>
    </xf>
    <xf numFmtId="0" fontId="67" fillId="0" borderId="176" xfId="0" applyFont="1" applyFill="1" applyBorder="1" applyAlignment="1">
      <alignment horizontal="left" vertical="center"/>
    </xf>
    <xf numFmtId="0" fontId="106" fillId="0" borderId="176" xfId="0" applyFont="1" applyFill="1" applyBorder="1" applyAlignment="1">
      <alignment horizontal="left" vertical="center"/>
    </xf>
    <xf numFmtId="0" fontId="67" fillId="0" borderId="178" xfId="0" applyFont="1" applyFill="1" applyBorder="1" applyAlignment="1">
      <alignment horizontal="left" vertical="center"/>
    </xf>
    <xf numFmtId="0" fontId="67" fillId="0" borderId="151" xfId="0" applyFont="1" applyFill="1" applyBorder="1" applyAlignment="1">
      <alignment horizontal="left" vertical="center"/>
    </xf>
    <xf numFmtId="167" fontId="33" fillId="72" borderId="178" xfId="0" applyNumberFormat="1" applyFont="1" applyFill="1" applyBorder="1" applyAlignment="1">
      <alignment horizontal="center" vertical="center" wrapText="1"/>
    </xf>
    <xf numFmtId="0" fontId="67" fillId="0" borderId="51" xfId="0" applyFont="1" applyFill="1" applyBorder="1" applyAlignment="1">
      <alignment horizontal="left" vertical="center" wrapText="1"/>
    </xf>
    <xf numFmtId="0" fontId="74" fillId="0" borderId="142" xfId="0" applyFont="1" applyFill="1" applyBorder="1" applyAlignment="1">
      <alignment horizontal="left" vertical="center"/>
    </xf>
    <xf numFmtId="0" fontId="33" fillId="0" borderId="3" xfId="0" applyFont="1" applyBorder="1" applyAlignment="1">
      <alignment horizontal="center" vertical="center" textRotation="90" wrapText="1"/>
    </xf>
    <xf numFmtId="0" fontId="0" fillId="0" borderId="55" xfId="0" applyFill="1" applyBorder="1" applyAlignment="1">
      <alignment horizontal="center" vertical="center"/>
    </xf>
    <xf numFmtId="0" fontId="67" fillId="0" borderId="150" xfId="0" applyFont="1" applyFill="1" applyBorder="1" applyAlignment="1">
      <alignment horizontal="left" vertical="center"/>
    </xf>
    <xf numFmtId="0" fontId="106" fillId="0" borderId="150" xfId="0" applyFont="1" applyFill="1" applyBorder="1" applyAlignment="1">
      <alignment horizontal="left" vertical="center"/>
    </xf>
    <xf numFmtId="0" fontId="67" fillId="0" borderId="12" xfId="0" applyFont="1" applyFill="1" applyBorder="1" applyAlignment="1">
      <alignment horizontal="left" vertical="center"/>
    </xf>
    <xf numFmtId="0" fontId="67" fillId="0" borderId="10" xfId="0" applyFont="1" applyFill="1" applyBorder="1" applyAlignment="1">
      <alignment horizontal="left" vertical="center"/>
    </xf>
    <xf numFmtId="167" fontId="33" fillId="72" borderId="12" xfId="0" applyNumberFormat="1" applyFont="1" applyFill="1" applyBorder="1" applyAlignment="1">
      <alignment horizontal="center" vertical="center" wrapText="1"/>
    </xf>
    <xf numFmtId="0" fontId="67" fillId="0" borderId="162" xfId="0" applyFont="1" applyFill="1" applyBorder="1" applyAlignment="1">
      <alignment horizontal="left" vertical="center"/>
    </xf>
    <xf numFmtId="0" fontId="67" fillId="0" borderId="72" xfId="0" applyFont="1" applyFill="1" applyBorder="1" applyAlignment="1">
      <alignment horizontal="left" vertical="center"/>
    </xf>
    <xf numFmtId="0" fontId="33" fillId="0" borderId="0" xfId="0" applyFont="1" applyBorder="1" applyAlignment="1">
      <alignment horizontal="center" vertical="center" wrapText="1"/>
    </xf>
    <xf numFmtId="0" fontId="0" fillId="0" borderId="0" xfId="0" applyAlignment="1">
      <alignment wrapText="1"/>
    </xf>
    <xf numFmtId="0" fontId="74" fillId="0" borderId="69" xfId="0" applyFont="1" applyBorder="1" applyAlignment="1">
      <alignment horizontal="center" vertical="center" wrapText="1"/>
    </xf>
    <xf numFmtId="0" fontId="74" fillId="72" borderId="69" xfId="0" applyFont="1" applyFill="1" applyBorder="1" applyAlignment="1">
      <alignment horizontal="center" vertical="center" wrapText="1"/>
    </xf>
    <xf numFmtId="167" fontId="74" fillId="72" borderId="69" xfId="0" applyNumberFormat="1" applyFont="1" applyFill="1" applyBorder="1" applyAlignment="1">
      <alignment horizontal="center" vertical="center" wrapText="1"/>
    </xf>
    <xf numFmtId="0" fontId="151" fillId="0" borderId="57" xfId="0" applyFont="1" applyBorder="1" applyAlignment="1">
      <alignment vertical="center"/>
    </xf>
    <xf numFmtId="0" fontId="128" fillId="0" borderId="67" xfId="0" applyFont="1" applyFill="1" applyBorder="1" applyAlignment="1">
      <alignment horizontal="left" vertical="center" wrapText="1"/>
    </xf>
    <xf numFmtId="0" fontId="74" fillId="0" borderId="47" xfId="0" applyFont="1" applyFill="1" applyBorder="1" applyAlignment="1">
      <alignment horizontal="center" vertical="center" wrapText="1"/>
    </xf>
    <xf numFmtId="0" fontId="128" fillId="0" borderId="47" xfId="0" applyFont="1" applyFill="1" applyBorder="1" applyAlignment="1">
      <alignment horizontal="left" vertical="center" wrapText="1"/>
    </xf>
    <xf numFmtId="0" fontId="128" fillId="0" borderId="183" xfId="0" applyFont="1" applyFill="1" applyBorder="1" applyAlignment="1">
      <alignment horizontal="left" vertical="center" wrapText="1"/>
    </xf>
    <xf numFmtId="0" fontId="128" fillId="0" borderId="147" xfId="0" applyFont="1" applyFill="1" applyBorder="1" applyAlignment="1">
      <alignment horizontal="left" vertical="center"/>
    </xf>
    <xf numFmtId="0" fontId="159" fillId="0" borderId="147" xfId="0" applyFont="1" applyBorder="1" applyAlignment="1">
      <alignment vertical="center"/>
    </xf>
    <xf numFmtId="0" fontId="128" fillId="0" borderId="147" xfId="0" applyFont="1" applyBorder="1" applyAlignment="1">
      <alignment horizontal="center" vertical="center"/>
    </xf>
    <xf numFmtId="0" fontId="128" fillId="0" borderId="147" xfId="0" applyFont="1" applyBorder="1" applyAlignment="1">
      <alignment horizontal="center" vertical="center" wrapText="1"/>
    </xf>
    <xf numFmtId="0" fontId="128" fillId="0" borderId="155" xfId="0" applyFont="1" applyBorder="1" applyAlignment="1">
      <alignment horizontal="center" vertical="center" wrapText="1"/>
    </xf>
    <xf numFmtId="0" fontId="99" fillId="0" borderId="0" xfId="0" applyFont="1" applyAlignment="1">
      <alignment horizontal="left"/>
    </xf>
    <xf numFmtId="0" fontId="103" fillId="0" borderId="72" xfId="0" applyFont="1" applyFill="1" applyBorder="1" applyAlignment="1">
      <alignment horizontal="left" vertical="center" wrapText="1"/>
    </xf>
    <xf numFmtId="0" fontId="33" fillId="0" borderId="0" xfId="0" applyFont="1" applyBorder="1" applyAlignment="1">
      <alignment horizontal="center" vertical="center" wrapText="1"/>
    </xf>
    <xf numFmtId="0" fontId="67" fillId="0" borderId="173" xfId="0" applyFont="1" applyFill="1" applyBorder="1" applyAlignment="1">
      <alignment horizontal="left" vertical="center" wrapText="1"/>
    </xf>
    <xf numFmtId="0" fontId="0" fillId="0" borderId="0" xfId="0" applyAlignment="1">
      <alignment horizontal="center" vertical="center"/>
    </xf>
    <xf numFmtId="0" fontId="0" fillId="0" borderId="0" xfId="0" applyAlignment="1">
      <alignment wrapText="1"/>
    </xf>
    <xf numFmtId="0" fontId="67" fillId="0" borderId="147" xfId="0" applyFont="1" applyFill="1" applyBorder="1" applyAlignment="1">
      <alignment horizontal="left" vertical="center"/>
    </xf>
    <xf numFmtId="0" fontId="67" fillId="0" borderId="155" xfId="0" applyFont="1" applyBorder="1" applyAlignment="1">
      <alignment horizontal="center" vertical="center" wrapText="1"/>
    </xf>
    <xf numFmtId="0" fontId="67" fillId="0" borderId="72" xfId="0" applyFont="1" applyFill="1" applyBorder="1" applyAlignment="1">
      <alignment horizontal="left" vertical="center"/>
    </xf>
    <xf numFmtId="0" fontId="0" fillId="0" borderId="0" xfId="0" applyAlignment="1">
      <alignment horizontal="center" vertical="center"/>
    </xf>
    <xf numFmtId="0" fontId="0" fillId="0" borderId="0" xfId="0" applyAlignment="1">
      <alignment wrapText="1"/>
    </xf>
    <xf numFmtId="0" fontId="128" fillId="0" borderId="198" xfId="0" applyFont="1" applyFill="1" applyBorder="1" applyAlignment="1">
      <alignment vertical="center"/>
    </xf>
    <xf numFmtId="0" fontId="159" fillId="0" borderId="198" xfId="0" applyFont="1" applyBorder="1" applyAlignment="1">
      <alignment vertical="center"/>
    </xf>
    <xf numFmtId="0" fontId="128" fillId="0" borderId="198" xfId="0" applyFont="1" applyBorder="1" applyAlignment="1">
      <alignment horizontal="center" vertical="center"/>
    </xf>
    <xf numFmtId="0" fontId="128" fillId="0" borderId="150" xfId="0" applyFont="1" applyFill="1" applyBorder="1" applyAlignment="1">
      <alignment horizontal="center" vertical="center"/>
    </xf>
    <xf numFmtId="2" fontId="128" fillId="0" borderId="0" xfId="0" applyNumberFormat="1" applyFont="1" applyAlignment="1">
      <alignment horizontal="right"/>
    </xf>
    <xf numFmtId="0" fontId="128" fillId="0" borderId="85" xfId="0" applyFont="1" applyBorder="1" applyAlignment="1">
      <alignment horizontal="center" vertical="center" wrapText="1"/>
    </xf>
    <xf numFmtId="167" fontId="128" fillId="72" borderId="174" xfId="0" applyNumberFormat="1" applyFont="1" applyFill="1" applyBorder="1" applyAlignment="1">
      <alignment horizontal="center" vertical="center" wrapText="1"/>
    </xf>
    <xf numFmtId="0" fontId="133" fillId="0" borderId="0" xfId="0" applyFont="1" applyFill="1" applyBorder="1" applyAlignment="1">
      <alignment horizontal="center" wrapText="1"/>
    </xf>
    <xf numFmtId="0" fontId="128" fillId="0" borderId="57" xfId="0" applyFont="1" applyFill="1" applyBorder="1" applyAlignment="1">
      <alignment vertical="center"/>
    </xf>
    <xf numFmtId="0" fontId="159" fillId="0" borderId="57" xfId="0" applyFont="1" applyBorder="1" applyAlignment="1">
      <alignment vertical="center"/>
    </xf>
    <xf numFmtId="0" fontId="128" fillId="0" borderId="57" xfId="0" applyFont="1" applyBorder="1" applyAlignment="1">
      <alignment horizontal="center" vertical="center"/>
    </xf>
    <xf numFmtId="0" fontId="128" fillId="0" borderId="51" xfId="0" applyFont="1" applyBorder="1" applyAlignment="1">
      <alignment horizontal="center" vertical="center" wrapText="1"/>
    </xf>
    <xf numFmtId="0" fontId="128" fillId="72" borderId="69" xfId="0" applyFont="1" applyFill="1" applyBorder="1" applyAlignment="1">
      <alignment horizontal="center" vertical="center" wrapText="1"/>
    </xf>
    <xf numFmtId="167" fontId="128" fillId="72" borderId="69" xfId="0" applyNumberFormat="1" applyFont="1" applyFill="1" applyBorder="1" applyAlignment="1">
      <alignment horizontal="center" vertical="center" wrapText="1"/>
    </xf>
    <xf numFmtId="0" fontId="128" fillId="0" borderId="23" xfId="0" applyFont="1" applyFill="1" applyBorder="1" applyAlignment="1">
      <alignment horizontal="left" vertical="center" wrapText="1"/>
    </xf>
    <xf numFmtId="0" fontId="128" fillId="0" borderId="140" xfId="0" applyFont="1" applyFill="1" applyBorder="1" applyAlignment="1">
      <alignment horizontal="left" wrapText="1"/>
    </xf>
    <xf numFmtId="0" fontId="99" fillId="0" borderId="197" xfId="0" applyFont="1" applyBorder="1" applyAlignment="1">
      <alignment horizontal="center" vertical="center"/>
    </xf>
    <xf numFmtId="0" fontId="128" fillId="72" borderId="197" xfId="0" applyFont="1" applyFill="1" applyBorder="1" applyAlignment="1">
      <alignment horizontal="center" vertical="center" wrapText="1"/>
    </xf>
    <xf numFmtId="167" fontId="128" fillId="72" borderId="197" xfId="0" applyNumberFormat="1" applyFont="1" applyFill="1" applyBorder="1" applyAlignment="1">
      <alignment horizontal="center" vertical="center" wrapText="1"/>
    </xf>
    <xf numFmtId="0" fontId="128" fillId="0" borderId="69" xfId="0" applyFont="1" applyBorder="1" applyAlignment="1">
      <alignment horizontal="center" vertical="center"/>
    </xf>
    <xf numFmtId="0" fontId="128" fillId="0" borderId="69" xfId="0" applyFont="1" applyFill="1" applyBorder="1" applyAlignment="1">
      <alignment horizontal="center" vertical="center" wrapText="1"/>
    </xf>
    <xf numFmtId="0" fontId="128" fillId="0" borderId="73" xfId="0" applyFont="1" applyBorder="1" applyAlignment="1">
      <alignment horizontal="center" vertical="center" wrapText="1"/>
    </xf>
    <xf numFmtId="0" fontId="128" fillId="0" borderId="166" xfId="0" applyFont="1" applyFill="1" applyBorder="1" applyAlignment="1">
      <alignment horizontal="left" vertical="center" wrapText="1"/>
    </xf>
    <xf numFmtId="0" fontId="128" fillId="0" borderId="147" xfId="0" applyNumberFormat="1" applyFont="1" applyBorder="1" applyAlignment="1">
      <alignment horizontal="center" vertical="center" wrapText="1"/>
    </xf>
    <xf numFmtId="0" fontId="128" fillId="0" borderId="188" xfId="0" applyFont="1" applyFill="1" applyBorder="1" applyAlignment="1">
      <alignment horizontal="left" vertical="center"/>
    </xf>
    <xf numFmtId="0" fontId="159" fillId="0" borderId="188" xfId="0" applyFont="1" applyBorder="1" applyAlignment="1">
      <alignment vertical="center"/>
    </xf>
    <xf numFmtId="0" fontId="128" fillId="0" borderId="188" xfId="0" applyFont="1" applyBorder="1" applyAlignment="1">
      <alignment horizontal="center" vertical="center"/>
    </xf>
    <xf numFmtId="0" fontId="128" fillId="0" borderId="188" xfId="0" applyFont="1" applyBorder="1" applyAlignment="1">
      <alignment horizontal="center" vertical="center" wrapText="1"/>
    </xf>
    <xf numFmtId="0" fontId="128" fillId="0" borderId="176" xfId="0" applyFont="1" applyBorder="1" applyAlignment="1">
      <alignment horizontal="center" vertical="center" wrapText="1"/>
    </xf>
    <xf numFmtId="0" fontId="74" fillId="0" borderId="57" xfId="0" applyNumberFormat="1" applyFont="1" applyFill="1" applyBorder="1" applyAlignment="1">
      <alignment horizontal="center" vertical="center" wrapText="1"/>
    </xf>
    <xf numFmtId="0" fontId="74" fillId="0" borderId="189" xfId="0" applyFont="1" applyFill="1" applyBorder="1" applyAlignment="1">
      <alignment horizontal="center" vertical="center" wrapText="1"/>
    </xf>
    <xf numFmtId="0" fontId="74" fillId="0" borderId="166" xfId="0" applyFont="1" applyFill="1" applyBorder="1" applyAlignment="1">
      <alignment horizontal="center" vertical="center" wrapText="1"/>
    </xf>
    <xf numFmtId="0" fontId="74" fillId="0" borderId="166" xfId="0" applyFont="1" applyBorder="1" applyAlignment="1">
      <alignment horizontal="center" vertical="center" wrapText="1"/>
    </xf>
    <xf numFmtId="0" fontId="74" fillId="0" borderId="193" xfId="0" applyFont="1" applyBorder="1" applyAlignment="1">
      <alignment horizontal="center" vertical="center" wrapText="1"/>
    </xf>
    <xf numFmtId="0" fontId="13" fillId="0" borderId="0" xfId="0" applyFont="1" applyFill="1" applyAlignment="1">
      <alignment horizontal="left"/>
    </xf>
    <xf numFmtId="0" fontId="103" fillId="0" borderId="84" xfId="0" applyFont="1" applyFill="1" applyBorder="1" applyAlignment="1">
      <alignment vertical="center" wrapText="1"/>
    </xf>
    <xf numFmtId="167" fontId="67" fillId="72" borderId="0" xfId="0" applyNumberFormat="1" applyFont="1" applyFill="1" applyBorder="1" applyAlignment="1">
      <alignment horizontal="center" vertical="center" wrapText="1"/>
    </xf>
    <xf numFmtId="0" fontId="41" fillId="0" borderId="0" xfId="0" applyFont="1" applyAlignment="1">
      <alignment horizontal="left"/>
    </xf>
    <xf numFmtId="0" fontId="67" fillId="0" borderId="85" xfId="0" applyFont="1" applyFill="1" applyBorder="1" applyAlignment="1">
      <alignment horizontal="justify" vertical="center"/>
    </xf>
    <xf numFmtId="0" fontId="74" fillId="0" borderId="85" xfId="0" applyFont="1" applyBorder="1" applyAlignment="1">
      <alignment horizontal="center" vertical="center" wrapText="1"/>
    </xf>
    <xf numFmtId="0" fontId="67" fillId="0" borderId="175" xfId="0" applyFont="1" applyBorder="1" applyAlignment="1">
      <alignment horizontal="center" vertical="center" wrapText="1"/>
    </xf>
    <xf numFmtId="167" fontId="67" fillId="72" borderId="85" xfId="0" applyNumberFormat="1" applyFont="1" applyFill="1" applyBorder="1" applyAlignment="1">
      <alignment horizontal="center" vertical="center" wrapText="1"/>
    </xf>
    <xf numFmtId="3" fontId="41" fillId="0" borderId="0" xfId="0" applyNumberFormat="1" applyFont="1" applyAlignment="1">
      <alignment horizontal="left"/>
    </xf>
    <xf numFmtId="0" fontId="67" fillId="0" borderId="162" xfId="0" applyFont="1" applyFill="1" applyBorder="1" applyAlignment="1">
      <alignment horizontal="left" vertical="center"/>
    </xf>
    <xf numFmtId="0" fontId="33" fillId="0" borderId="0" xfId="0" applyFont="1" applyBorder="1" applyAlignment="1">
      <alignment horizontal="center" vertical="center" wrapText="1"/>
    </xf>
    <xf numFmtId="0" fontId="67" fillId="0" borderId="173" xfId="0" applyFont="1" applyFill="1" applyBorder="1" applyAlignment="1">
      <alignment horizontal="left" vertical="center" wrapText="1"/>
    </xf>
    <xf numFmtId="0" fontId="0" fillId="0" borderId="0" xfId="0" applyAlignment="1">
      <alignment horizontal="center" vertical="center"/>
    </xf>
    <xf numFmtId="0" fontId="0" fillId="0" borderId="0" xfId="0" applyAlignment="1">
      <alignment wrapText="1"/>
    </xf>
    <xf numFmtId="0" fontId="67" fillId="0" borderId="72" xfId="0" applyFont="1" applyFill="1" applyBorder="1" applyAlignment="1">
      <alignment horizontal="justify" vertical="center"/>
    </xf>
    <xf numFmtId="0" fontId="67" fillId="0" borderId="173" xfId="0" applyFont="1" applyFill="1" applyBorder="1" applyAlignment="1">
      <alignment horizontal="justify" vertical="center"/>
    </xf>
    <xf numFmtId="167" fontId="33" fillId="0" borderId="198" xfId="0" applyNumberFormat="1" applyFont="1" applyFill="1" applyBorder="1" applyAlignment="1">
      <alignment horizontal="center" vertical="center" wrapText="1"/>
    </xf>
    <xf numFmtId="0" fontId="104" fillId="0" borderId="158" xfId="0" applyFont="1" applyBorder="1" applyAlignment="1">
      <alignment vertical="center"/>
    </xf>
    <xf numFmtId="0" fontId="128" fillId="0" borderId="57" xfId="0" applyFont="1" applyFill="1" applyBorder="1" applyAlignment="1">
      <alignment horizontal="left" vertical="center"/>
    </xf>
    <xf numFmtId="0" fontId="0" fillId="5" borderId="1" xfId="0" applyFill="1" applyBorder="1" applyAlignment="1">
      <alignment horizontal="center" textRotation="90"/>
    </xf>
    <xf numFmtId="0" fontId="0" fillId="5" borderId="18" xfId="0" applyFill="1" applyBorder="1" applyAlignment="1">
      <alignment horizontal="center" textRotation="90"/>
    </xf>
    <xf numFmtId="0" fontId="0" fillId="5" borderId="3" xfId="0" applyFill="1" applyBorder="1" applyAlignment="1">
      <alignment horizontal="center" textRotation="90"/>
    </xf>
    <xf numFmtId="0" fontId="31" fillId="0" borderId="162" xfId="0" applyFont="1" applyBorder="1" applyAlignment="1">
      <alignment horizontal="center" vertical="center" textRotation="90" wrapText="1"/>
    </xf>
    <xf numFmtId="0" fontId="31" fillId="0" borderId="96" xfId="0" applyFont="1" applyBorder="1" applyAlignment="1">
      <alignment horizontal="center" vertical="center" textRotation="90" wrapText="1"/>
    </xf>
    <xf numFmtId="0" fontId="31" fillId="0" borderId="72" xfId="0" applyFont="1" applyBorder="1" applyAlignment="1">
      <alignment horizontal="center" vertical="center" textRotation="90" wrapText="1"/>
    </xf>
    <xf numFmtId="0" fontId="34" fillId="3" borderId="161" xfId="0" applyFont="1" applyFill="1" applyBorder="1" applyAlignment="1">
      <alignment horizontal="right" vertical="center"/>
    </xf>
    <xf numFmtId="0" fontId="34" fillId="3" borderId="126" xfId="0" applyFont="1" applyFill="1" applyBorder="1" applyAlignment="1">
      <alignment horizontal="right" vertical="center"/>
    </xf>
    <xf numFmtId="0" fontId="35" fillId="10" borderId="18" xfId="9" applyFont="1" applyFill="1" applyBorder="1" applyAlignment="1">
      <alignment horizontal="center" vertical="center"/>
    </xf>
    <xf numFmtId="0" fontId="35" fillId="10" borderId="26" xfId="9" applyFont="1" applyFill="1" applyBorder="1" applyAlignment="1">
      <alignment horizontal="center" vertical="center"/>
    </xf>
    <xf numFmtId="0" fontId="38" fillId="0" borderId="5" xfId="0" applyFont="1" applyBorder="1" applyAlignment="1">
      <alignment horizontal="center" textRotation="90" wrapText="1"/>
    </xf>
    <xf numFmtId="0" fontId="38" fillId="0" borderId="6" xfId="0" applyFont="1" applyBorder="1" applyAlignment="1">
      <alignment horizontal="center" textRotation="90" wrapText="1"/>
    </xf>
    <xf numFmtId="0" fontId="38" fillId="0" borderId="5" xfId="0" applyFont="1" applyBorder="1" applyAlignment="1">
      <alignment horizontal="center" wrapText="1"/>
    </xf>
    <xf numFmtId="0" fontId="38" fillId="0" borderId="8" xfId="0" applyFont="1" applyBorder="1" applyAlignment="1">
      <alignment horizontal="center" wrapText="1"/>
    </xf>
    <xf numFmtId="0" fontId="38" fillId="0" borderId="6" xfId="0" applyFont="1" applyBorder="1" applyAlignment="1">
      <alignment horizontal="center" wrapText="1"/>
    </xf>
    <xf numFmtId="0" fontId="37" fillId="12" borderId="9" xfId="0" applyFont="1" applyFill="1" applyBorder="1" applyAlignment="1">
      <alignment horizontal="center"/>
    </xf>
    <xf numFmtId="0" fontId="37" fillId="12" borderId="11" xfId="0" applyFont="1" applyFill="1" applyBorder="1" applyAlignment="1">
      <alignment horizontal="center"/>
    </xf>
    <xf numFmtId="0" fontId="38" fillId="0" borderId="8" xfId="0" applyFont="1" applyBorder="1" applyAlignment="1">
      <alignment horizontal="center" textRotation="90" wrapText="1"/>
    </xf>
    <xf numFmtId="49" fontId="38" fillId="0" borderId="5" xfId="0" applyNumberFormat="1" applyFont="1" applyBorder="1" applyAlignment="1">
      <alignment horizontal="center" textRotation="90" wrapText="1"/>
    </xf>
    <xf numFmtId="49" fontId="38" fillId="0" borderId="8" xfId="0" applyNumberFormat="1" applyFont="1" applyBorder="1" applyAlignment="1">
      <alignment horizontal="center" textRotation="90" wrapText="1"/>
    </xf>
    <xf numFmtId="49" fontId="38" fillId="0" borderId="6" xfId="0" applyNumberFormat="1" applyFont="1" applyBorder="1" applyAlignment="1">
      <alignment horizontal="center" textRotation="90" wrapText="1"/>
    </xf>
    <xf numFmtId="0" fontId="34" fillId="3" borderId="1" xfId="0" applyFont="1" applyFill="1" applyBorder="1" applyAlignment="1">
      <alignment horizontal="right" vertical="center"/>
    </xf>
    <xf numFmtId="0" fontId="34" fillId="3" borderId="25" xfId="0" applyFont="1" applyFill="1" applyBorder="1" applyAlignment="1">
      <alignment horizontal="right" vertical="center"/>
    </xf>
    <xf numFmtId="0" fontId="37" fillId="12" borderId="9" xfId="0" applyFont="1" applyFill="1" applyBorder="1" applyAlignment="1">
      <alignment horizontal="center" vertical="center" wrapText="1"/>
    </xf>
    <xf numFmtId="0" fontId="37" fillId="12" borderId="11" xfId="0" applyFont="1" applyFill="1" applyBorder="1" applyAlignment="1">
      <alignment horizontal="center" vertical="center" wrapText="1"/>
    </xf>
    <xf numFmtId="0" fontId="34" fillId="3" borderId="9" xfId="0" applyFont="1" applyFill="1" applyBorder="1" applyAlignment="1">
      <alignment horizontal="left" vertical="center"/>
    </xf>
    <xf numFmtId="0" fontId="34" fillId="3" borderId="10" xfId="0" applyFont="1" applyFill="1" applyBorder="1" applyAlignment="1">
      <alignment horizontal="left" vertical="center"/>
    </xf>
    <xf numFmtId="0" fontId="34" fillId="3" borderId="11" xfId="0" applyFont="1" applyFill="1" applyBorder="1" applyAlignment="1">
      <alignment horizontal="left" vertical="center"/>
    </xf>
    <xf numFmtId="0" fontId="37" fillId="12" borderId="3" xfId="0" applyFont="1" applyFill="1" applyBorder="1" applyAlignment="1">
      <alignment horizontal="center"/>
    </xf>
    <xf numFmtId="0" fontId="37" fillId="12" borderId="4" xfId="0" applyFont="1" applyFill="1" applyBorder="1" applyAlignment="1">
      <alignment horizontal="center"/>
    </xf>
    <xf numFmtId="0" fontId="34" fillId="3" borderId="9" xfId="1" applyFont="1" applyFill="1" applyBorder="1" applyAlignment="1">
      <alignment horizontal="right" wrapText="1"/>
    </xf>
    <xf numFmtId="0" fontId="34" fillId="3" borderId="10" xfId="1" applyFont="1" applyFill="1" applyBorder="1" applyAlignment="1">
      <alignment horizontal="right" wrapText="1"/>
    </xf>
    <xf numFmtId="0" fontId="2" fillId="3" borderId="9" xfId="1" applyFont="1" applyFill="1" applyBorder="1" applyAlignment="1">
      <alignment horizontal="center" vertical="center"/>
    </xf>
    <xf numFmtId="0" fontId="2" fillId="3" borderId="10" xfId="1" applyFont="1" applyFill="1" applyBorder="1" applyAlignment="1">
      <alignment horizontal="center" vertical="center"/>
    </xf>
    <xf numFmtId="0" fontId="2" fillId="3" borderId="11" xfId="1" applyFont="1" applyFill="1" applyBorder="1" applyAlignment="1">
      <alignment horizontal="center" vertical="center"/>
    </xf>
    <xf numFmtId="0" fontId="3" fillId="0" borderId="10" xfId="1" applyFont="1" applyBorder="1" applyAlignment="1">
      <alignment horizontal="center"/>
    </xf>
    <xf numFmtId="0" fontId="3" fillId="0" borderId="11" xfId="1" applyFont="1" applyBorder="1" applyAlignment="1">
      <alignment horizontal="center"/>
    </xf>
    <xf numFmtId="0" fontId="23" fillId="5" borderId="1" xfId="0" applyFont="1" applyFill="1" applyBorder="1" applyAlignment="1">
      <alignment horizontal="center"/>
    </xf>
    <xf numFmtId="0" fontId="23" fillId="5" borderId="3" xfId="0" applyFont="1" applyFill="1" applyBorder="1" applyAlignment="1">
      <alignment horizontal="center"/>
    </xf>
    <xf numFmtId="0" fontId="23" fillId="5" borderId="5" xfId="0" applyFont="1" applyFill="1" applyBorder="1" applyAlignment="1">
      <alignment horizontal="center"/>
    </xf>
    <xf numFmtId="0" fontId="23" fillId="5" borderId="6" xfId="0" applyFont="1" applyFill="1" applyBorder="1" applyAlignment="1">
      <alignment horizontal="center"/>
    </xf>
    <xf numFmtId="0" fontId="0" fillId="5" borderId="5" xfId="0" applyFill="1" applyBorder="1"/>
    <xf numFmtId="0" fontId="0" fillId="5" borderId="8" xfId="0" applyFill="1" applyBorder="1"/>
    <xf numFmtId="0" fontId="0" fillId="5" borderId="1" xfId="0" applyFill="1" applyBorder="1"/>
    <xf numFmtId="0" fontId="0" fillId="5" borderId="18" xfId="0" applyFill="1" applyBorder="1"/>
    <xf numFmtId="0" fontId="0" fillId="5" borderId="8" xfId="0" applyFill="1" applyBorder="1" applyAlignment="1">
      <alignment horizontal="center" vertical="center" wrapText="1"/>
    </xf>
    <xf numFmtId="0" fontId="0" fillId="5" borderId="6" xfId="0" applyFill="1" applyBorder="1" applyAlignment="1">
      <alignment horizontal="center" vertical="center" wrapText="1"/>
    </xf>
    <xf numFmtId="0" fontId="0" fillId="5" borderId="1" xfId="0" applyFill="1" applyBorder="1" applyAlignment="1">
      <alignment horizontal="center" vertical="center" textRotation="90"/>
    </xf>
    <xf numFmtId="0" fontId="0" fillId="5" borderId="18" xfId="0" applyFill="1" applyBorder="1" applyAlignment="1">
      <alignment horizontal="center" vertical="center" textRotation="90"/>
    </xf>
    <xf numFmtId="0" fontId="0" fillId="5" borderId="3" xfId="0" applyFill="1" applyBorder="1" applyAlignment="1">
      <alignment horizontal="center" vertical="center" textRotation="90"/>
    </xf>
    <xf numFmtId="0" fontId="23" fillId="5" borderId="5" xfId="0" applyFont="1" applyFill="1" applyBorder="1" applyAlignment="1">
      <alignment horizontal="center" vertical="center"/>
    </xf>
    <xf numFmtId="0" fontId="23" fillId="5" borderId="6" xfId="0" applyFont="1"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0" fontId="11" fillId="3" borderId="9" xfId="1" applyFont="1" applyFill="1" applyBorder="1" applyAlignment="1">
      <alignment horizontal="left" vertical="center" wrapText="1"/>
    </xf>
    <xf numFmtId="0" fontId="11" fillId="3" borderId="10" xfId="1" applyFont="1" applyFill="1" applyBorder="1" applyAlignment="1">
      <alignment horizontal="left" vertical="center" wrapText="1"/>
    </xf>
    <xf numFmtId="0" fontId="11" fillId="3" borderId="11" xfId="1" applyFont="1" applyFill="1" applyBorder="1" applyAlignment="1">
      <alignment horizontal="left" vertical="center" wrapText="1"/>
    </xf>
    <xf numFmtId="0" fontId="5" fillId="74" borderId="9" xfId="94" applyFont="1" applyFill="1" applyBorder="1" applyAlignment="1">
      <alignment horizontal="center"/>
    </xf>
    <xf numFmtId="0" fontId="5" fillId="74" borderId="11" xfId="94" applyFont="1" applyFill="1" applyBorder="1" applyAlignment="1">
      <alignment horizontal="center"/>
    </xf>
    <xf numFmtId="0" fontId="5" fillId="75" borderId="5" xfId="94" applyFont="1" applyFill="1" applyBorder="1" applyAlignment="1">
      <alignment horizontal="center" vertical="center" textRotation="90" wrapText="1"/>
    </xf>
    <xf numFmtId="0" fontId="5" fillId="75" borderId="8" xfId="94" applyFont="1" applyFill="1" applyBorder="1" applyAlignment="1">
      <alignment horizontal="center" vertical="center" textRotation="90" wrapText="1"/>
    </xf>
    <xf numFmtId="0" fontId="5" fillId="75" borderId="6" xfId="94" applyFont="1" applyFill="1" applyBorder="1" applyAlignment="1">
      <alignment horizontal="center" vertical="center" textRotation="90" wrapText="1"/>
    </xf>
    <xf numFmtId="0" fontId="23" fillId="8" borderId="38" xfId="0" applyFont="1" applyFill="1" applyBorder="1" applyAlignment="1">
      <alignment horizontal="center" textRotation="90"/>
    </xf>
    <xf numFmtId="0" fontId="23" fillId="8" borderId="8" xfId="0" applyFont="1" applyFill="1" applyBorder="1" applyAlignment="1">
      <alignment horizontal="center" textRotation="90"/>
    </xf>
    <xf numFmtId="0" fontId="23" fillId="8" borderId="37" xfId="0" applyFont="1" applyFill="1" applyBorder="1" applyAlignment="1">
      <alignment horizontal="center" textRotation="90"/>
    </xf>
    <xf numFmtId="0" fontId="11" fillId="3" borderId="9" xfId="1" applyFont="1" applyFill="1" applyBorder="1" applyAlignment="1">
      <alignment horizontal="right" vertical="center" wrapText="1"/>
    </xf>
    <xf numFmtId="0" fontId="11" fillId="3" borderId="10" xfId="1" applyFont="1" applyFill="1" applyBorder="1" applyAlignment="1">
      <alignment horizontal="right" vertical="center" wrapText="1"/>
    </xf>
    <xf numFmtId="0" fontId="23" fillId="8" borderId="5" xfId="0" applyFont="1" applyFill="1" applyBorder="1" applyAlignment="1">
      <alignment horizontal="center" textRotation="90"/>
    </xf>
    <xf numFmtId="0" fontId="23" fillId="8" borderId="6" xfId="0" applyFont="1" applyFill="1" applyBorder="1" applyAlignment="1">
      <alignment horizontal="center" textRotation="90"/>
    </xf>
    <xf numFmtId="0" fontId="3" fillId="0" borderId="5"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58" fillId="11" borderId="3" xfId="0" applyFont="1" applyFill="1" applyBorder="1" applyAlignment="1">
      <alignment horizontal="center"/>
    </xf>
    <xf numFmtId="0" fontId="58" fillId="11" borderId="184" xfId="0" applyFont="1" applyFill="1" applyBorder="1" applyAlignment="1">
      <alignment horizontal="center"/>
    </xf>
    <xf numFmtId="0" fontId="3" fillId="5" borderId="5" xfId="0" applyFont="1" applyFill="1" applyBorder="1" applyAlignment="1">
      <alignment horizontal="center" vertical="center" textRotation="90"/>
    </xf>
    <xf numFmtId="0" fontId="0" fillId="5" borderId="6" xfId="0" applyFill="1" applyBorder="1" applyAlignment="1">
      <alignment horizontal="center" vertical="center" textRotation="90"/>
    </xf>
    <xf numFmtId="0" fontId="0" fillId="5" borderId="8" xfId="0" applyFill="1" applyBorder="1" applyAlignment="1">
      <alignment horizontal="center" vertical="center" textRotation="90"/>
    </xf>
    <xf numFmtId="0" fontId="0" fillId="5" borderId="5" xfId="0" applyFill="1" applyBorder="1" applyAlignment="1">
      <alignment horizontal="center" vertical="center" textRotation="90"/>
    </xf>
    <xf numFmtId="0" fontId="56" fillId="10" borderId="1" xfId="9" applyFont="1" applyFill="1" applyBorder="1" applyAlignment="1">
      <alignment horizontal="center"/>
    </xf>
    <xf numFmtId="0" fontId="56" fillId="10" borderId="70" xfId="9" applyFont="1" applyFill="1" applyBorder="1" applyAlignment="1">
      <alignment horizontal="center"/>
    </xf>
    <xf numFmtId="0" fontId="3" fillId="5" borderId="1" xfId="0" applyFont="1" applyFill="1" applyBorder="1" applyAlignment="1">
      <alignment horizontal="center" vertical="center" textRotation="90"/>
    </xf>
    <xf numFmtId="0" fontId="56" fillId="10" borderId="25" xfId="9" applyFont="1" applyFill="1" applyBorder="1" applyAlignment="1">
      <alignment horizontal="center"/>
    </xf>
    <xf numFmtId="0" fontId="3" fillId="5" borderId="18" xfId="0" applyFont="1" applyFill="1" applyBorder="1" applyAlignment="1">
      <alignment horizontal="center" vertical="center" textRotation="90"/>
    </xf>
    <xf numFmtId="0" fontId="3" fillId="0" borderId="1" xfId="0" applyFont="1" applyFill="1" applyBorder="1" applyAlignment="1">
      <alignment horizontal="center" vertical="center" textRotation="90"/>
    </xf>
    <xf numFmtId="0" fontId="3" fillId="0" borderId="18" xfId="0" applyFont="1" applyFill="1" applyBorder="1" applyAlignment="1">
      <alignment horizontal="center" vertical="center" textRotation="90"/>
    </xf>
    <xf numFmtId="0" fontId="3" fillId="0" borderId="3" xfId="0" applyFont="1" applyFill="1" applyBorder="1" applyAlignment="1">
      <alignment horizontal="center" vertical="center" textRotation="90"/>
    </xf>
    <xf numFmtId="0" fontId="3" fillId="0" borderId="1"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19" xfId="0" applyFont="1" applyFill="1" applyBorder="1" applyAlignment="1">
      <alignment horizontal="center" vertical="center" textRotation="90"/>
    </xf>
    <xf numFmtId="0" fontId="3" fillId="0" borderId="140" xfId="0" applyFont="1" applyFill="1" applyBorder="1" applyAlignment="1">
      <alignment horizontal="center" vertical="center" textRotation="90"/>
    </xf>
    <xf numFmtId="0" fontId="3" fillId="0" borderId="173" xfId="0" applyFont="1" applyFill="1" applyBorder="1" applyAlignment="1">
      <alignment horizontal="center" vertical="center" textRotation="90"/>
    </xf>
    <xf numFmtId="0" fontId="64" fillId="10" borderId="1" xfId="9" applyFont="1" applyFill="1" applyBorder="1" applyAlignment="1">
      <alignment horizontal="center" vertical="center"/>
    </xf>
    <xf numFmtId="0" fontId="64" fillId="10" borderId="2" xfId="9" applyFont="1" applyFill="1" applyBorder="1" applyAlignment="1">
      <alignment horizontal="center" vertical="center"/>
    </xf>
    <xf numFmtId="0" fontId="3" fillId="5" borderId="8" xfId="0" applyFont="1" applyFill="1" applyBorder="1" applyAlignment="1">
      <alignment horizontal="center" vertical="center" textRotation="90"/>
    </xf>
    <xf numFmtId="0" fontId="76" fillId="73" borderId="9" xfId="9" applyFont="1" applyFill="1" applyBorder="1" applyAlignment="1">
      <alignment horizontal="left" wrapText="1"/>
    </xf>
    <xf numFmtId="0" fontId="0" fillId="0" borderId="10" xfId="0" applyBorder="1" applyAlignment="1">
      <alignment horizontal="left"/>
    </xf>
    <xf numFmtId="0" fontId="0" fillId="0" borderId="11" xfId="0" applyBorder="1" applyAlignment="1">
      <alignment horizontal="left"/>
    </xf>
    <xf numFmtId="0" fontId="11" fillId="3" borderId="9" xfId="1" applyFont="1" applyFill="1" applyBorder="1" applyAlignment="1">
      <alignment horizontal="center" vertical="center" wrapText="1"/>
    </xf>
    <xf numFmtId="0" fontId="11" fillId="3" borderId="10" xfId="1" applyFont="1" applyFill="1" applyBorder="1" applyAlignment="1">
      <alignment horizontal="center" vertical="center" wrapText="1"/>
    </xf>
    <xf numFmtId="0" fontId="11" fillId="3" borderId="11" xfId="1" applyFont="1" applyFill="1" applyBorder="1" applyAlignment="1">
      <alignment horizontal="center" vertical="center" wrapText="1"/>
    </xf>
    <xf numFmtId="0" fontId="76" fillId="73" borderId="10" xfId="9" applyFont="1" applyFill="1" applyBorder="1" applyAlignment="1">
      <alignment horizontal="center" wrapText="1"/>
    </xf>
    <xf numFmtId="0" fontId="76" fillId="73" borderId="11" xfId="9" applyFont="1" applyFill="1" applyBorder="1" applyAlignment="1">
      <alignment horizontal="center" wrapText="1"/>
    </xf>
    <xf numFmtId="0" fontId="3" fillId="5" borderId="3" xfId="0" applyFont="1" applyFill="1" applyBorder="1" applyAlignment="1">
      <alignment horizontal="center" vertical="center" textRotation="90"/>
    </xf>
    <xf numFmtId="0" fontId="15" fillId="3" borderId="25" xfId="1" applyFont="1" applyFill="1" applyBorder="1" applyAlignment="1">
      <alignment horizontal="center" vertical="center"/>
    </xf>
    <xf numFmtId="0" fontId="15" fillId="3" borderId="2" xfId="1" applyFont="1" applyFill="1" applyBorder="1" applyAlignment="1">
      <alignment horizontal="center" vertical="center"/>
    </xf>
    <xf numFmtId="0" fontId="33" fillId="0" borderId="1" xfId="0" applyFont="1" applyBorder="1" applyAlignment="1">
      <alignment horizontal="center" vertical="center" textRotation="90"/>
    </xf>
    <xf numFmtId="0" fontId="33" fillId="0" borderId="18" xfId="0" applyFont="1" applyBorder="1" applyAlignment="1">
      <alignment horizontal="center" vertical="center" textRotation="90"/>
    </xf>
    <xf numFmtId="0" fontId="33" fillId="0" borderId="3" xfId="0" applyFont="1" applyBorder="1" applyAlignment="1">
      <alignment horizontal="center" vertical="center" textRotation="90"/>
    </xf>
    <xf numFmtId="0" fontId="33" fillId="0" borderId="55" xfId="0" applyFont="1" applyBorder="1" applyAlignment="1">
      <alignment horizontal="center" vertical="center"/>
    </xf>
    <xf numFmtId="0" fontId="33" fillId="0" borderId="149" xfId="0" applyFont="1" applyBorder="1" applyAlignment="1">
      <alignment horizontal="center" vertical="center"/>
    </xf>
    <xf numFmtId="0" fontId="33" fillId="8" borderId="18" xfId="0" applyFont="1" applyFill="1" applyBorder="1" applyAlignment="1">
      <alignment horizontal="center" vertical="center" textRotation="90"/>
    </xf>
    <xf numFmtId="0" fontId="33" fillId="8" borderId="3" xfId="0" applyFont="1" applyFill="1" applyBorder="1" applyAlignment="1">
      <alignment horizontal="center" vertical="center" textRotation="90"/>
    </xf>
    <xf numFmtId="0" fontId="33" fillId="8" borderId="1" xfId="0" applyFont="1" applyFill="1" applyBorder="1" applyAlignment="1">
      <alignment horizontal="center" vertical="center" textRotation="90"/>
    </xf>
    <xf numFmtId="0" fontId="33" fillId="8" borderId="5" xfId="0" applyFont="1" applyFill="1" applyBorder="1" applyAlignment="1">
      <alignment horizontal="center" vertical="center" textRotation="90"/>
    </xf>
    <xf numFmtId="0" fontId="33" fillId="8" borderId="8" xfId="0" applyFont="1" applyFill="1" applyBorder="1" applyAlignment="1">
      <alignment horizontal="center" vertical="center" textRotation="90"/>
    </xf>
    <xf numFmtId="0" fontId="33" fillId="8" borderId="6" xfId="0" applyFont="1" applyFill="1" applyBorder="1" applyAlignment="1">
      <alignment horizontal="center" vertical="center" textRotation="90"/>
    </xf>
    <xf numFmtId="0" fontId="98" fillId="0" borderId="1" xfId="0" applyFont="1" applyBorder="1" applyAlignment="1">
      <alignment horizontal="left" vertical="center"/>
    </xf>
    <xf numFmtId="0" fontId="98" fillId="0" borderId="25" xfId="0" applyFont="1" applyBorder="1" applyAlignment="1">
      <alignment horizontal="left" vertical="center"/>
    </xf>
    <xf numFmtId="0" fontId="98" fillId="0" borderId="2" xfId="0" applyFont="1" applyBorder="1" applyAlignment="1">
      <alignment horizontal="left" vertical="center"/>
    </xf>
    <xf numFmtId="0" fontId="98" fillId="0" borderId="18" xfId="0" applyFont="1" applyBorder="1" applyAlignment="1">
      <alignment horizontal="left" vertical="center" wrapText="1"/>
    </xf>
    <xf numFmtId="0" fontId="98" fillId="0" borderId="0" xfId="0" applyFont="1" applyBorder="1" applyAlignment="1">
      <alignment horizontal="left" vertical="center" wrapText="1"/>
    </xf>
    <xf numFmtId="0" fontId="98" fillId="0" borderId="26" xfId="0" applyFont="1" applyBorder="1" applyAlignment="1">
      <alignment horizontal="left" vertical="center" wrapText="1"/>
    </xf>
    <xf numFmtId="0" fontId="98" fillId="0" borderId="3" xfId="0" applyFont="1" applyBorder="1" applyAlignment="1">
      <alignment horizontal="left" vertical="center" wrapText="1"/>
    </xf>
    <xf numFmtId="0" fontId="98" fillId="0" borderId="27" xfId="0" applyFont="1" applyBorder="1" applyAlignment="1">
      <alignment horizontal="left" vertical="center" wrapText="1"/>
    </xf>
    <xf numFmtId="0" fontId="98" fillId="0" borderId="4" xfId="0" applyFont="1" applyBorder="1" applyAlignment="1">
      <alignment horizontal="left" vertical="center" wrapText="1"/>
    </xf>
    <xf numFmtId="0" fontId="33" fillId="0" borderId="5" xfId="0" applyFont="1" applyBorder="1" applyAlignment="1">
      <alignment horizontal="center" vertical="center" textRotation="90"/>
    </xf>
    <xf numFmtId="0" fontId="33" fillId="0" borderId="8" xfId="0" applyFont="1" applyBorder="1" applyAlignment="1">
      <alignment horizontal="center" vertical="center" textRotation="90"/>
    </xf>
    <xf numFmtId="0" fontId="33" fillId="0" borderId="6" xfId="0" applyFont="1" applyBorder="1" applyAlignment="1">
      <alignment horizontal="center" vertical="center" textRotation="90"/>
    </xf>
    <xf numFmtId="0" fontId="67" fillId="0" borderId="23" xfId="0" applyFont="1" applyFill="1" applyBorder="1" applyAlignment="1">
      <alignment horizontal="left" vertical="center" wrapText="1"/>
    </xf>
    <xf numFmtId="0" fontId="67" fillId="0" borderId="96" xfId="0" applyFont="1" applyFill="1" applyBorder="1" applyAlignment="1">
      <alignment horizontal="left" vertical="center" wrapText="1"/>
    </xf>
    <xf numFmtId="0" fontId="67" fillId="0" borderId="84" xfId="0" applyFont="1" applyFill="1" applyBorder="1" applyAlignment="1">
      <alignment horizontal="left" vertical="center" wrapText="1"/>
    </xf>
    <xf numFmtId="0" fontId="33" fillId="0" borderId="5" xfId="0" applyFont="1" applyBorder="1" applyAlignment="1">
      <alignment horizontal="center" textRotation="90"/>
    </xf>
    <xf numFmtId="0" fontId="33" fillId="0" borderId="6" xfId="0" applyFont="1" applyBorder="1" applyAlignment="1">
      <alignment horizontal="center" textRotation="90"/>
    </xf>
    <xf numFmtId="0" fontId="67" fillId="0" borderId="162" xfId="0" applyFont="1" applyFill="1" applyBorder="1" applyAlignment="1">
      <alignment horizontal="left" vertical="center"/>
    </xf>
    <xf numFmtId="0" fontId="67" fillId="0" borderId="72" xfId="0" applyFont="1" applyFill="1" applyBorder="1" applyAlignment="1">
      <alignment horizontal="left" vertical="center"/>
    </xf>
    <xf numFmtId="0" fontId="56" fillId="10" borderId="9" xfId="9" applyFont="1" applyFill="1" applyBorder="1" applyAlignment="1">
      <alignment horizontal="center"/>
    </xf>
    <xf numFmtId="0" fontId="56" fillId="10" borderId="89" xfId="9" applyFont="1" applyFill="1" applyBorder="1" applyAlignment="1">
      <alignment horizontal="center"/>
    </xf>
    <xf numFmtId="0" fontId="3" fillId="5" borderId="5" xfId="0" applyFont="1" applyFill="1" applyBorder="1" applyAlignment="1">
      <alignment horizontal="center" vertical="center" textRotation="90" wrapText="1"/>
    </xf>
    <xf numFmtId="0" fontId="3" fillId="5" borderId="6" xfId="0" applyFont="1" applyFill="1" applyBorder="1" applyAlignment="1">
      <alignment horizontal="center" vertical="center" textRotation="90" wrapText="1"/>
    </xf>
    <xf numFmtId="0" fontId="3" fillId="5" borderId="8" xfId="0" applyFont="1" applyFill="1" applyBorder="1" applyAlignment="1">
      <alignment horizontal="center" vertical="center" textRotation="90" wrapText="1"/>
    </xf>
    <xf numFmtId="0" fontId="64" fillId="10" borderId="9" xfId="9" applyFont="1" applyFill="1" applyBorder="1" applyAlignment="1">
      <alignment horizontal="center" vertical="center" wrapText="1"/>
    </xf>
    <xf numFmtId="0" fontId="64" fillId="10" borderId="11" xfId="9" applyFont="1" applyFill="1" applyBorder="1" applyAlignment="1">
      <alignment horizontal="center" vertical="center" wrapText="1"/>
    </xf>
    <xf numFmtId="0" fontId="0" fillId="5" borderId="1" xfId="0" applyFill="1" applyBorder="1" applyAlignment="1">
      <alignment horizontal="center" vertical="center" textRotation="90" wrapText="1"/>
    </xf>
    <xf numFmtId="0" fontId="0" fillId="5" borderId="18" xfId="0" applyFill="1" applyBorder="1" applyAlignment="1">
      <alignment horizontal="center" vertical="center" textRotation="90" wrapText="1"/>
    </xf>
    <xf numFmtId="0" fontId="0" fillId="5" borderId="3" xfId="0" applyFill="1" applyBorder="1" applyAlignment="1">
      <alignment horizontal="center" vertical="center" textRotation="90" wrapText="1"/>
    </xf>
    <xf numFmtId="0" fontId="72" fillId="7" borderId="9" xfId="0" applyFont="1" applyFill="1" applyBorder="1" applyAlignment="1">
      <alignment horizontal="center" vertical="center" wrapText="1"/>
    </xf>
    <xf numFmtId="0" fontId="72" fillId="7" borderId="11" xfId="0" applyFont="1" applyFill="1" applyBorder="1" applyAlignment="1">
      <alignment horizontal="center" vertical="center" wrapText="1"/>
    </xf>
    <xf numFmtId="0" fontId="0" fillId="0" borderId="5" xfId="0" applyBorder="1" applyAlignment="1">
      <alignment horizontal="center" vertical="center" textRotation="90"/>
    </xf>
    <xf numFmtId="0" fontId="0" fillId="0" borderId="8" xfId="0" applyBorder="1" applyAlignment="1">
      <alignment horizontal="center" vertical="center" textRotation="90"/>
    </xf>
    <xf numFmtId="0" fontId="0" fillId="0" borderId="6" xfId="0" applyBorder="1" applyAlignment="1">
      <alignment horizontal="center" vertical="center" textRotation="90"/>
    </xf>
    <xf numFmtId="0" fontId="23" fillId="8" borderId="18" xfId="0" applyFont="1" applyFill="1" applyBorder="1" applyAlignment="1">
      <alignment horizontal="center" vertical="center" textRotation="90"/>
    </xf>
    <xf numFmtId="0" fontId="23" fillId="8" borderId="5" xfId="0" applyFont="1" applyFill="1" applyBorder="1" applyAlignment="1">
      <alignment horizontal="center" vertical="center" textRotation="90"/>
    </xf>
    <xf numFmtId="0" fontId="23" fillId="8" borderId="8" xfId="0" applyFont="1" applyFill="1" applyBorder="1" applyAlignment="1">
      <alignment horizontal="center" vertical="center" textRotation="90"/>
    </xf>
    <xf numFmtId="0" fontId="23" fillId="8" borderId="6" xfId="0" applyFont="1" applyFill="1" applyBorder="1" applyAlignment="1">
      <alignment horizontal="center" vertical="center" textRotation="90"/>
    </xf>
    <xf numFmtId="0" fontId="23" fillId="8" borderId="1" xfId="0" applyFont="1" applyFill="1" applyBorder="1" applyAlignment="1">
      <alignment horizontal="center" vertical="center" textRotation="90"/>
    </xf>
    <xf numFmtId="0" fontId="23" fillId="8" borderId="3" xfId="0" applyFont="1" applyFill="1" applyBorder="1" applyAlignment="1">
      <alignment horizontal="center" vertical="center" textRotation="90"/>
    </xf>
    <xf numFmtId="0" fontId="23" fillId="0" borderId="1" xfId="0" applyFont="1" applyBorder="1" applyAlignment="1">
      <alignment horizontal="center" vertical="center" textRotation="90" wrapText="1"/>
    </xf>
    <xf numFmtId="0" fontId="23" fillId="0" borderId="18" xfId="0" applyFont="1" applyBorder="1" applyAlignment="1">
      <alignment horizontal="center" vertical="center" textRotation="90" wrapText="1"/>
    </xf>
    <xf numFmtId="0" fontId="23" fillId="0" borderId="3" xfId="0" applyFont="1" applyBorder="1" applyAlignment="1">
      <alignment horizontal="center" vertical="center" textRotation="90" wrapText="1"/>
    </xf>
    <xf numFmtId="0" fontId="0" fillId="0" borderId="1" xfId="0" applyBorder="1" applyAlignment="1">
      <alignment horizontal="center" vertical="center" textRotation="90"/>
    </xf>
    <xf numFmtId="0" fontId="0" fillId="0" borderId="18" xfId="0" applyBorder="1" applyAlignment="1">
      <alignment horizontal="center" vertical="center" textRotation="90"/>
    </xf>
    <xf numFmtId="0" fontId="0" fillId="0" borderId="3" xfId="0" applyBorder="1" applyAlignment="1">
      <alignment horizontal="center" vertical="center" textRotation="90"/>
    </xf>
    <xf numFmtId="0" fontId="23" fillId="0" borderId="1" xfId="0" applyFont="1" applyBorder="1" applyAlignment="1">
      <alignment horizontal="center" vertical="center" textRotation="90"/>
    </xf>
    <xf numFmtId="0" fontId="23" fillId="0" borderId="18" xfId="0" applyFont="1" applyBorder="1" applyAlignment="1">
      <alignment horizontal="center" vertical="center" textRotation="90"/>
    </xf>
    <xf numFmtId="0" fontId="23" fillId="0" borderId="3" xfId="0" applyFont="1" applyBorder="1" applyAlignment="1">
      <alignment horizontal="center" vertical="center" textRotation="90"/>
    </xf>
    <xf numFmtId="0" fontId="116" fillId="0" borderId="18" xfId="0" applyFont="1" applyBorder="1" applyAlignment="1">
      <alignment horizontal="left" vertical="center" wrapText="1"/>
    </xf>
    <xf numFmtId="0" fontId="116" fillId="0" borderId="0" xfId="0" applyFont="1" applyBorder="1" applyAlignment="1">
      <alignment horizontal="left" vertical="center" wrapText="1"/>
    </xf>
    <xf numFmtId="0" fontId="116" fillId="0" borderId="26" xfId="0" applyFont="1" applyBorder="1" applyAlignment="1">
      <alignment horizontal="left" vertical="center" wrapText="1"/>
    </xf>
    <xf numFmtId="0" fontId="116" fillId="0" borderId="3" xfId="0" applyFont="1" applyBorder="1" applyAlignment="1">
      <alignment horizontal="left" vertical="center" wrapText="1"/>
    </xf>
    <xf numFmtId="0" fontId="116" fillId="0" borderId="27" xfId="0" applyFont="1" applyBorder="1" applyAlignment="1">
      <alignment horizontal="left" vertical="center" wrapText="1"/>
    </xf>
    <xf numFmtId="0" fontId="116" fillId="0" borderId="4" xfId="0" applyFont="1" applyBorder="1" applyAlignment="1">
      <alignment horizontal="left" vertical="center" wrapText="1"/>
    </xf>
    <xf numFmtId="0" fontId="75" fillId="80" borderId="186" xfId="0" applyFont="1" applyFill="1" applyBorder="1" applyAlignment="1">
      <alignment horizontal="center" vertical="center" textRotation="90"/>
    </xf>
    <xf numFmtId="0" fontId="75" fillId="80" borderId="8" xfId="0" applyFont="1" applyFill="1" applyBorder="1" applyAlignment="1">
      <alignment horizontal="center" vertical="center" textRotation="90"/>
    </xf>
    <xf numFmtId="0" fontId="75" fillId="80" borderId="185" xfId="0" applyFont="1" applyFill="1" applyBorder="1" applyAlignment="1">
      <alignment horizontal="center" vertical="center" textRotation="90"/>
    </xf>
    <xf numFmtId="0" fontId="75" fillId="81" borderId="186" xfId="0" applyFont="1" applyFill="1" applyBorder="1" applyAlignment="1">
      <alignment horizontal="center" vertical="center" textRotation="90"/>
    </xf>
    <xf numFmtId="0" fontId="75" fillId="81" borderId="8" xfId="0" applyFont="1" applyFill="1" applyBorder="1" applyAlignment="1">
      <alignment horizontal="center" vertical="center" textRotation="90"/>
    </xf>
    <xf numFmtId="0" fontId="75" fillId="81" borderId="185" xfId="0" applyFont="1" applyFill="1" applyBorder="1" applyAlignment="1">
      <alignment horizontal="center" vertical="center" textRotation="90"/>
    </xf>
    <xf numFmtId="0" fontId="116" fillId="0" borderId="1" xfId="0" applyFont="1" applyBorder="1" applyAlignment="1">
      <alignment horizontal="left" vertical="center"/>
    </xf>
    <xf numFmtId="0" fontId="116" fillId="0" borderId="25" xfId="0" applyFont="1" applyBorder="1" applyAlignment="1">
      <alignment horizontal="left" vertical="center"/>
    </xf>
    <xf numFmtId="0" fontId="116" fillId="0" borderId="2" xfId="0" applyFont="1" applyBorder="1" applyAlignment="1">
      <alignment horizontal="left" vertical="center"/>
    </xf>
    <xf numFmtId="0" fontId="75" fillId="80" borderId="5" xfId="0" applyFont="1" applyFill="1" applyBorder="1" applyAlignment="1">
      <alignment horizontal="center" vertical="center" textRotation="90"/>
    </xf>
    <xf numFmtId="0" fontId="75" fillId="80" borderId="6" xfId="0" applyFont="1" applyFill="1" applyBorder="1" applyAlignment="1">
      <alignment horizontal="center" vertical="center" textRotation="90"/>
    </xf>
    <xf numFmtId="0" fontId="75" fillId="80" borderId="1" xfId="0" applyFont="1" applyFill="1" applyBorder="1" applyAlignment="1">
      <alignment horizontal="center" vertical="center" textRotation="90"/>
    </xf>
    <xf numFmtId="0" fontId="75" fillId="80" borderId="18" xfId="0" applyFont="1" applyFill="1" applyBorder="1" applyAlignment="1">
      <alignment horizontal="center" vertical="center" textRotation="90"/>
    </xf>
    <xf numFmtId="0" fontId="75" fillId="80" borderId="3" xfId="0" applyFont="1" applyFill="1" applyBorder="1" applyAlignment="1">
      <alignment horizontal="center" vertical="center" textRotation="90"/>
    </xf>
    <xf numFmtId="0" fontId="15" fillId="3" borderId="10" xfId="1" applyFont="1" applyFill="1" applyBorder="1" applyAlignment="1">
      <alignment horizontal="center" vertical="center"/>
    </xf>
    <xf numFmtId="0" fontId="15" fillId="3" borderId="11" xfId="1" applyFont="1" applyFill="1" applyBorder="1" applyAlignment="1">
      <alignment horizontal="center" vertical="center"/>
    </xf>
    <xf numFmtId="0" fontId="114" fillId="80" borderId="18" xfId="0" applyFont="1" applyFill="1" applyBorder="1" applyAlignment="1">
      <alignment horizontal="center"/>
    </xf>
    <xf numFmtId="0" fontId="114" fillId="80" borderId="26" xfId="0" applyFont="1" applyFill="1" applyBorder="1" applyAlignment="1">
      <alignment horizontal="center"/>
    </xf>
    <xf numFmtId="0" fontId="114" fillId="80" borderId="1" xfId="0" applyFont="1" applyFill="1" applyBorder="1" applyAlignment="1">
      <alignment horizontal="center"/>
    </xf>
    <xf numFmtId="0" fontId="114" fillId="80" borderId="25" xfId="0" applyFont="1" applyFill="1" applyBorder="1" applyAlignment="1">
      <alignment horizontal="center"/>
    </xf>
    <xf numFmtId="0" fontId="114" fillId="80" borderId="5" xfId="0" applyFont="1" applyFill="1" applyBorder="1" applyAlignment="1">
      <alignment horizontal="center" vertical="center" textRotation="90" wrapText="1"/>
    </xf>
    <xf numFmtId="0" fontId="114" fillId="80" borderId="8" xfId="0" applyFont="1" applyFill="1" applyBorder="1" applyAlignment="1">
      <alignment horizontal="center" vertical="center" textRotation="90" wrapText="1"/>
    </xf>
    <xf numFmtId="0" fontId="114" fillId="80" borderId="6" xfId="0" applyFont="1" applyFill="1" applyBorder="1" applyAlignment="1">
      <alignment horizontal="center" vertical="center" textRotation="90" wrapText="1"/>
    </xf>
    <xf numFmtId="0" fontId="114" fillId="80" borderId="5" xfId="0" applyFont="1" applyFill="1" applyBorder="1" applyAlignment="1">
      <alignment horizontal="center" vertical="center" textRotation="90"/>
    </xf>
    <xf numFmtId="0" fontId="114" fillId="80" borderId="8" xfId="0" applyFont="1" applyFill="1" applyBorder="1" applyAlignment="1">
      <alignment horizontal="center" vertical="center" textRotation="90"/>
    </xf>
    <xf numFmtId="0" fontId="114" fillId="80" borderId="6" xfId="0" applyFont="1" applyFill="1" applyBorder="1" applyAlignment="1">
      <alignment horizontal="center" vertical="center" textRotation="90"/>
    </xf>
    <xf numFmtId="0" fontId="103" fillId="0" borderId="16" xfId="0" applyFont="1" applyFill="1" applyBorder="1" applyAlignment="1">
      <alignment horizontal="left" vertical="center" wrapText="1"/>
    </xf>
    <xf numFmtId="0" fontId="103" fillId="0" borderId="97" xfId="0" applyFont="1" applyFill="1" applyBorder="1" applyAlignment="1">
      <alignment horizontal="left" vertical="center" wrapText="1"/>
    </xf>
    <xf numFmtId="0" fontId="103" fillId="0" borderId="182" xfId="0" applyFont="1" applyFill="1" applyBorder="1" applyAlignment="1">
      <alignment horizontal="left" vertical="center" wrapText="1"/>
    </xf>
    <xf numFmtId="0" fontId="103" fillId="0" borderId="187" xfId="0" applyFont="1" applyFill="1" applyBorder="1" applyAlignment="1">
      <alignment horizontal="left" vertical="center" wrapText="1"/>
    </xf>
    <xf numFmtId="0" fontId="33" fillId="0" borderId="8" xfId="0" applyFont="1" applyBorder="1" applyAlignment="1">
      <alignment wrapText="1"/>
    </xf>
    <xf numFmtId="0" fontId="33" fillId="0" borderId="6" xfId="0" applyFont="1" applyBorder="1" applyAlignment="1">
      <alignment wrapText="1"/>
    </xf>
    <xf numFmtId="0" fontId="67" fillId="0" borderId="18" xfId="0" applyFont="1" applyFill="1" applyBorder="1" applyAlignment="1">
      <alignment horizontal="left" vertical="center" wrapText="1"/>
    </xf>
    <xf numFmtId="0" fontId="114" fillId="80" borderId="1" xfId="0" applyFont="1" applyFill="1" applyBorder="1" applyAlignment="1">
      <alignment horizontal="center" vertical="center" textRotation="90" wrapText="1"/>
    </xf>
    <xf numFmtId="0" fontId="114" fillId="80" borderId="18" xfId="0" applyFont="1" applyFill="1" applyBorder="1" applyAlignment="1">
      <alignment horizontal="center" vertical="center" textRotation="90" wrapText="1"/>
    </xf>
    <xf numFmtId="0" fontId="114" fillId="80" borderId="3" xfId="0" applyFont="1" applyFill="1" applyBorder="1" applyAlignment="1">
      <alignment horizontal="center" vertical="center" textRotation="90" wrapText="1"/>
    </xf>
    <xf numFmtId="0" fontId="116" fillId="0" borderId="1" xfId="0" applyFont="1" applyBorder="1" applyAlignment="1">
      <alignment horizontal="left" vertical="center" wrapText="1"/>
    </xf>
    <xf numFmtId="0" fontId="116" fillId="0" borderId="25" xfId="0" applyFont="1" applyBorder="1" applyAlignment="1">
      <alignment horizontal="left" vertical="center" wrapText="1"/>
    </xf>
    <xf numFmtId="0" fontId="116" fillId="0" borderId="2" xfId="0" applyFont="1" applyBorder="1" applyAlignment="1">
      <alignment horizontal="left" vertical="center" wrapText="1"/>
    </xf>
    <xf numFmtId="0" fontId="13" fillId="0" borderId="0" xfId="0" applyFont="1" applyBorder="1" applyAlignment="1">
      <alignment horizontal="center"/>
    </xf>
    <xf numFmtId="2" fontId="4" fillId="72" borderId="9" xfId="0" applyNumberFormat="1" applyFont="1" applyFill="1" applyBorder="1" applyAlignment="1">
      <alignment horizontal="center" vertical="center" wrapText="1"/>
    </xf>
    <xf numFmtId="2" fontId="4" fillId="72" borderId="11" xfId="0" applyNumberFormat="1" applyFont="1" applyFill="1" applyBorder="1" applyAlignment="1">
      <alignment horizontal="center" vertical="center" wrapText="1"/>
    </xf>
    <xf numFmtId="2" fontId="4" fillId="72" borderId="1" xfId="0" applyNumberFormat="1" applyFont="1" applyFill="1" applyBorder="1" applyAlignment="1">
      <alignment horizontal="center" vertical="center" wrapText="1"/>
    </xf>
    <xf numFmtId="2" fontId="4" fillId="72" borderId="2" xfId="0" applyNumberFormat="1" applyFont="1" applyFill="1" applyBorder="1" applyAlignment="1">
      <alignment horizontal="center" vertical="center" wrapText="1"/>
    </xf>
    <xf numFmtId="0" fontId="103" fillId="0" borderId="19" xfId="0" applyFont="1" applyFill="1" applyBorder="1" applyAlignment="1">
      <alignment horizontal="left" vertical="center" wrapText="1"/>
    </xf>
    <xf numFmtId="0" fontId="103" fillId="0" borderId="72" xfId="0" applyFont="1" applyFill="1" applyBorder="1" applyAlignment="1">
      <alignment horizontal="left" vertical="center" wrapText="1"/>
    </xf>
    <xf numFmtId="0" fontId="103" fillId="0" borderId="140" xfId="0" applyFont="1" applyFill="1" applyBorder="1" applyAlignment="1">
      <alignment horizontal="left" vertical="center" wrapText="1"/>
    </xf>
    <xf numFmtId="0" fontId="103" fillId="0" borderId="23" xfId="0" applyFont="1" applyFill="1" applyBorder="1" applyAlignment="1">
      <alignment horizontal="left" vertical="center" wrapText="1"/>
    </xf>
    <xf numFmtId="0" fontId="103" fillId="0" borderId="96" xfId="0" applyFont="1" applyFill="1" applyBorder="1" applyAlignment="1">
      <alignment horizontal="left" vertical="center" wrapText="1"/>
    </xf>
    <xf numFmtId="0" fontId="103" fillId="0" borderId="84" xfId="0" applyFont="1" applyFill="1" applyBorder="1" applyAlignment="1">
      <alignment horizontal="left" vertical="center" wrapText="1"/>
    </xf>
    <xf numFmtId="164" fontId="2" fillId="83" borderId="197" xfId="0" applyNumberFormat="1" applyFont="1" applyFill="1" applyBorder="1" applyAlignment="1">
      <alignment horizontal="center" vertical="center" wrapText="1"/>
    </xf>
    <xf numFmtId="0" fontId="139" fillId="0" borderId="18" xfId="0" applyFont="1" applyBorder="1" applyAlignment="1">
      <alignment horizontal="left" vertical="center" wrapText="1"/>
    </xf>
    <xf numFmtId="0" fontId="139" fillId="0" borderId="0" xfId="0" applyFont="1" applyBorder="1" applyAlignment="1">
      <alignment horizontal="left" vertical="center" wrapText="1"/>
    </xf>
    <xf numFmtId="0" fontId="139" fillId="0" borderId="26" xfId="0" applyFont="1" applyBorder="1" applyAlignment="1">
      <alignment horizontal="left" vertical="center" wrapText="1"/>
    </xf>
    <xf numFmtId="0" fontId="67" fillId="0" borderId="115" xfId="0" applyFont="1" applyFill="1" applyBorder="1" applyAlignment="1">
      <alignment horizontal="left" vertical="center" wrapText="1"/>
    </xf>
    <xf numFmtId="0" fontId="67" fillId="0" borderId="204" xfId="0" applyFont="1" applyFill="1" applyBorder="1" applyAlignment="1">
      <alignment horizontal="left" vertical="center" wrapText="1"/>
    </xf>
    <xf numFmtId="0" fontId="33" fillId="0" borderId="188" xfId="0" applyFont="1" applyBorder="1" applyAlignment="1">
      <alignment horizontal="center" vertical="center" textRotation="90" wrapText="1"/>
    </xf>
    <xf numFmtId="0" fontId="33" fillId="0" borderId="69" xfId="0" applyFont="1" applyBorder="1" applyAlignment="1">
      <alignment horizontal="center" vertical="center" textRotation="90" wrapText="1"/>
    </xf>
    <xf numFmtId="2" fontId="158" fillId="72" borderId="161" xfId="0" applyNumberFormat="1" applyFont="1" applyFill="1" applyBorder="1" applyAlignment="1">
      <alignment horizontal="center" vertical="center" wrapText="1"/>
    </xf>
    <xf numFmtId="2" fontId="158" fillId="72" borderId="166" xfId="0" applyNumberFormat="1" applyFont="1" applyFill="1" applyBorder="1" applyAlignment="1">
      <alignment horizontal="center" vertical="center" wrapText="1"/>
    </xf>
    <xf numFmtId="0" fontId="33" fillId="8" borderId="197" xfId="0" applyFont="1" applyFill="1" applyBorder="1" applyAlignment="1">
      <alignment horizontal="center" vertical="center" textRotation="90" wrapText="1"/>
    </xf>
    <xf numFmtId="0" fontId="33" fillId="8" borderId="197" xfId="0" applyFont="1" applyFill="1" applyBorder="1" applyAlignment="1">
      <alignment horizontal="center" vertical="center" textRotation="90"/>
    </xf>
    <xf numFmtId="2" fontId="158" fillId="72" borderId="197" xfId="0" applyNumberFormat="1" applyFont="1" applyFill="1" applyBorder="1" applyAlignment="1">
      <alignment horizontal="center" vertical="center" wrapText="1"/>
    </xf>
    <xf numFmtId="0" fontId="143" fillId="0" borderId="5" xfId="0" applyFont="1" applyBorder="1" applyAlignment="1">
      <alignment horizontal="center" vertical="center" textRotation="90" wrapText="1"/>
    </xf>
    <xf numFmtId="0" fontId="143" fillId="0" borderId="6" xfId="0" applyFont="1" applyBorder="1" applyAlignment="1">
      <alignment horizontal="center" vertical="center" textRotation="90"/>
    </xf>
    <xf numFmtId="2" fontId="158" fillId="72" borderId="55" xfId="0" applyNumberFormat="1" applyFont="1" applyFill="1" applyBorder="1" applyAlignment="1">
      <alignment horizontal="center" vertical="center" wrapText="1"/>
    </xf>
    <xf numFmtId="2" fontId="158" fillId="72" borderId="198" xfId="0" applyNumberFormat="1" applyFont="1" applyFill="1" applyBorder="1" applyAlignment="1">
      <alignment horizontal="center" vertical="center" wrapText="1"/>
    </xf>
    <xf numFmtId="2" fontId="158" fillId="72" borderId="150" xfId="0" applyNumberFormat="1" applyFont="1" applyFill="1" applyBorder="1" applyAlignment="1">
      <alignment horizontal="center" vertical="center" wrapText="1"/>
    </xf>
    <xf numFmtId="2" fontId="158" fillId="72" borderId="9" xfId="0" applyNumberFormat="1" applyFont="1" applyFill="1" applyBorder="1" applyAlignment="1">
      <alignment horizontal="center" vertical="center" wrapText="1"/>
    </xf>
    <xf numFmtId="2" fontId="158" fillId="72" borderId="11" xfId="0" applyNumberFormat="1" applyFont="1" applyFill="1" applyBorder="1" applyAlignment="1">
      <alignment horizontal="center" vertical="center" wrapText="1"/>
    </xf>
    <xf numFmtId="0" fontId="143" fillId="8" borderId="13" xfId="0" applyFont="1" applyFill="1" applyBorder="1" applyAlignment="1">
      <alignment horizontal="center" vertical="center" textRotation="90" wrapText="1"/>
    </xf>
    <xf numFmtId="0" fontId="143" fillId="8" borderId="177" xfId="0" applyFont="1" applyFill="1" applyBorder="1" applyAlignment="1">
      <alignment horizontal="center" vertical="center" textRotation="90" wrapText="1"/>
    </xf>
    <xf numFmtId="0" fontId="143" fillId="8" borderId="192" xfId="0" applyFont="1" applyFill="1" applyBorder="1" applyAlignment="1">
      <alignment horizontal="center" vertical="center" textRotation="90" wrapText="1"/>
    </xf>
    <xf numFmtId="0" fontId="143" fillId="8" borderId="13" xfId="0" applyFont="1" applyFill="1" applyBorder="1" applyAlignment="1">
      <alignment horizontal="center" vertical="center" textRotation="90"/>
    </xf>
    <xf numFmtId="0" fontId="143" fillId="8" borderId="177" xfId="0" applyFont="1" applyFill="1" applyBorder="1" applyAlignment="1">
      <alignment horizontal="center" vertical="center" textRotation="90"/>
    </xf>
    <xf numFmtId="0" fontId="143" fillId="8" borderId="192" xfId="0" applyFont="1" applyFill="1" applyBorder="1" applyAlignment="1">
      <alignment horizontal="center" vertical="center" textRotation="90"/>
    </xf>
    <xf numFmtId="0" fontId="165" fillId="8" borderId="5" xfId="0" applyFont="1" applyFill="1" applyBorder="1" applyAlignment="1">
      <alignment horizontal="center" vertical="center" textRotation="90"/>
    </xf>
    <xf numFmtId="0" fontId="165" fillId="8" borderId="8" xfId="0" applyFont="1" applyFill="1" applyBorder="1" applyAlignment="1">
      <alignment horizontal="center" vertical="center" textRotation="90"/>
    </xf>
    <xf numFmtId="164" fontId="2" fillId="83" borderId="0" xfId="0" applyNumberFormat="1"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8" borderId="8" xfId="0" applyFont="1" applyFill="1" applyBorder="1" applyAlignment="1">
      <alignment horizontal="center" vertical="center" wrapText="1"/>
    </xf>
    <xf numFmtId="2" fontId="4" fillId="10" borderId="9" xfId="0" applyNumberFormat="1" applyFont="1" applyFill="1" applyBorder="1" applyAlignment="1">
      <alignment horizontal="center" vertical="center" wrapText="1"/>
    </xf>
    <xf numFmtId="2" fontId="4" fillId="10" borderId="2" xfId="0" quotePrefix="1" applyNumberFormat="1" applyFont="1" applyFill="1" applyBorder="1" applyAlignment="1">
      <alignment horizontal="center" vertical="center" wrapText="1"/>
    </xf>
    <xf numFmtId="0" fontId="139" fillId="0" borderId="3" xfId="0" applyFont="1" applyBorder="1" applyAlignment="1">
      <alignment horizontal="left" vertical="center" wrapText="1"/>
    </xf>
    <xf numFmtId="0" fontId="139" fillId="0" borderId="27" xfId="0" applyFont="1" applyBorder="1" applyAlignment="1">
      <alignment horizontal="left" vertical="center" wrapText="1"/>
    </xf>
    <xf numFmtId="0" fontId="139" fillId="0" borderId="4" xfId="0" applyFont="1" applyBorder="1" applyAlignment="1">
      <alignment horizontal="left" vertical="center" wrapText="1"/>
    </xf>
    <xf numFmtId="0" fontId="103" fillId="5" borderId="23" xfId="0" applyFont="1" applyFill="1" applyBorder="1" applyAlignment="1">
      <alignment horizontal="left" vertical="center" wrapText="1"/>
    </xf>
    <xf numFmtId="0" fontId="103" fillId="5" borderId="96" xfId="0" applyFont="1" applyFill="1" applyBorder="1" applyAlignment="1">
      <alignment horizontal="left" vertical="center" wrapText="1"/>
    </xf>
    <xf numFmtId="0" fontId="103" fillId="5" borderId="84" xfId="0" applyFont="1" applyFill="1" applyBorder="1" applyAlignment="1">
      <alignment horizontal="left" vertical="center" wrapText="1"/>
    </xf>
    <xf numFmtId="0" fontId="33" fillId="8" borderId="5" xfId="0" applyFont="1" applyFill="1" applyBorder="1" applyAlignment="1">
      <alignment horizontal="center" vertical="center" textRotation="90" wrapText="1"/>
    </xf>
    <xf numFmtId="0" fontId="33" fillId="8" borderId="8" xfId="0" applyFont="1" applyFill="1" applyBorder="1" applyAlignment="1">
      <alignment horizontal="center" vertical="center" textRotation="90" wrapText="1"/>
    </xf>
    <xf numFmtId="0" fontId="33" fillId="8" borderId="6" xfId="0" applyFont="1" applyFill="1" applyBorder="1" applyAlignment="1">
      <alignment horizontal="center" vertical="center" textRotation="90" wrapText="1"/>
    </xf>
    <xf numFmtId="0" fontId="23" fillId="8" borderId="6" xfId="0" applyFont="1" applyFill="1" applyBorder="1" applyAlignment="1">
      <alignment horizontal="center" vertical="center" wrapText="1"/>
    </xf>
    <xf numFmtId="0" fontId="23" fillId="0" borderId="8" xfId="0" applyFont="1" applyBorder="1" applyAlignment="1">
      <alignment horizontal="center" vertical="center" wrapText="1"/>
    </xf>
    <xf numFmtId="0" fontId="23" fillId="0" borderId="6" xfId="0" applyFont="1" applyBorder="1" applyAlignment="1">
      <alignment horizontal="center" vertical="center" wrapText="1"/>
    </xf>
    <xf numFmtId="0" fontId="23" fillId="0" borderId="5" xfId="0" applyFont="1" applyBorder="1" applyAlignment="1">
      <alignment horizontal="center" vertical="center" textRotation="90" wrapText="1"/>
    </xf>
    <xf numFmtId="0" fontId="23" fillId="0" borderId="8" xfId="0" applyFont="1" applyBorder="1" applyAlignment="1">
      <alignment horizontal="center" vertical="center" textRotation="90" wrapText="1"/>
    </xf>
    <xf numFmtId="0" fontId="23" fillId="0" borderId="6" xfId="0" applyFont="1" applyBorder="1" applyAlignment="1">
      <alignment horizontal="center" vertical="center" textRotation="90" wrapText="1"/>
    </xf>
    <xf numFmtId="0" fontId="23" fillId="8" borderId="71" xfId="0" applyFont="1" applyFill="1" applyBorder="1" applyAlignment="1">
      <alignment horizontal="center" vertical="center" textRotation="90"/>
    </xf>
    <xf numFmtId="0" fontId="23" fillId="8" borderId="37" xfId="0" applyFont="1" applyFill="1" applyBorder="1" applyAlignment="1">
      <alignment horizontal="center" vertical="center" textRotation="90"/>
    </xf>
    <xf numFmtId="0" fontId="33" fillId="8" borderId="1" xfId="0" applyFont="1" applyFill="1" applyBorder="1" applyAlignment="1">
      <alignment horizontal="center" vertical="center" textRotation="90" wrapText="1"/>
    </xf>
    <xf numFmtId="0" fontId="33" fillId="8" borderId="18" xfId="0" applyFont="1" applyFill="1" applyBorder="1" applyAlignment="1">
      <alignment horizontal="center" vertical="center" textRotation="90" wrapText="1"/>
    </xf>
    <xf numFmtId="0" fontId="33" fillId="8" borderId="3" xfId="0" applyFont="1" applyFill="1" applyBorder="1" applyAlignment="1">
      <alignment horizontal="center" vertical="center" textRotation="90" wrapText="1"/>
    </xf>
    <xf numFmtId="0" fontId="139" fillId="0" borderId="1" xfId="0" applyFont="1" applyBorder="1" applyAlignment="1">
      <alignment horizontal="left" vertical="center"/>
    </xf>
    <xf numFmtId="0" fontId="139" fillId="0" borderId="25" xfId="0" applyFont="1" applyBorder="1" applyAlignment="1">
      <alignment horizontal="left" vertical="center"/>
    </xf>
    <xf numFmtId="0" fontId="139" fillId="0" borderId="2" xfId="0" applyFont="1" applyBorder="1" applyAlignment="1">
      <alignment horizontal="left" vertical="center"/>
    </xf>
    <xf numFmtId="0" fontId="33" fillId="0" borderId="0" xfId="0" applyFont="1" applyBorder="1" applyAlignment="1">
      <alignment horizontal="center" vertical="center" wrapText="1"/>
    </xf>
    <xf numFmtId="0" fontId="141" fillId="82" borderId="9" xfId="0" applyFont="1" applyFill="1" applyBorder="1" applyAlignment="1">
      <alignment horizontal="center" vertical="center" wrapText="1"/>
    </xf>
    <xf numFmtId="0" fontId="141" fillId="82" borderId="10" xfId="0" applyFont="1" applyFill="1" applyBorder="1" applyAlignment="1">
      <alignment horizontal="center" vertical="center" wrapText="1"/>
    </xf>
    <xf numFmtId="0" fontId="141" fillId="82" borderId="11" xfId="0" applyFont="1" applyFill="1" applyBorder="1" applyAlignment="1">
      <alignment horizontal="center" vertical="center" wrapText="1"/>
    </xf>
    <xf numFmtId="0" fontId="67" fillId="5" borderId="1" xfId="9" applyFont="1" applyFill="1" applyBorder="1" applyAlignment="1">
      <alignment horizontal="left" vertical="center" wrapText="1"/>
    </xf>
    <xf numFmtId="0" fontId="67" fillId="5" borderId="3" xfId="9" applyFont="1" applyFill="1" applyBorder="1" applyAlignment="1">
      <alignment horizontal="left" vertical="center" wrapText="1"/>
    </xf>
    <xf numFmtId="0" fontId="150" fillId="82" borderId="9" xfId="0" applyFont="1" applyFill="1" applyBorder="1" applyAlignment="1">
      <alignment horizontal="center" vertical="center" wrapText="1"/>
    </xf>
    <xf numFmtId="0" fontId="150" fillId="82" borderId="10" xfId="0" applyFont="1" applyFill="1" applyBorder="1" applyAlignment="1">
      <alignment horizontal="center" vertical="center" wrapText="1"/>
    </xf>
    <xf numFmtId="0" fontId="150" fillId="82" borderId="11" xfId="0" applyFont="1" applyFill="1" applyBorder="1" applyAlignment="1">
      <alignment horizontal="center" vertical="center" wrapText="1"/>
    </xf>
    <xf numFmtId="0" fontId="12" fillId="0" borderId="2" xfId="0" applyFont="1" applyBorder="1" applyAlignment="1">
      <alignment horizontal="center" textRotation="90"/>
    </xf>
    <xf numFmtId="0" fontId="12" fillId="0" borderId="26" xfId="0" applyFont="1" applyBorder="1" applyAlignment="1">
      <alignment horizontal="center" textRotation="90"/>
    </xf>
    <xf numFmtId="0" fontId="12" fillId="0" borderId="4" xfId="0" applyFont="1" applyBorder="1" applyAlignment="1">
      <alignment horizontal="center" textRotation="90"/>
    </xf>
    <xf numFmtId="0" fontId="0" fillId="5" borderId="0" xfId="0" applyFill="1" applyAlignment="1">
      <alignment horizontal="center"/>
    </xf>
    <xf numFmtId="0" fontId="8" fillId="0" borderId="32" xfId="0" applyFont="1" applyFill="1" applyBorder="1" applyAlignment="1">
      <alignment horizontal="center" wrapText="1"/>
    </xf>
    <xf numFmtId="0" fontId="8" fillId="0" borderId="33" xfId="0" applyFont="1" applyFill="1" applyBorder="1" applyAlignment="1">
      <alignment horizontal="center" wrapText="1"/>
    </xf>
    <xf numFmtId="2" fontId="4" fillId="4" borderId="9" xfId="0" quotePrefix="1" applyNumberFormat="1" applyFont="1" applyFill="1" applyBorder="1" applyAlignment="1">
      <alignment horizontal="center" vertical="center" wrapText="1"/>
    </xf>
    <xf numFmtId="2" fontId="4" fillId="4" borderId="11" xfId="0" quotePrefix="1" applyNumberFormat="1" applyFont="1" applyFill="1" applyBorder="1" applyAlignment="1">
      <alignment horizontal="center" vertical="center" wrapText="1"/>
    </xf>
    <xf numFmtId="2" fontId="4" fillId="4" borderId="2" xfId="0" quotePrefix="1" applyNumberFormat="1" applyFont="1" applyFill="1" applyBorder="1" applyAlignment="1">
      <alignment horizontal="center" vertical="center" wrapText="1"/>
    </xf>
    <xf numFmtId="0" fontId="26" fillId="5" borderId="5" xfId="6" applyFill="1" applyBorder="1" applyAlignment="1">
      <alignment horizontal="center" vertical="center" textRotation="90"/>
    </xf>
    <xf numFmtId="0" fontId="26" fillId="5" borderId="8" xfId="6" applyFill="1" applyBorder="1" applyAlignment="1">
      <alignment horizontal="center" vertical="center" textRotation="90"/>
    </xf>
    <xf numFmtId="0" fontId="26" fillId="5" borderId="6" xfId="6" applyFill="1" applyBorder="1" applyAlignment="1">
      <alignment horizontal="center" vertical="center" textRotation="90"/>
    </xf>
    <xf numFmtId="0" fontId="3" fillId="5" borderId="1" xfId="6" applyFont="1" applyFill="1" applyBorder="1" applyAlignment="1">
      <alignment horizontal="center" vertical="center" textRotation="90"/>
    </xf>
    <xf numFmtId="0" fontId="26" fillId="5" borderId="18" xfId="6" applyFill="1" applyBorder="1" applyAlignment="1">
      <alignment horizontal="center" vertical="center" textRotation="90"/>
    </xf>
    <xf numFmtId="0" fontId="26" fillId="5" borderId="3" xfId="6" applyFill="1" applyBorder="1" applyAlignment="1">
      <alignment horizontal="center" vertical="center" textRotation="90"/>
    </xf>
    <xf numFmtId="0" fontId="26" fillId="5" borderId="1" xfId="6" applyFill="1" applyBorder="1" applyAlignment="1">
      <alignment horizontal="center" vertical="center" textRotation="90"/>
    </xf>
    <xf numFmtId="0" fontId="29" fillId="5" borderId="2" xfId="7" applyFont="1" applyFill="1" applyBorder="1" applyAlignment="1">
      <alignment horizontal="center" vertical="center" wrapText="1"/>
    </xf>
    <xf numFmtId="0" fontId="29" fillId="5" borderId="26" xfId="7" applyFont="1" applyFill="1" applyBorder="1" applyAlignment="1">
      <alignment horizontal="center" vertical="center" wrapText="1"/>
    </xf>
    <xf numFmtId="0" fontId="29" fillId="5" borderId="34" xfId="7" applyFont="1" applyFill="1" applyBorder="1" applyAlignment="1">
      <alignment horizontal="center" vertical="center" wrapText="1"/>
    </xf>
    <xf numFmtId="0" fontId="29" fillId="5" borderId="35" xfId="7" applyFont="1" applyFill="1" applyBorder="1" applyAlignment="1">
      <alignment horizontal="center" vertical="center" wrapText="1"/>
    </xf>
    <xf numFmtId="0" fontId="11" fillId="11" borderId="9" xfId="1" applyFont="1" applyFill="1" applyBorder="1" applyAlignment="1">
      <alignment horizontal="center" vertical="center" wrapText="1"/>
    </xf>
    <xf numFmtId="0" fontId="11" fillId="11" borderId="10" xfId="1" applyFont="1" applyFill="1" applyBorder="1" applyAlignment="1">
      <alignment horizontal="center" vertical="center" wrapText="1"/>
    </xf>
    <xf numFmtId="0" fontId="11" fillId="11" borderId="11" xfId="1" applyFont="1" applyFill="1" applyBorder="1" applyAlignment="1">
      <alignment horizontal="center" vertical="center" wrapText="1"/>
    </xf>
    <xf numFmtId="0" fontId="29" fillId="5" borderId="29" xfId="7" applyFont="1" applyFill="1" applyBorder="1" applyAlignment="1">
      <alignment horizontal="center" vertical="center" wrapText="1"/>
    </xf>
    <xf numFmtId="0" fontId="34" fillId="3" borderId="9" xfId="0" applyFont="1" applyFill="1" applyBorder="1" applyAlignment="1">
      <alignment horizontal="center" vertical="center"/>
    </xf>
    <xf numFmtId="0" fontId="34" fillId="3" borderId="10" xfId="0" applyFont="1" applyFill="1" applyBorder="1" applyAlignment="1">
      <alignment horizontal="center" vertical="center"/>
    </xf>
    <xf numFmtId="0" fontId="34" fillId="3" borderId="11" xfId="0" applyFont="1" applyFill="1" applyBorder="1" applyAlignment="1">
      <alignment horizontal="center" vertical="center"/>
    </xf>
    <xf numFmtId="0" fontId="0" fillId="0" borderId="1" xfId="0" applyBorder="1" applyAlignment="1">
      <alignment horizontal="center" vertical="center" textRotation="90" wrapText="1"/>
    </xf>
    <xf numFmtId="0" fontId="0" fillId="0" borderId="18" xfId="0" applyBorder="1" applyAlignment="1">
      <alignment horizontal="center" vertical="center" textRotation="90" wrapText="1"/>
    </xf>
    <xf numFmtId="0" fontId="67" fillId="0" borderId="140" xfId="0" applyFont="1" applyFill="1" applyBorder="1" applyAlignment="1">
      <alignment horizontal="left" vertical="center" wrapText="1"/>
    </xf>
    <xf numFmtId="0" fontId="67" fillId="0" borderId="173" xfId="0" applyFont="1" applyFill="1" applyBorder="1" applyAlignment="1">
      <alignment horizontal="left" vertical="center"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0" fontId="98" fillId="0" borderId="1" xfId="0" applyFont="1" applyBorder="1" applyAlignment="1">
      <alignment horizontal="left" vertical="center" wrapText="1"/>
    </xf>
    <xf numFmtId="0" fontId="98" fillId="0" borderId="25" xfId="0" applyFont="1" applyBorder="1" applyAlignment="1">
      <alignment horizontal="left" vertical="center" wrapText="1"/>
    </xf>
    <xf numFmtId="0" fontId="98" fillId="0" borderId="2" xfId="0" applyFont="1" applyBorder="1" applyAlignment="1">
      <alignment horizontal="left" vertical="center" wrapText="1"/>
    </xf>
    <xf numFmtId="0" fontId="33" fillId="8" borderId="5" xfId="0" applyFont="1" applyFill="1" applyBorder="1" applyAlignment="1">
      <alignment horizontal="left" vertical="center" textRotation="90" wrapText="1"/>
    </xf>
    <xf numFmtId="0" fontId="33" fillId="8" borderId="8" xfId="0" applyFont="1" applyFill="1" applyBorder="1" applyAlignment="1">
      <alignment horizontal="left" vertical="center" textRotation="90" wrapText="1"/>
    </xf>
    <xf numFmtId="0" fontId="33" fillId="8" borderId="6" xfId="0" applyFont="1" applyFill="1" applyBorder="1" applyAlignment="1">
      <alignment horizontal="left" vertical="center" textRotation="90" wrapText="1"/>
    </xf>
    <xf numFmtId="0" fontId="33" fillId="0" borderId="1" xfId="0" applyFont="1" applyBorder="1" applyAlignment="1">
      <alignment horizontal="center"/>
    </xf>
    <xf numFmtId="0" fontId="33" fillId="0" borderId="2" xfId="0" applyFont="1" applyBorder="1" applyAlignment="1">
      <alignment horizont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applyAlignment="1">
      <alignment horizontal="center" wrapText="1"/>
    </xf>
    <xf numFmtId="0" fontId="0" fillId="0" borderId="26" xfId="0" applyBorder="1" applyAlignment="1">
      <alignment horizontal="center" wrapText="1"/>
    </xf>
    <xf numFmtId="0" fontId="75" fillId="71" borderId="55" xfId="0" applyFont="1" applyFill="1" applyBorder="1" applyAlignment="1">
      <alignment horizontal="center" vertical="top"/>
    </xf>
    <xf numFmtId="0" fontId="75" fillId="71" borderId="149" xfId="0" applyFont="1" applyFill="1" applyBorder="1" applyAlignment="1">
      <alignment horizontal="center" vertical="top"/>
    </xf>
    <xf numFmtId="0" fontId="75" fillId="71" borderId="150" xfId="0" applyFont="1" applyFill="1" applyBorder="1" applyAlignment="1">
      <alignment horizontal="center" vertical="top"/>
    </xf>
    <xf numFmtId="0" fontId="59" fillId="0" borderId="57" xfId="0" applyFont="1" applyBorder="1" applyAlignment="1">
      <alignment horizontal="left" vertical="top"/>
    </xf>
    <xf numFmtId="0" fontId="59" fillId="0" borderId="51" xfId="0" applyFont="1" applyBorder="1" applyAlignment="1">
      <alignment horizontal="left" vertical="top"/>
    </xf>
    <xf numFmtId="0" fontId="59" fillId="0" borderId="157" xfId="0" applyFont="1" applyBorder="1" applyAlignment="1">
      <alignment horizontal="left" vertical="top"/>
    </xf>
    <xf numFmtId="0" fontId="59" fillId="0" borderId="175" xfId="0" applyFont="1" applyBorder="1" applyAlignment="1">
      <alignment horizontal="left" vertical="top"/>
    </xf>
    <xf numFmtId="0" fontId="0" fillId="0" borderId="0" xfId="0" applyAlignment="1">
      <alignment horizontal="center" vertical="center"/>
    </xf>
    <xf numFmtId="0" fontId="59" fillId="0" borderId="161" xfId="0" applyFont="1" applyBorder="1" applyAlignment="1">
      <alignment horizontal="left" vertical="top"/>
    </xf>
    <xf numFmtId="0" fontId="59" fillId="0" borderId="196" xfId="0" applyFont="1" applyBorder="1" applyAlignment="1">
      <alignment horizontal="left" vertical="top"/>
    </xf>
    <xf numFmtId="0" fontId="59" fillId="0" borderId="179" xfId="0" applyFont="1" applyBorder="1" applyAlignment="1">
      <alignment horizontal="left" vertical="top"/>
    </xf>
    <xf numFmtId="0" fontId="0" fillId="0" borderId="0" xfId="0" applyAlignment="1">
      <alignment horizontal="center" vertical="center" wrapText="1"/>
    </xf>
    <xf numFmtId="0" fontId="22" fillId="0" borderId="1" xfId="0" applyFont="1" applyBorder="1"/>
    <xf numFmtId="0" fontId="22" fillId="0" borderId="25" xfId="0" applyFont="1" applyBorder="1"/>
    <xf numFmtId="0" fontId="0" fillId="0" borderId="0" xfId="0" applyAlignment="1">
      <alignment vertical="center" wrapText="1"/>
    </xf>
    <xf numFmtId="0" fontId="0" fillId="0" borderId="0" xfId="0" applyAlignment="1">
      <alignment wrapText="1"/>
    </xf>
    <xf numFmtId="0" fontId="62" fillId="0" borderId="0" xfId="0" applyFont="1" applyAlignment="1">
      <alignment horizontal="left" vertical="center"/>
    </xf>
    <xf numFmtId="0" fontId="0" fillId="0" borderId="0" xfId="0" applyAlignment="1">
      <alignment horizontal="center" wrapText="1"/>
    </xf>
    <xf numFmtId="0" fontId="13" fillId="0" borderId="1" xfId="0" applyFont="1" applyBorder="1" applyAlignment="1">
      <alignment horizontal="center" wrapText="1"/>
    </xf>
    <xf numFmtId="0" fontId="13" fillId="0" borderId="2" xfId="0" applyFont="1" applyBorder="1" applyAlignment="1">
      <alignment horizontal="center" wrapText="1"/>
    </xf>
    <xf numFmtId="0" fontId="13" fillId="0" borderId="18" xfId="0" applyFont="1" applyBorder="1" applyAlignment="1">
      <alignment horizontal="center" wrapText="1"/>
    </xf>
    <xf numFmtId="0" fontId="13" fillId="0" borderId="26" xfId="0" applyFont="1" applyBorder="1" applyAlignment="1">
      <alignment horizontal="center" wrapText="1"/>
    </xf>
    <xf numFmtId="0" fontId="13" fillId="0" borderId="3" xfId="0" applyFont="1" applyBorder="1" applyAlignment="1">
      <alignment horizontal="center" wrapText="1"/>
    </xf>
    <xf numFmtId="0" fontId="13" fillId="0" borderId="4" xfId="0" applyFont="1" applyBorder="1" applyAlignment="1">
      <alignment horizontal="center" wrapText="1"/>
    </xf>
    <xf numFmtId="0" fontId="41" fillId="0" borderId="0" xfId="0" applyFont="1" applyAlignment="1">
      <alignment horizontal="center" vertical="center" wrapText="1"/>
    </xf>
    <xf numFmtId="0" fontId="58" fillId="0" borderId="5" xfId="0" applyFont="1" applyBorder="1" applyAlignment="1">
      <alignment vertical="center" wrapText="1"/>
    </xf>
    <xf numFmtId="0" fontId="58" fillId="0" borderId="8" xfId="0" applyFont="1" applyBorder="1" applyAlignment="1">
      <alignment vertical="center" wrapText="1"/>
    </xf>
    <xf numFmtId="0" fontId="58" fillId="0" borderId="6" xfId="0" applyFont="1" applyBorder="1" applyAlignment="1">
      <alignment vertical="center" wrapText="1"/>
    </xf>
    <xf numFmtId="0" fontId="58" fillId="0" borderId="9" xfId="0" applyFont="1" applyBorder="1" applyAlignment="1">
      <alignment vertical="center" wrapText="1"/>
    </xf>
    <xf numFmtId="0" fontId="58" fillId="0" borderId="10" xfId="0" applyFont="1" applyBorder="1" applyAlignment="1">
      <alignment vertical="center" wrapText="1"/>
    </xf>
    <xf numFmtId="0" fontId="58" fillId="0" borderId="11" xfId="0" applyFont="1" applyBorder="1" applyAlignment="1">
      <alignment vertical="center" wrapText="1"/>
    </xf>
    <xf numFmtId="0" fontId="86" fillId="0" borderId="18" xfId="0" applyFont="1" applyBorder="1" applyAlignment="1">
      <alignment horizontal="center" vertical="top" wrapText="1"/>
    </xf>
    <xf numFmtId="0" fontId="0" fillId="0" borderId="18" xfId="0" applyBorder="1" applyAlignment="1">
      <alignment horizontal="center" wrapText="1"/>
    </xf>
    <xf numFmtId="0" fontId="0" fillId="0" borderId="3" xfId="0" applyBorder="1" applyAlignment="1">
      <alignment horizontal="center" wrapText="1"/>
    </xf>
    <xf numFmtId="0" fontId="0" fillId="0" borderId="0" xfId="0" applyAlignment="1">
      <alignment horizontal="left" vertical="center"/>
    </xf>
    <xf numFmtId="0" fontId="12" fillId="0" borderId="0" xfId="0" applyFont="1" applyAlignment="1">
      <alignment horizontal="center" wrapText="1"/>
    </xf>
    <xf numFmtId="0" fontId="86" fillId="0" borderId="0" xfId="0" applyFont="1" applyAlignment="1">
      <alignment horizontal="center" vertical="center" wrapText="1"/>
    </xf>
    <xf numFmtId="0" fontId="0" fillId="0" borderId="18" xfId="0" applyBorder="1" applyAlignment="1">
      <alignment horizontal="center" vertical="center" wrapText="1"/>
    </xf>
    <xf numFmtId="0" fontId="0" fillId="0" borderId="3" xfId="0" applyBorder="1" applyAlignment="1">
      <alignment horizontal="center" vertical="center" wrapText="1"/>
    </xf>
    <xf numFmtId="0" fontId="0" fillId="5" borderId="117" xfId="0" applyFill="1" applyBorder="1" applyAlignment="1">
      <alignment horizontal="center" textRotation="90"/>
    </xf>
    <xf numFmtId="0" fontId="0" fillId="5" borderId="79" xfId="0" applyFill="1" applyBorder="1" applyAlignment="1">
      <alignment horizontal="center" textRotation="90"/>
    </xf>
    <xf numFmtId="0" fontId="34" fillId="3" borderId="102" xfId="0" applyFont="1" applyFill="1" applyBorder="1" applyAlignment="1">
      <alignment horizontal="center" vertical="center"/>
    </xf>
    <xf numFmtId="0" fontId="34" fillId="3" borderId="126" xfId="0" applyFont="1" applyFill="1" applyBorder="1" applyAlignment="1">
      <alignment horizontal="center" vertical="center"/>
    </xf>
    <xf numFmtId="0" fontId="34" fillId="3" borderId="112" xfId="0" applyFont="1" applyFill="1" applyBorder="1" applyAlignment="1">
      <alignment horizontal="center" vertical="center"/>
    </xf>
    <xf numFmtId="0" fontId="0" fillId="0" borderId="26" xfId="0" applyBorder="1" applyAlignment="1"/>
    <xf numFmtId="0" fontId="31" fillId="0" borderId="116" xfId="0" applyFont="1" applyBorder="1" applyAlignment="1">
      <alignment horizontal="center" vertical="center" textRotation="90"/>
    </xf>
    <xf numFmtId="0" fontId="31" fillId="0" borderId="117" xfId="0" applyFont="1" applyBorder="1" applyAlignment="1">
      <alignment horizontal="center" vertical="center" textRotation="90"/>
    </xf>
    <xf numFmtId="0" fontId="31" fillId="0" borderId="79" xfId="0" applyFont="1" applyBorder="1" applyAlignment="1">
      <alignment horizontal="center" vertical="center" textRotation="90"/>
    </xf>
    <xf numFmtId="0" fontId="23" fillId="5" borderId="116" xfId="0" applyFont="1" applyFill="1" applyBorder="1" applyAlignment="1">
      <alignment horizontal="center"/>
    </xf>
    <xf numFmtId="0" fontId="23" fillId="5" borderId="117" xfId="0" applyFont="1" applyFill="1" applyBorder="1" applyAlignment="1">
      <alignment horizontal="center"/>
    </xf>
    <xf numFmtId="0" fontId="0" fillId="0" borderId="79" xfId="0" applyBorder="1" applyAlignment="1"/>
    <xf numFmtId="0" fontId="0" fillId="0" borderId="117" xfId="0" applyBorder="1" applyAlignment="1"/>
    <xf numFmtId="0" fontId="0" fillId="5" borderId="117" xfId="0" applyFill="1" applyBorder="1" applyAlignment="1"/>
    <xf numFmtId="0" fontId="0" fillId="5" borderId="79" xfId="0" applyFill="1" applyBorder="1" applyAlignment="1"/>
    <xf numFmtId="0" fontId="31" fillId="0" borderId="117" xfId="0" applyFont="1" applyBorder="1" applyAlignment="1">
      <alignment horizontal="center" vertical="center" textRotation="90" wrapText="1"/>
    </xf>
    <xf numFmtId="0" fontId="0" fillId="0" borderId="117" xfId="0" applyBorder="1" applyAlignment="1">
      <alignment wrapText="1"/>
    </xf>
    <xf numFmtId="0" fontId="32" fillId="0" borderId="116" xfId="0" applyFont="1" applyFill="1" applyBorder="1" applyAlignment="1">
      <alignment horizontal="center" vertical="center"/>
    </xf>
    <xf numFmtId="0" fontId="32" fillId="0" borderId="79" xfId="0" applyFont="1" applyFill="1" applyBorder="1" applyAlignment="1">
      <alignment horizontal="center" vertical="center"/>
    </xf>
    <xf numFmtId="0" fontId="3" fillId="0" borderId="114" xfId="0" applyFont="1" applyFill="1" applyBorder="1" applyAlignment="1">
      <alignment horizontal="center" vertical="center" textRotation="90"/>
    </xf>
    <xf numFmtId="0" fontId="3" fillId="0" borderId="44" xfId="0" applyFont="1" applyFill="1" applyBorder="1" applyAlignment="1">
      <alignment horizontal="center" vertical="center" textRotation="90"/>
    </xf>
    <xf numFmtId="0" fontId="3" fillId="0" borderId="69" xfId="0" applyFont="1" applyFill="1" applyBorder="1" applyAlignment="1">
      <alignment horizontal="center" vertical="center" textRotation="90"/>
    </xf>
    <xf numFmtId="0" fontId="11" fillId="3" borderId="102" xfId="1" applyFont="1" applyFill="1" applyBorder="1" applyAlignment="1">
      <alignment horizontal="center" vertical="center"/>
    </xf>
    <xf numFmtId="0" fontId="11" fillId="3" borderId="126" xfId="1" applyFont="1" applyFill="1" applyBorder="1" applyAlignment="1">
      <alignment horizontal="center" vertical="center"/>
    </xf>
    <xf numFmtId="0" fontId="11" fillId="3" borderId="112" xfId="1" applyFont="1" applyFill="1" applyBorder="1" applyAlignment="1">
      <alignment horizontal="center" vertical="center"/>
    </xf>
    <xf numFmtId="0" fontId="64" fillId="10" borderId="18" xfId="9" applyFont="1" applyFill="1" applyBorder="1" applyAlignment="1">
      <alignment horizontal="center" vertical="center"/>
    </xf>
    <xf numFmtId="0" fontId="64" fillId="10" borderId="26" xfId="9" applyFont="1" applyFill="1" applyBorder="1" applyAlignment="1">
      <alignment horizontal="center" vertical="center"/>
    </xf>
    <xf numFmtId="0" fontId="3" fillId="0" borderId="23" xfId="0" applyFont="1" applyFill="1" applyBorder="1" applyAlignment="1">
      <alignment horizontal="center" vertical="center" textRotation="90"/>
    </xf>
    <xf numFmtId="0" fontId="3" fillId="0" borderId="96" xfId="0" applyFont="1" applyFill="1" applyBorder="1" applyAlignment="1">
      <alignment horizontal="center" vertical="center" textRotation="90"/>
    </xf>
    <xf numFmtId="0" fontId="0" fillId="0" borderId="114" xfId="0" applyBorder="1" applyAlignment="1">
      <alignment horizontal="center" vertical="center" textRotation="90"/>
    </xf>
    <xf numFmtId="0" fontId="0" fillId="0" borderId="44" xfId="0" applyBorder="1" applyAlignment="1">
      <alignment horizontal="center" vertical="center" textRotation="90"/>
    </xf>
    <xf numFmtId="0" fontId="0" fillId="0" borderId="69" xfId="0" applyBorder="1" applyAlignment="1">
      <alignment horizontal="center" vertical="center" textRotation="90"/>
    </xf>
    <xf numFmtId="0" fontId="72" fillId="7" borderId="1" xfId="0" applyFont="1" applyFill="1" applyBorder="1" applyAlignment="1">
      <alignment horizontal="center" vertical="center" wrapText="1"/>
    </xf>
    <xf numFmtId="0" fontId="72" fillId="7" borderId="2" xfId="0" applyFont="1" applyFill="1" applyBorder="1" applyAlignment="1">
      <alignment horizontal="center" vertical="center" wrapText="1"/>
    </xf>
    <xf numFmtId="0" fontId="23" fillId="8" borderId="116" xfId="0" applyFont="1" applyFill="1" applyBorder="1" applyAlignment="1">
      <alignment horizontal="center" vertical="center" textRotation="90"/>
    </xf>
    <xf numFmtId="0" fontId="23" fillId="8" borderId="117" xfId="0" applyFont="1" applyFill="1" applyBorder="1" applyAlignment="1">
      <alignment horizontal="center" vertical="center" textRotation="90"/>
    </xf>
    <xf numFmtId="0" fontId="23" fillId="8" borderId="79" xfId="0" applyFont="1" applyFill="1" applyBorder="1" applyAlignment="1">
      <alignment horizontal="center" vertical="center" textRotation="90"/>
    </xf>
    <xf numFmtId="0" fontId="23" fillId="8" borderId="114" xfId="0" applyFont="1" applyFill="1" applyBorder="1" applyAlignment="1">
      <alignment horizontal="center" vertical="center" textRotation="90"/>
    </xf>
    <xf numFmtId="0" fontId="23" fillId="8" borderId="44" xfId="0" applyFont="1" applyFill="1" applyBorder="1" applyAlignment="1">
      <alignment horizontal="center" vertical="center" textRotation="90"/>
    </xf>
    <xf numFmtId="0" fontId="23" fillId="8" borderId="69" xfId="0" applyFont="1" applyFill="1" applyBorder="1" applyAlignment="1">
      <alignment horizontal="center" vertical="center" textRotation="90"/>
    </xf>
    <xf numFmtId="0" fontId="23" fillId="0" borderId="114" xfId="0" applyFont="1" applyBorder="1" applyAlignment="1">
      <alignment horizontal="center" vertical="center" textRotation="90"/>
    </xf>
    <xf numFmtId="0" fontId="23" fillId="0" borderId="44" xfId="0" applyFont="1" applyBorder="1" applyAlignment="1">
      <alignment horizontal="center" vertical="center" textRotation="90"/>
    </xf>
    <xf numFmtId="0" fontId="23" fillId="0" borderId="69" xfId="0" applyFont="1" applyBorder="1" applyAlignment="1">
      <alignment horizontal="center" vertical="center" textRotation="90"/>
    </xf>
    <xf numFmtId="0" fontId="0" fillId="0" borderId="5" xfId="0" applyBorder="1" applyAlignment="1">
      <alignment horizontal="center" vertical="center" textRotation="90" wrapText="1"/>
    </xf>
    <xf numFmtId="0" fontId="0" fillId="0" borderId="6" xfId="0" applyBorder="1" applyAlignment="1">
      <alignment horizontal="center" vertical="center" textRotation="90" wrapText="1"/>
    </xf>
    <xf numFmtId="2" fontId="4" fillId="10" borderId="3" xfId="0" applyNumberFormat="1" applyFont="1" applyFill="1" applyBorder="1" applyAlignment="1">
      <alignment horizontal="center" vertical="center" wrapText="1"/>
    </xf>
    <xf numFmtId="2" fontId="4" fillId="10" borderId="26" xfId="0" quotePrefix="1" applyNumberFormat="1" applyFont="1" applyFill="1" applyBorder="1" applyAlignment="1">
      <alignment horizontal="center" vertical="center" wrapText="1"/>
    </xf>
    <xf numFmtId="0" fontId="0" fillId="0" borderId="157" xfId="0" applyBorder="1" applyAlignment="1">
      <alignment horizontal="center" vertical="center" wrapText="1"/>
    </xf>
    <xf numFmtId="0" fontId="11" fillId="3" borderId="9" xfId="1" applyFont="1" applyFill="1" applyBorder="1" applyAlignment="1">
      <alignment horizontal="center" vertical="center"/>
    </xf>
    <xf numFmtId="0" fontId="11" fillId="3" borderId="10" xfId="1" applyFont="1" applyFill="1" applyBorder="1" applyAlignment="1">
      <alignment horizontal="center" vertical="center"/>
    </xf>
    <xf numFmtId="2" fontId="4" fillId="10" borderId="9" xfId="0" applyNumberFormat="1" applyFont="1" applyFill="1" applyBorder="1" applyAlignment="1">
      <alignment horizontal="center" vertical="center"/>
    </xf>
    <xf numFmtId="2" fontId="4" fillId="10" borderId="2" xfId="0" quotePrefix="1" applyNumberFormat="1" applyFont="1" applyFill="1" applyBorder="1" applyAlignment="1">
      <alignment horizontal="center" vertical="center"/>
    </xf>
    <xf numFmtId="0" fontId="33" fillId="0" borderId="1" xfId="0" applyFont="1" applyBorder="1" applyAlignment="1">
      <alignment horizontal="center" wrapText="1"/>
    </xf>
    <xf numFmtId="0" fontId="33" fillId="0" borderId="2" xfId="0" applyFont="1" applyBorder="1" applyAlignment="1">
      <alignment horizontal="center" wrapText="1"/>
    </xf>
    <xf numFmtId="0" fontId="33" fillId="0" borderId="25" xfId="0" applyFont="1" applyBorder="1" applyAlignment="1">
      <alignment horizontal="center" wrapText="1"/>
    </xf>
    <xf numFmtId="0" fontId="67" fillId="0" borderId="203" xfId="0" applyFont="1" applyFill="1" applyBorder="1" applyAlignment="1">
      <alignment horizontal="left" vertical="center" wrapText="1"/>
    </xf>
    <xf numFmtId="0" fontId="103" fillId="5" borderId="19" xfId="0" applyFont="1" applyFill="1" applyBorder="1" applyAlignment="1">
      <alignment horizontal="left" vertical="center" wrapText="1"/>
    </xf>
    <xf numFmtId="0" fontId="103" fillId="5" borderId="173" xfId="0" applyFont="1" applyFill="1" applyBorder="1" applyAlignment="1">
      <alignment horizontal="left" vertical="center" wrapText="1"/>
    </xf>
  </cellXfs>
  <cellStyles count="102">
    <cellStyle name="20% - Énfasis1" xfId="29" builtinId="30" customBuiltin="1"/>
    <cellStyle name="20% - Énfasis2" xfId="33" builtinId="34" customBuiltin="1"/>
    <cellStyle name="20% - Énfasis3" xfId="37" builtinId="38" customBuiltin="1"/>
    <cellStyle name="20% - Énfasis4" xfId="41" builtinId="42" customBuiltin="1"/>
    <cellStyle name="20% - Énfasis5" xfId="45" builtinId="46" customBuiltin="1"/>
    <cellStyle name="20% - Énfasis6" xfId="49" builtinId="50" customBuiltin="1"/>
    <cellStyle name="40% - Énfasis1" xfId="30" builtinId="31" customBuiltin="1"/>
    <cellStyle name="40% - Énfasis2" xfId="34" builtinId="35" customBuiltin="1"/>
    <cellStyle name="40% - Énfasis3" xfId="38" builtinId="39" customBuiltin="1"/>
    <cellStyle name="40% - Énfasis4" xfId="42" builtinId="43" customBuiltin="1"/>
    <cellStyle name="40% - Énfasis5" xfId="46" builtinId="47" customBuiltin="1"/>
    <cellStyle name="40% - Énfasis6" xfId="50" builtinId="51" customBuiltin="1"/>
    <cellStyle name="60% - Énfasis1" xfId="31" builtinId="32" customBuiltin="1"/>
    <cellStyle name="60% - Énfasis2" xfId="35" builtinId="36" customBuiltin="1"/>
    <cellStyle name="60% - Énfasis3" xfId="39" builtinId="40" customBuiltin="1"/>
    <cellStyle name="60% - Énfasis4" xfId="43" builtinId="44" customBuiltin="1"/>
    <cellStyle name="60% - Énfasis5" xfId="47" builtinId="48" customBuiltin="1"/>
    <cellStyle name="60% - Énfasis6" xfId="51" builtinId="52" customBuiltin="1"/>
    <cellStyle name="Buena" xfId="16" builtinId="26" customBuiltin="1"/>
    <cellStyle name="Cálculo" xfId="21" builtinId="22" customBuiltin="1"/>
    <cellStyle name="Celda de comprobación" xfId="23" builtinId="23" customBuiltin="1"/>
    <cellStyle name="Celda vinculada" xfId="22" builtinId="24" customBuiltin="1"/>
    <cellStyle name="Encabezado 4" xfId="15" builtinId="19" customBuiltin="1"/>
    <cellStyle name="Énfasis1" xfId="28" builtinId="29" customBuiltin="1"/>
    <cellStyle name="Énfasis2" xfId="32" builtinId="33" customBuiltin="1"/>
    <cellStyle name="Énfasis3" xfId="36" builtinId="37" customBuiltin="1"/>
    <cellStyle name="Énfasis4" xfId="40" builtinId="41" customBuiltin="1"/>
    <cellStyle name="Énfasis5" xfId="44" builtinId="45" customBuiltin="1"/>
    <cellStyle name="Énfasis6" xfId="48" builtinId="49" customBuiltin="1"/>
    <cellStyle name="Entrada" xfId="19" builtinId="20" customBuiltin="1"/>
    <cellStyle name="Euro" xfId="2"/>
    <cellStyle name="Incorrecto" xfId="17" builtinId="27" customBuiltin="1"/>
    <cellStyle name="Millares" xfId="8" builtinId="3"/>
    <cellStyle name="Moneda 2" xfId="96"/>
    <cellStyle name="Moneda 2 2" xfId="97"/>
    <cellStyle name="Neutral" xfId="18" builtinId="28" customBuiltin="1"/>
    <cellStyle name="Normal" xfId="0" builtinId="0"/>
    <cellStyle name="Normal 10" xfId="55"/>
    <cellStyle name="Normal 11" xfId="56"/>
    <cellStyle name="Normal 12" xfId="62"/>
    <cellStyle name="Normal 13" xfId="65"/>
    <cellStyle name="Normal 14" xfId="64"/>
    <cellStyle name="Normal 15" xfId="66"/>
    <cellStyle name="Normal 16" xfId="61"/>
    <cellStyle name="Normal 17" xfId="67"/>
    <cellStyle name="Normal 18" xfId="68"/>
    <cellStyle name="Normal 19" xfId="69"/>
    <cellStyle name="Normal 2" xfId="1"/>
    <cellStyle name="Normal 2 2" xfId="3"/>
    <cellStyle name="Normal 2 3" xfId="4"/>
    <cellStyle name="Normal 2 3 2" xfId="98"/>
    <cellStyle name="Normal 2 4" xfId="5"/>
    <cellStyle name="Normal 20" xfId="70"/>
    <cellStyle name="Normal 21" xfId="71"/>
    <cellStyle name="Normal 22" xfId="72"/>
    <cellStyle name="Normal 23" xfId="73"/>
    <cellStyle name="Normal 24" xfId="74"/>
    <cellStyle name="Normal 25" xfId="75"/>
    <cellStyle name="Normal 26" xfId="76"/>
    <cellStyle name="Normal 27" xfId="77"/>
    <cellStyle name="Normal 28" xfId="78"/>
    <cellStyle name="Normal 29" xfId="79"/>
    <cellStyle name="Normal 3" xfId="6"/>
    <cellStyle name="Normal 3 2" xfId="95"/>
    <cellStyle name="Normal 30" xfId="80"/>
    <cellStyle name="Normal 31" xfId="81"/>
    <cellStyle name="Normal 32" xfId="53"/>
    <cellStyle name="Normal 33" xfId="82"/>
    <cellStyle name="Normal 34" xfId="63"/>
    <cellStyle name="Normal 35" xfId="83"/>
    <cellStyle name="Normal 4" xfId="52"/>
    <cellStyle name="Normal 5" xfId="58"/>
    <cellStyle name="Normal 6" xfId="59"/>
    <cellStyle name="Normal 7" xfId="54"/>
    <cellStyle name="Normal 8" xfId="57"/>
    <cellStyle name="Normal 9" xfId="60"/>
    <cellStyle name="Normal_110TL" xfId="100"/>
    <cellStyle name="Normal_CARGA EN SAP" xfId="10"/>
    <cellStyle name="Normal_Hoja1" xfId="7"/>
    <cellStyle name="Normal_Hoja1 2" xfId="94"/>
    <cellStyle name="Normal_Hoja2" xfId="101"/>
    <cellStyle name="Normal_TABLA_1" xfId="84"/>
    <cellStyle name="Normal_Ver_A" xfId="85"/>
    <cellStyle name="Normal_Ver_E-F" xfId="86"/>
    <cellStyle name="Normal_Ver_G, IDA" xfId="9"/>
    <cellStyle name="Notas" xfId="25" builtinId="10" customBuiltin="1"/>
    <cellStyle name="Notas 2" xfId="87"/>
    <cellStyle name="Notas 2 2" xfId="99"/>
    <cellStyle name="Notas 3" xfId="88"/>
    <cellStyle name="Notas 4" xfId="89"/>
    <cellStyle name="Notas 5" xfId="90"/>
    <cellStyle name="Notas 6" xfId="91"/>
    <cellStyle name="Notas 7" xfId="92"/>
    <cellStyle name="Notas 8" xfId="93"/>
    <cellStyle name="Salida" xfId="20" builtinId="21" customBuiltin="1"/>
    <cellStyle name="Texto de advertencia" xfId="24" builtinId="11" customBuiltin="1"/>
    <cellStyle name="Texto explicativo" xfId="26" builtinId="53" customBuiltin="1"/>
    <cellStyle name="Título" xfId="11" builtinId="15" customBuiltin="1"/>
    <cellStyle name="Título 1" xfId="12" builtinId="16" customBuiltin="1"/>
    <cellStyle name="Título 2" xfId="13" builtinId="17" customBuiltin="1"/>
    <cellStyle name="Título 3" xfId="14" builtinId="18" customBuiltin="1"/>
    <cellStyle name="Total" xfId="27" builtinId="25" customBuiltin="1"/>
  </cellStyles>
  <dxfs count="4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8.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48"/>
  <sheetViews>
    <sheetView tabSelected="1" zoomScale="90" zoomScaleNormal="90" workbookViewId="0">
      <pane ySplit="2" topLeftCell="A308" activePane="bottomLeft" state="frozen"/>
      <selection pane="bottomLeft" activeCell="D262" sqref="D262"/>
    </sheetView>
  </sheetViews>
  <sheetFormatPr baseColWidth="10" defaultRowHeight="15" x14ac:dyDescent="0.25"/>
  <cols>
    <col min="1" max="1" width="29.5703125" style="1383" customWidth="1"/>
    <col min="2" max="2" width="14.5703125" style="794" customWidth="1"/>
    <col min="3" max="3" width="55.5703125" style="794" customWidth="1"/>
    <col min="4" max="4" width="57" style="1383" customWidth="1"/>
    <col min="5" max="5" width="50.42578125" style="1383" customWidth="1"/>
    <col min="6" max="6" width="14.7109375" style="1383" customWidth="1"/>
    <col min="7" max="8" width="14.5703125" style="1383" customWidth="1"/>
    <col min="9" max="9" width="14.5703125" style="2502" customWidth="1"/>
    <col min="10" max="11" width="11.42578125" style="3604" customWidth="1"/>
    <col min="12" max="12" width="11.42578125" style="1383" customWidth="1"/>
    <col min="13" max="13" width="12.140625" style="1346" customWidth="1"/>
    <col min="14" max="15" width="11.7109375" style="1383" customWidth="1"/>
    <col min="16" max="16" width="11.28515625" style="1383" customWidth="1"/>
    <col min="17" max="17" width="13.7109375" style="1383" customWidth="1"/>
    <col min="18" max="18" width="11" style="1804" customWidth="1"/>
    <col min="19" max="19" width="13.85546875" style="1383" customWidth="1"/>
    <col min="20" max="20" width="11" style="1804" customWidth="1"/>
    <col min="21" max="21" width="11.28515625" style="1804" customWidth="1"/>
    <col min="22" max="22" width="15.42578125" style="1804" customWidth="1"/>
    <col min="23" max="23" width="12.140625" style="2633" customWidth="1"/>
    <col min="24" max="24" width="15.7109375" style="1804" customWidth="1"/>
    <col min="25" max="25" width="12.5703125" style="1804" customWidth="1"/>
    <col min="26" max="26" width="7" style="1804" customWidth="1"/>
    <col min="27" max="27" width="9.5703125" style="2621" customWidth="1"/>
    <col min="28" max="28" width="14.140625" style="2118" customWidth="1"/>
    <col min="29" max="29" width="13.85546875" style="1804" customWidth="1"/>
    <col min="30" max="30" width="11.42578125" style="1383" hidden="1" customWidth="1"/>
    <col min="31" max="32" width="11.42578125" style="1383"/>
    <col min="33" max="33" width="12.7109375" style="1383" customWidth="1"/>
    <col min="34" max="34" width="20.42578125" style="1383" customWidth="1"/>
    <col min="35" max="16384" width="11.42578125" style="1383"/>
  </cols>
  <sheetData>
    <row r="1" spans="1:30" ht="15.75" thickBot="1" x14ac:dyDescent="0.3">
      <c r="T1" s="75" t="s">
        <v>1101</v>
      </c>
      <c r="U1" s="75" t="s">
        <v>1102</v>
      </c>
      <c r="V1" s="75" t="s">
        <v>1103</v>
      </c>
      <c r="W1" s="75" t="s">
        <v>1607</v>
      </c>
      <c r="X1" s="75" t="s">
        <v>3008</v>
      </c>
      <c r="Y1" s="75" t="s">
        <v>1673</v>
      </c>
      <c r="Z1" s="75" t="s">
        <v>1674</v>
      </c>
      <c r="AA1" s="2621" t="s">
        <v>1379</v>
      </c>
      <c r="AB1" s="2118" t="s">
        <v>1427</v>
      </c>
      <c r="AC1" s="1804" t="s">
        <v>1548</v>
      </c>
      <c r="AD1" s="75" t="s">
        <v>1675</v>
      </c>
    </row>
    <row r="2" spans="1:30" s="1323" customFormat="1" ht="45" x14ac:dyDescent="0.25">
      <c r="A2" s="1333" t="s">
        <v>79</v>
      </c>
      <c r="B2" s="1324" t="s">
        <v>936</v>
      </c>
      <c r="C2" s="1333" t="s">
        <v>1222</v>
      </c>
      <c r="D2" s="76" t="s">
        <v>1</v>
      </c>
      <c r="E2" s="76" t="s">
        <v>525</v>
      </c>
      <c r="F2" s="1332" t="s">
        <v>1223</v>
      </c>
      <c r="G2" s="1332" t="s">
        <v>1224</v>
      </c>
      <c r="H2" s="1332" t="s">
        <v>3795</v>
      </c>
      <c r="I2" s="2503" t="s">
        <v>3794</v>
      </c>
      <c r="J2" s="3605" t="s">
        <v>3315</v>
      </c>
      <c r="K2" s="3605" t="s">
        <v>2603</v>
      </c>
      <c r="L2" s="1332" t="s">
        <v>1676</v>
      </c>
      <c r="M2" s="2366" t="s">
        <v>3818</v>
      </c>
      <c r="N2" s="1806" t="s">
        <v>2605</v>
      </c>
      <c r="O2" s="2501" t="s">
        <v>3803</v>
      </c>
      <c r="P2" s="320" t="s">
        <v>252</v>
      </c>
      <c r="Q2" s="1326" t="s">
        <v>265</v>
      </c>
      <c r="R2" s="1325" t="s">
        <v>253</v>
      </c>
      <c r="S2" s="1327" t="s">
        <v>267</v>
      </c>
      <c r="T2" s="1322"/>
      <c r="U2" s="1322"/>
      <c r="V2" s="1322"/>
      <c r="W2" s="1322"/>
      <c r="X2" s="1322"/>
      <c r="Y2" s="1322"/>
      <c r="Z2" s="1322"/>
      <c r="AA2" s="2624"/>
      <c r="AB2" s="1322"/>
      <c r="AC2" s="1322"/>
    </row>
    <row r="3" spans="1:30" s="1351" customFormat="1" x14ac:dyDescent="0.25">
      <c r="A3" s="1082" t="s">
        <v>1565</v>
      </c>
      <c r="B3" s="1848">
        <v>106100918</v>
      </c>
      <c r="C3" s="1287" t="s">
        <v>1539</v>
      </c>
      <c r="D3" s="1349" t="s">
        <v>1679</v>
      </c>
      <c r="E3" s="1335" t="s">
        <v>1680</v>
      </c>
      <c r="F3" s="1083">
        <f t="shared" ref="F3:F34" si="0">LEN(D3)</f>
        <v>42</v>
      </c>
      <c r="G3" s="1083">
        <f t="shared" ref="G3:G34" si="1">LEN(E3)</f>
        <v>40</v>
      </c>
      <c r="H3" s="3832" t="s">
        <v>3801</v>
      </c>
      <c r="I3" s="2504">
        <v>3.1</v>
      </c>
      <c r="J3" s="2356">
        <v>3.1</v>
      </c>
      <c r="K3" s="2356">
        <v>3.1</v>
      </c>
      <c r="L3" s="1281">
        <v>3.1</v>
      </c>
      <c r="M3" s="3836">
        <v>3.1</v>
      </c>
      <c r="N3" s="1318">
        <f t="shared" ref="N3:N34" si="2">(J3-L3)/L3</f>
        <v>0</v>
      </c>
      <c r="O3" s="1318">
        <f t="shared" ref="O3:O34" si="3">(I3-J3)/J3</f>
        <v>0</v>
      </c>
      <c r="P3" s="1281">
        <f t="shared" ref="P3:P34" si="4">M3/R3</f>
        <v>3.875</v>
      </c>
      <c r="Q3" s="1281">
        <f t="shared" ref="Q3:Q34" si="5">M3/S3</f>
        <v>3.2631578947368425</v>
      </c>
      <c r="R3" s="1347">
        <v>0.8</v>
      </c>
      <c r="S3" s="1347">
        <v>0.95</v>
      </c>
      <c r="T3" s="1083"/>
      <c r="U3" s="1347" t="s">
        <v>1104</v>
      </c>
      <c r="V3" s="1083"/>
      <c r="W3" s="1083"/>
      <c r="X3" s="1083"/>
      <c r="Y3" s="1804"/>
      <c r="Z3" s="142"/>
      <c r="AA3" s="2621"/>
      <c r="AB3" s="2118"/>
      <c r="AC3" s="1804"/>
      <c r="AD3" s="1383"/>
    </row>
    <row r="4" spans="1:30" x14ac:dyDescent="0.25">
      <c r="A4" s="1084" t="s">
        <v>315</v>
      </c>
      <c r="B4" s="1848">
        <v>106101018</v>
      </c>
      <c r="C4" s="1287" t="s">
        <v>1533</v>
      </c>
      <c r="D4" s="1349" t="s">
        <v>1681</v>
      </c>
      <c r="E4" s="1335" t="s">
        <v>1681</v>
      </c>
      <c r="F4" s="1083">
        <f t="shared" si="0"/>
        <v>31</v>
      </c>
      <c r="G4" s="1083">
        <f t="shared" si="1"/>
        <v>31</v>
      </c>
      <c r="H4" s="3832" t="s">
        <v>3801</v>
      </c>
      <c r="I4" s="2504">
        <v>156.03333333333333</v>
      </c>
      <c r="J4" s="2356">
        <v>156.03</v>
      </c>
      <c r="K4" s="2356">
        <v>156.03</v>
      </c>
      <c r="L4" s="1281">
        <v>109.34</v>
      </c>
      <c r="M4" s="3836">
        <v>156.03</v>
      </c>
      <c r="N4" s="1318">
        <f t="shared" si="2"/>
        <v>0.42701664532650446</v>
      </c>
      <c r="O4" s="1318">
        <f t="shared" si="3"/>
        <v>2.1363413018844462E-5</v>
      </c>
      <c r="P4" s="1281">
        <f t="shared" si="4"/>
        <v>195.03749999999999</v>
      </c>
      <c r="Q4" s="1281">
        <f t="shared" si="5"/>
        <v>164.2421052631579</v>
      </c>
      <c r="R4" s="1347">
        <v>0.8</v>
      </c>
      <c r="S4" s="1347">
        <v>0.95</v>
      </c>
      <c r="T4" s="1083"/>
      <c r="U4" s="1347" t="s">
        <v>1104</v>
      </c>
      <c r="V4" s="1083"/>
      <c r="W4" s="1083"/>
      <c r="X4" s="1083"/>
      <c r="AA4" s="275"/>
      <c r="AB4" s="1347"/>
      <c r="AC4" s="1347"/>
      <c r="AD4" s="99"/>
    </row>
    <row r="5" spans="1:30" x14ac:dyDescent="0.25">
      <c r="A5" s="1082" t="s">
        <v>1593</v>
      </c>
      <c r="B5" s="1848">
        <v>106101089</v>
      </c>
      <c r="C5" s="291" t="s">
        <v>2406</v>
      </c>
      <c r="D5" s="1358" t="s">
        <v>1594</v>
      </c>
      <c r="E5" s="1356" t="s">
        <v>1595</v>
      </c>
      <c r="F5" s="1083">
        <f t="shared" si="0"/>
        <v>16</v>
      </c>
      <c r="G5" s="1083">
        <f t="shared" si="1"/>
        <v>19</v>
      </c>
      <c r="H5" s="3832" t="s">
        <v>3797</v>
      </c>
      <c r="I5" s="2504">
        <v>7.3666666666666663</v>
      </c>
      <c r="J5" s="2356">
        <v>7.69</v>
      </c>
      <c r="K5" s="2356">
        <v>7.37</v>
      </c>
      <c r="L5" s="1281">
        <v>7.37</v>
      </c>
      <c r="M5" s="3836">
        <v>7.69</v>
      </c>
      <c r="N5" s="1318">
        <f t="shared" si="2"/>
        <v>4.3419267299864353E-2</v>
      </c>
      <c r="O5" s="1318">
        <f t="shared" si="3"/>
        <v>-4.2045947117468674E-2</v>
      </c>
      <c r="P5" s="1281">
        <f t="shared" si="4"/>
        <v>9.6125000000000007</v>
      </c>
      <c r="Q5" s="1281">
        <f t="shared" si="5"/>
        <v>8.0947368421052648</v>
      </c>
      <c r="R5" s="1347">
        <v>0.8</v>
      </c>
      <c r="S5" s="1347">
        <v>0.95</v>
      </c>
      <c r="T5" s="1383"/>
      <c r="U5" s="2218"/>
      <c r="V5" s="2218"/>
      <c r="W5" s="2633" t="s">
        <v>1104</v>
      </c>
      <c r="X5" s="2218"/>
      <c r="Y5" s="2218"/>
      <c r="AB5" s="2218"/>
      <c r="AC5" s="2218"/>
    </row>
    <row r="6" spans="1:30" ht="16.5" customHeight="1" x14ac:dyDescent="0.25">
      <c r="A6" s="1082" t="s">
        <v>57</v>
      </c>
      <c r="B6" s="1848">
        <v>106101116</v>
      </c>
      <c r="C6" s="1287" t="s">
        <v>1682</v>
      </c>
      <c r="D6" s="1349" t="s">
        <v>1683</v>
      </c>
      <c r="E6" s="1335" t="s">
        <v>1684</v>
      </c>
      <c r="F6" s="1083">
        <f t="shared" si="0"/>
        <v>39</v>
      </c>
      <c r="G6" s="1083">
        <f t="shared" si="1"/>
        <v>36</v>
      </c>
      <c r="H6" s="3832" t="s">
        <v>3797</v>
      </c>
      <c r="I6" s="2504">
        <v>1.0777777777777777</v>
      </c>
      <c r="J6" s="2356">
        <v>1.08</v>
      </c>
      <c r="K6" s="2356">
        <v>1.08</v>
      </c>
      <c r="L6" s="1281">
        <v>1.08</v>
      </c>
      <c r="M6" s="3836">
        <v>1.08</v>
      </c>
      <c r="N6" s="1318">
        <f t="shared" si="2"/>
        <v>0</v>
      </c>
      <c r="O6" s="1318">
        <f t="shared" si="3"/>
        <v>-2.0576131687243958E-3</v>
      </c>
      <c r="P6" s="1281">
        <f t="shared" si="4"/>
        <v>1.35</v>
      </c>
      <c r="Q6" s="1281">
        <f t="shared" si="5"/>
        <v>1.1368421052631581</v>
      </c>
      <c r="R6" s="1347">
        <v>0.8</v>
      </c>
      <c r="S6" s="1347">
        <v>0.95</v>
      </c>
      <c r="T6" s="1347" t="s">
        <v>1104</v>
      </c>
      <c r="U6" s="1347"/>
      <c r="V6" s="1347"/>
      <c r="W6" s="1347"/>
      <c r="X6" s="1347"/>
      <c r="Y6" s="2217"/>
      <c r="AA6" s="2623"/>
      <c r="AB6" s="2219"/>
      <c r="AC6" s="2219"/>
      <c r="AD6" s="2221"/>
    </row>
    <row r="7" spans="1:30" x14ac:dyDescent="0.25">
      <c r="A7" s="1084" t="s">
        <v>305</v>
      </c>
      <c r="B7" s="1848">
        <v>106101159</v>
      </c>
      <c r="C7" s="1287" t="s">
        <v>771</v>
      </c>
      <c r="D7" s="1349" t="s">
        <v>1685</v>
      </c>
      <c r="E7" s="1335" t="s">
        <v>1686</v>
      </c>
      <c r="F7" s="1083">
        <f t="shared" si="0"/>
        <v>39</v>
      </c>
      <c r="G7" s="1083">
        <f t="shared" si="1"/>
        <v>39</v>
      </c>
      <c r="H7" s="3832" t="s">
        <v>3797</v>
      </c>
      <c r="I7" s="2504">
        <v>193.62222222222221</v>
      </c>
      <c r="J7" s="2356">
        <v>193.62</v>
      </c>
      <c r="K7" s="2356">
        <v>193.62</v>
      </c>
      <c r="L7" s="1281">
        <v>193.62</v>
      </c>
      <c r="M7" s="3836">
        <v>193.62</v>
      </c>
      <c r="N7" s="1318">
        <f t="shared" si="2"/>
        <v>0</v>
      </c>
      <c r="O7" s="1318">
        <f t="shared" si="3"/>
        <v>1.1477234904458492E-5</v>
      </c>
      <c r="P7" s="1281">
        <f t="shared" si="4"/>
        <v>242.02500000000001</v>
      </c>
      <c r="Q7" s="1281">
        <f t="shared" si="5"/>
        <v>203.81052631578947</v>
      </c>
      <c r="R7" s="1347">
        <v>0.8</v>
      </c>
      <c r="S7" s="1347">
        <v>0.95</v>
      </c>
      <c r="T7" s="1347"/>
      <c r="U7" s="1347" t="s">
        <v>1104</v>
      </c>
      <c r="V7" s="1347"/>
      <c r="W7" s="1347"/>
      <c r="X7" s="1347"/>
      <c r="Y7" s="142"/>
    </row>
    <row r="8" spans="1:30" ht="15" customHeight="1" x14ac:dyDescent="0.25">
      <c r="A8" s="1082"/>
      <c r="B8" s="1848">
        <v>106101461</v>
      </c>
      <c r="C8" s="291" t="s">
        <v>2407</v>
      </c>
      <c r="D8" s="1358" t="s">
        <v>2326</v>
      </c>
      <c r="E8" s="1356" t="s">
        <v>2327</v>
      </c>
      <c r="F8" s="1083">
        <f t="shared" si="0"/>
        <v>40</v>
      </c>
      <c r="G8" s="1083">
        <f t="shared" si="1"/>
        <v>33</v>
      </c>
      <c r="H8" s="3832" t="s">
        <v>3801</v>
      </c>
      <c r="I8" s="2504">
        <v>33.97</v>
      </c>
      <c r="J8" s="2356">
        <v>33.97</v>
      </c>
      <c r="K8" s="2356">
        <v>38.58</v>
      </c>
      <c r="L8" s="1281">
        <v>38.58</v>
      </c>
      <c r="M8" s="3836">
        <v>33.97</v>
      </c>
      <c r="N8" s="1318">
        <f t="shared" si="2"/>
        <v>-0.11949196474857438</v>
      </c>
      <c r="O8" s="1318">
        <f t="shared" si="3"/>
        <v>0</v>
      </c>
      <c r="P8" s="1281">
        <f t="shared" si="4"/>
        <v>42.462499999999999</v>
      </c>
      <c r="Q8" s="1281">
        <f t="shared" si="5"/>
        <v>35.757894736842104</v>
      </c>
      <c r="R8" s="1347">
        <v>0.8</v>
      </c>
      <c r="S8" s="1347">
        <v>0.95</v>
      </c>
      <c r="T8" s="1383"/>
      <c r="U8" s="2218"/>
      <c r="V8" s="2218"/>
      <c r="W8" s="2633" t="s">
        <v>1104</v>
      </c>
      <c r="X8" s="2218"/>
    </row>
    <row r="9" spans="1:30" x14ac:dyDescent="0.25">
      <c r="A9" s="1082" t="s">
        <v>65</v>
      </c>
      <c r="B9" s="1848">
        <v>106101558</v>
      </c>
      <c r="C9" s="1287" t="s">
        <v>1687</v>
      </c>
      <c r="D9" s="1348" t="s">
        <v>1688</v>
      </c>
      <c r="E9" s="1335" t="s">
        <v>1689</v>
      </c>
      <c r="F9" s="1083">
        <f t="shared" si="0"/>
        <v>43</v>
      </c>
      <c r="G9" s="1083">
        <f t="shared" si="1"/>
        <v>44</v>
      </c>
      <c r="H9" s="3832" t="s">
        <v>3797</v>
      </c>
      <c r="I9" s="2504">
        <v>49.866666666666667</v>
      </c>
      <c r="J9" s="2356">
        <v>49.49</v>
      </c>
      <c r="K9" s="2356">
        <v>53.26</v>
      </c>
      <c r="L9" s="1281">
        <v>53.26</v>
      </c>
      <c r="M9" s="3836">
        <f>M143</f>
        <v>49.87</v>
      </c>
      <c r="N9" s="1318">
        <f t="shared" si="2"/>
        <v>-7.0784829140067521E-2</v>
      </c>
      <c r="O9" s="1318">
        <f t="shared" si="3"/>
        <v>7.610965178150437E-3</v>
      </c>
      <c r="P9" s="1281">
        <f t="shared" si="4"/>
        <v>62.337499999999991</v>
      </c>
      <c r="Q9" s="1281">
        <f t="shared" si="5"/>
        <v>52.494736842105262</v>
      </c>
      <c r="R9" s="1347">
        <v>0.8</v>
      </c>
      <c r="S9" s="1347">
        <v>0.95</v>
      </c>
      <c r="T9" s="1347"/>
      <c r="U9" s="1347" t="s">
        <v>1104</v>
      </c>
      <c r="V9" s="1347"/>
      <c r="W9" s="1347"/>
      <c r="X9" s="1347"/>
      <c r="AB9" s="1347">
        <v>106114372</v>
      </c>
      <c r="AD9" s="1383">
        <v>155</v>
      </c>
    </row>
    <row r="10" spans="1:30" ht="15" customHeight="1" x14ac:dyDescent="0.25">
      <c r="A10" s="1084" t="s">
        <v>946</v>
      </c>
      <c r="B10" s="1848">
        <v>106101723</v>
      </c>
      <c r="C10" s="1287" t="s">
        <v>1690</v>
      </c>
      <c r="D10" s="1348" t="s">
        <v>1691</v>
      </c>
      <c r="E10" s="1335" t="s">
        <v>1692</v>
      </c>
      <c r="F10" s="1083">
        <f t="shared" si="0"/>
        <v>43</v>
      </c>
      <c r="G10" s="1083">
        <f t="shared" si="1"/>
        <v>31</v>
      </c>
      <c r="H10" s="3832" t="s">
        <v>3797</v>
      </c>
      <c r="I10" s="2504">
        <v>62.777777777777779</v>
      </c>
      <c r="J10" s="2356">
        <v>62.78</v>
      </c>
      <c r="K10" s="2356">
        <v>62.76</v>
      </c>
      <c r="L10" s="1281">
        <v>59.48</v>
      </c>
      <c r="M10" s="3836">
        <f>M145</f>
        <v>74.28</v>
      </c>
      <c r="N10" s="1318">
        <f t="shared" si="2"/>
        <v>5.5480833893745869E-2</v>
      </c>
      <c r="O10" s="1318">
        <f t="shared" si="3"/>
        <v>-3.5396977098161351E-5</v>
      </c>
      <c r="P10" s="1281">
        <f t="shared" si="4"/>
        <v>92.85</v>
      </c>
      <c r="Q10" s="1281">
        <f t="shared" si="5"/>
        <v>78.189473684210526</v>
      </c>
      <c r="R10" s="1347">
        <v>0.8</v>
      </c>
      <c r="S10" s="1347">
        <v>0.95</v>
      </c>
      <c r="T10" s="1347" t="s">
        <v>1104</v>
      </c>
      <c r="U10" s="1347" t="s">
        <v>1104</v>
      </c>
      <c r="V10" s="1347"/>
      <c r="W10" s="1347"/>
      <c r="X10" s="1347"/>
      <c r="Y10" s="142"/>
      <c r="Z10" s="142"/>
      <c r="AA10" s="275"/>
      <c r="AB10" s="1347">
        <v>106111795</v>
      </c>
      <c r="AC10" s="1347"/>
      <c r="AD10" s="99"/>
    </row>
    <row r="11" spans="1:30" x14ac:dyDescent="0.25">
      <c r="A11" s="1082"/>
      <c r="B11" s="1848">
        <v>106103437</v>
      </c>
      <c r="C11" s="291" t="s">
        <v>1530</v>
      </c>
      <c r="D11" s="1358" t="s">
        <v>2386</v>
      </c>
      <c r="E11" s="1356" t="s">
        <v>2572</v>
      </c>
      <c r="F11" s="1083">
        <f t="shared" si="0"/>
        <v>35</v>
      </c>
      <c r="G11" s="1083">
        <f t="shared" si="1"/>
        <v>32</v>
      </c>
      <c r="H11" s="3832" t="s">
        <v>3801</v>
      </c>
      <c r="I11" s="2504">
        <v>13.955555555555556</v>
      </c>
      <c r="J11" s="2356">
        <v>13.96</v>
      </c>
      <c r="K11" s="2356">
        <v>13.96</v>
      </c>
      <c r="L11" s="1281">
        <v>13.96</v>
      </c>
      <c r="M11" s="3836">
        <v>13.96</v>
      </c>
      <c r="N11" s="1318">
        <f t="shared" si="2"/>
        <v>0</v>
      </c>
      <c r="O11" s="1318">
        <f t="shared" si="3"/>
        <v>-3.1836994587715897E-4</v>
      </c>
      <c r="P11" s="1281">
        <f t="shared" si="4"/>
        <v>17.45</v>
      </c>
      <c r="Q11" s="1281">
        <f t="shared" si="5"/>
        <v>14.694736842105264</v>
      </c>
      <c r="R11" s="1347">
        <v>0.8</v>
      </c>
      <c r="S11" s="1347">
        <v>0.95</v>
      </c>
      <c r="T11" s="1383"/>
      <c r="U11" s="2218"/>
      <c r="V11" s="2218"/>
      <c r="W11" s="2633" t="s">
        <v>1104</v>
      </c>
      <c r="X11" s="2218"/>
    </row>
    <row r="12" spans="1:30" x14ac:dyDescent="0.25">
      <c r="A12" s="1082" t="s">
        <v>1562</v>
      </c>
      <c r="B12" s="1848">
        <v>106104081</v>
      </c>
      <c r="C12" s="1287" t="s">
        <v>1544</v>
      </c>
      <c r="D12" s="1349" t="s">
        <v>1693</v>
      </c>
      <c r="E12" s="1335" t="s">
        <v>1694</v>
      </c>
      <c r="F12" s="1083">
        <f t="shared" si="0"/>
        <v>43</v>
      </c>
      <c r="G12" s="1083">
        <f t="shared" si="1"/>
        <v>40</v>
      </c>
      <c r="H12" s="3832" t="s">
        <v>3801</v>
      </c>
      <c r="I12" s="2504">
        <v>21.844444444444445</v>
      </c>
      <c r="J12" s="2356">
        <v>22.62</v>
      </c>
      <c r="K12" s="2356">
        <v>22.62</v>
      </c>
      <c r="L12" s="1281">
        <v>31.16</v>
      </c>
      <c r="M12" s="3836">
        <v>22.62</v>
      </c>
      <c r="N12" s="1318">
        <f t="shared" si="2"/>
        <v>-0.2740693196405648</v>
      </c>
      <c r="O12" s="1318">
        <f t="shared" si="3"/>
        <v>-3.4286275665586029E-2</v>
      </c>
      <c r="P12" s="1281">
        <f t="shared" si="4"/>
        <v>28.274999999999999</v>
      </c>
      <c r="Q12" s="1281">
        <f t="shared" si="5"/>
        <v>23.810526315789478</v>
      </c>
      <c r="R12" s="1347">
        <v>0.8</v>
      </c>
      <c r="S12" s="1347">
        <v>0.95</v>
      </c>
      <c r="T12" s="1347"/>
      <c r="U12" s="1347" t="s">
        <v>1104</v>
      </c>
      <c r="V12" s="1347"/>
      <c r="W12" s="1347"/>
      <c r="X12" s="1347"/>
    </row>
    <row r="13" spans="1:30" s="99" customFormat="1" ht="15.75" customHeight="1" x14ac:dyDescent="0.25">
      <c r="A13" s="1082" t="s">
        <v>1563</v>
      </c>
      <c r="B13" s="1848">
        <v>106104084</v>
      </c>
      <c r="C13" s="1287" t="s">
        <v>1543</v>
      </c>
      <c r="D13" s="1349" t="s">
        <v>1354</v>
      </c>
      <c r="E13" s="1335" t="s">
        <v>1355</v>
      </c>
      <c r="F13" s="1083">
        <f t="shared" si="0"/>
        <v>43</v>
      </c>
      <c r="G13" s="1083">
        <f t="shared" si="1"/>
        <v>40</v>
      </c>
      <c r="H13" s="3832" t="s">
        <v>3801</v>
      </c>
      <c r="I13" s="2504">
        <v>48.833333333333336</v>
      </c>
      <c r="J13" s="2356">
        <v>48.86</v>
      </c>
      <c r="K13" s="2356">
        <v>79.92</v>
      </c>
      <c r="L13" s="1281">
        <v>84.47</v>
      </c>
      <c r="M13" s="3836">
        <v>48.86</v>
      </c>
      <c r="N13" s="1318">
        <f t="shared" si="2"/>
        <v>-0.42156978809044632</v>
      </c>
      <c r="O13" s="1318">
        <f t="shared" si="3"/>
        <v>-5.457770500749842E-4</v>
      </c>
      <c r="P13" s="1281">
        <f t="shared" si="4"/>
        <v>61.074999999999996</v>
      </c>
      <c r="Q13" s="1281">
        <f t="shared" si="5"/>
        <v>51.431578947368422</v>
      </c>
      <c r="R13" s="1347">
        <v>0.8</v>
      </c>
      <c r="S13" s="1347">
        <v>0.95</v>
      </c>
      <c r="T13" s="1347"/>
      <c r="U13" s="1347" t="s">
        <v>1104</v>
      </c>
      <c r="V13" s="1347" t="s">
        <v>1104</v>
      </c>
      <c r="W13" s="1347"/>
      <c r="X13" s="1347"/>
      <c r="Y13" s="1804"/>
      <c r="Z13" s="2218"/>
      <c r="AA13" s="2621"/>
      <c r="AB13" s="2118"/>
      <c r="AC13" s="1804">
        <v>106204083</v>
      </c>
      <c r="AD13" s="1383">
        <v>239</v>
      </c>
    </row>
    <row r="14" spans="1:30" s="99" customFormat="1" ht="15.75" customHeight="1" x14ac:dyDescent="0.25">
      <c r="A14" s="1084" t="s">
        <v>16</v>
      </c>
      <c r="B14" s="1848">
        <v>106104088</v>
      </c>
      <c r="C14" s="1287" t="s">
        <v>1695</v>
      </c>
      <c r="D14" s="1349" t="s">
        <v>1696</v>
      </c>
      <c r="E14" s="1337" t="s">
        <v>1352</v>
      </c>
      <c r="F14" s="1083">
        <f t="shared" si="0"/>
        <v>23</v>
      </c>
      <c r="G14" s="1083">
        <f t="shared" si="1"/>
        <v>16</v>
      </c>
      <c r="H14" s="3832" t="s">
        <v>3797</v>
      </c>
      <c r="I14" s="2504">
        <v>0.37777777777777777</v>
      </c>
      <c r="J14" s="2356">
        <v>0.38</v>
      </c>
      <c r="K14" s="2356">
        <v>0.38</v>
      </c>
      <c r="L14" s="1281">
        <v>0.38</v>
      </c>
      <c r="M14" s="3836">
        <v>0.38</v>
      </c>
      <c r="N14" s="1318">
        <f t="shared" si="2"/>
        <v>0</v>
      </c>
      <c r="O14" s="1318">
        <f t="shared" si="3"/>
        <v>-5.8479532163743068E-3</v>
      </c>
      <c r="P14" s="1281">
        <f t="shared" si="4"/>
        <v>0.47499999999999998</v>
      </c>
      <c r="Q14" s="1281">
        <f t="shared" si="5"/>
        <v>0.4</v>
      </c>
      <c r="R14" s="1347">
        <v>0.8</v>
      </c>
      <c r="S14" s="1347">
        <v>0.95</v>
      </c>
      <c r="T14" s="1280" t="s">
        <v>1104</v>
      </c>
      <c r="U14" s="1347"/>
      <c r="V14" s="1347"/>
      <c r="W14" s="1347"/>
      <c r="X14" s="1347"/>
      <c r="Y14" s="1804"/>
      <c r="Z14" s="2218"/>
      <c r="AA14" s="2621"/>
      <c r="AB14" s="2118"/>
      <c r="AC14" s="1804"/>
      <c r="AD14" s="1383"/>
    </row>
    <row r="15" spans="1:30" x14ac:dyDescent="0.25">
      <c r="A15" s="1082" t="s">
        <v>138</v>
      </c>
      <c r="B15" s="1848">
        <v>106104091</v>
      </c>
      <c r="C15" s="1287" t="s">
        <v>1535</v>
      </c>
      <c r="D15" s="1349" t="s">
        <v>1697</v>
      </c>
      <c r="E15" s="1335" t="s">
        <v>1698</v>
      </c>
      <c r="F15" s="1083">
        <f t="shared" si="0"/>
        <v>42</v>
      </c>
      <c r="G15" s="1083">
        <f t="shared" si="1"/>
        <v>46</v>
      </c>
      <c r="H15" s="3832" t="s">
        <v>3801</v>
      </c>
      <c r="I15" s="2504">
        <v>4.5888888888888886</v>
      </c>
      <c r="J15" s="2356">
        <v>4.59</v>
      </c>
      <c r="K15" s="2356">
        <v>4.59</v>
      </c>
      <c r="L15" s="1281">
        <v>4.59</v>
      </c>
      <c r="M15" s="3836">
        <v>4.59</v>
      </c>
      <c r="N15" s="1318">
        <f t="shared" si="2"/>
        <v>0</v>
      </c>
      <c r="O15" s="1318">
        <f t="shared" si="3"/>
        <v>-2.4207213749701195E-4</v>
      </c>
      <c r="P15" s="1281">
        <f t="shared" si="4"/>
        <v>5.7374999999999998</v>
      </c>
      <c r="Q15" s="1281">
        <f t="shared" si="5"/>
        <v>4.8315789473684214</v>
      </c>
      <c r="R15" s="1347">
        <v>0.8</v>
      </c>
      <c r="S15" s="1347">
        <v>0.95</v>
      </c>
      <c r="T15" s="1347"/>
      <c r="U15" s="1347" t="s">
        <v>1104</v>
      </c>
      <c r="V15" s="1347"/>
      <c r="W15" s="1347"/>
      <c r="X15" s="1347"/>
    </row>
    <row r="16" spans="1:30" ht="15" customHeight="1" x14ac:dyDescent="0.25">
      <c r="A16" s="1082" t="s">
        <v>1699</v>
      </c>
      <c r="B16" s="1848">
        <v>106104092</v>
      </c>
      <c r="C16" s="1288" t="s">
        <v>1700</v>
      </c>
      <c r="D16" s="1349" t="s">
        <v>1361</v>
      </c>
      <c r="E16" s="1335" t="s">
        <v>1362</v>
      </c>
      <c r="F16" s="1083">
        <f t="shared" si="0"/>
        <v>51</v>
      </c>
      <c r="G16" s="1083">
        <f t="shared" si="1"/>
        <v>43</v>
      </c>
      <c r="H16" s="3832" t="s">
        <v>3801</v>
      </c>
      <c r="I16" s="2504">
        <v>5.655555555555555</v>
      </c>
      <c r="J16" s="2356">
        <v>5.59</v>
      </c>
      <c r="K16" s="2356">
        <v>7.56</v>
      </c>
      <c r="L16" s="1281">
        <v>10.79</v>
      </c>
      <c r="M16" s="3836">
        <v>5.66</v>
      </c>
      <c r="N16" s="1318">
        <f t="shared" si="2"/>
        <v>-0.48192771084337349</v>
      </c>
      <c r="O16" s="1318">
        <f t="shared" si="3"/>
        <v>1.1727290797058166E-2</v>
      </c>
      <c r="P16" s="1281">
        <f t="shared" si="4"/>
        <v>7.0750000000000002</v>
      </c>
      <c r="Q16" s="1281">
        <f t="shared" si="5"/>
        <v>5.957894736842106</v>
      </c>
      <c r="R16" s="1347">
        <v>0.8</v>
      </c>
      <c r="S16" s="1347">
        <v>0.95</v>
      </c>
      <c r="T16" s="1347"/>
      <c r="U16" s="1347" t="s">
        <v>1104</v>
      </c>
      <c r="V16" s="1347" t="s">
        <v>1104</v>
      </c>
      <c r="W16" s="1347"/>
      <c r="X16" s="1347"/>
      <c r="AC16" s="1804" t="s">
        <v>1567</v>
      </c>
      <c r="AD16" s="1383">
        <v>52.17</v>
      </c>
    </row>
    <row r="17" spans="1:30" x14ac:dyDescent="0.25">
      <c r="A17" s="1285" t="s">
        <v>1701</v>
      </c>
      <c r="B17" s="1848">
        <v>106104093</v>
      </c>
      <c r="C17" s="1287" t="s">
        <v>1536</v>
      </c>
      <c r="D17" s="1349" t="s">
        <v>1702</v>
      </c>
      <c r="E17" s="1335" t="s">
        <v>1703</v>
      </c>
      <c r="F17" s="1083">
        <f t="shared" si="0"/>
        <v>47</v>
      </c>
      <c r="G17" s="1083">
        <f t="shared" si="1"/>
        <v>38</v>
      </c>
      <c r="H17" s="3832" t="s">
        <v>3801</v>
      </c>
      <c r="I17" s="2504">
        <v>1.8</v>
      </c>
      <c r="J17" s="2356">
        <v>1.81</v>
      </c>
      <c r="K17" s="2356">
        <v>1.94</v>
      </c>
      <c r="L17" s="1281">
        <v>3.1</v>
      </c>
      <c r="M17" s="3836">
        <v>1.81</v>
      </c>
      <c r="N17" s="1318">
        <f t="shared" si="2"/>
        <v>-0.41612903225806452</v>
      </c>
      <c r="O17" s="1318">
        <f t="shared" si="3"/>
        <v>-5.5248618784530436E-3</v>
      </c>
      <c r="P17" s="1281">
        <f t="shared" si="4"/>
        <v>2.2624999999999997</v>
      </c>
      <c r="Q17" s="1281">
        <f t="shared" si="5"/>
        <v>1.905263157894737</v>
      </c>
      <c r="R17" s="1347">
        <v>0.8</v>
      </c>
      <c r="S17" s="1347">
        <v>0.95</v>
      </c>
      <c r="T17" s="1083" t="s">
        <v>1104</v>
      </c>
      <c r="U17" s="1347" t="s">
        <v>1104</v>
      </c>
      <c r="V17" s="1083"/>
      <c r="W17" s="1083"/>
      <c r="X17" s="1083"/>
      <c r="Z17" s="1347"/>
      <c r="AC17" s="1804" t="s">
        <v>1551</v>
      </c>
    </row>
    <row r="18" spans="1:30" x14ac:dyDescent="0.25">
      <c r="A18" s="1082" t="s">
        <v>1565</v>
      </c>
      <c r="B18" s="1848">
        <v>106104094</v>
      </c>
      <c r="C18" s="1287" t="s">
        <v>1536</v>
      </c>
      <c r="D18" s="1349" t="s">
        <v>1575</v>
      </c>
      <c r="E18" s="1335" t="s">
        <v>1576</v>
      </c>
      <c r="F18" s="1083">
        <f t="shared" si="0"/>
        <v>51</v>
      </c>
      <c r="G18" s="1083">
        <f t="shared" si="1"/>
        <v>49</v>
      </c>
      <c r="H18" s="3832" t="s">
        <v>3801</v>
      </c>
      <c r="I18" s="2504">
        <v>2.3666666666666667</v>
      </c>
      <c r="J18" s="2356">
        <v>2.37</v>
      </c>
      <c r="K18" s="2356">
        <v>2.33</v>
      </c>
      <c r="L18" s="1281">
        <v>2.27</v>
      </c>
      <c r="M18" s="3836">
        <v>2.37</v>
      </c>
      <c r="N18" s="1318">
        <f t="shared" si="2"/>
        <v>4.4052863436123385E-2</v>
      </c>
      <c r="O18" s="1318">
        <f t="shared" si="3"/>
        <v>-1.406469760900173E-3</v>
      </c>
      <c r="P18" s="1281">
        <f t="shared" si="4"/>
        <v>2.9624999999999999</v>
      </c>
      <c r="Q18" s="1281">
        <f t="shared" si="5"/>
        <v>2.4947368421052634</v>
      </c>
      <c r="R18" s="1347">
        <v>0.8</v>
      </c>
      <c r="S18" s="1347">
        <v>0.95</v>
      </c>
      <c r="T18" s="1347"/>
      <c r="U18" s="1347" t="s">
        <v>1104</v>
      </c>
      <c r="V18" s="1347" t="s">
        <v>1104</v>
      </c>
      <c r="W18" s="1347"/>
      <c r="X18" s="1347"/>
      <c r="Z18" s="1347"/>
      <c r="AC18" s="1804">
        <v>106204083</v>
      </c>
      <c r="AD18" s="86">
        <v>10</v>
      </c>
    </row>
    <row r="19" spans="1:30" x14ac:dyDescent="0.25">
      <c r="A19" s="1082" t="s">
        <v>473</v>
      </c>
      <c r="B19" s="1848">
        <v>106104096</v>
      </c>
      <c r="C19" s="1287" t="s">
        <v>1537</v>
      </c>
      <c r="D19" s="1349" t="s">
        <v>1704</v>
      </c>
      <c r="E19" s="1339" t="s">
        <v>1705</v>
      </c>
      <c r="F19" s="1083">
        <f t="shared" si="0"/>
        <v>42</v>
      </c>
      <c r="G19" s="1083">
        <f t="shared" si="1"/>
        <v>43</v>
      </c>
      <c r="H19" s="3832" t="s">
        <v>3801</v>
      </c>
      <c r="I19" s="2504">
        <v>7.8888888888888884</v>
      </c>
      <c r="J19" s="2356">
        <v>7.89</v>
      </c>
      <c r="K19" s="2356">
        <v>7.89</v>
      </c>
      <c r="L19" s="1281">
        <v>7.89</v>
      </c>
      <c r="M19" s="3836">
        <v>7.89</v>
      </c>
      <c r="N19" s="1318">
        <f t="shared" si="2"/>
        <v>0</v>
      </c>
      <c r="O19" s="1318">
        <f t="shared" si="3"/>
        <v>-1.4082523588229213E-4</v>
      </c>
      <c r="P19" s="1281">
        <f t="shared" si="4"/>
        <v>9.8624999999999989</v>
      </c>
      <c r="Q19" s="1281">
        <f t="shared" si="5"/>
        <v>8.3052631578947373</v>
      </c>
      <c r="R19" s="1347">
        <v>0.8</v>
      </c>
      <c r="S19" s="1347">
        <v>0.95</v>
      </c>
      <c r="T19" s="1347"/>
      <c r="U19" s="1347" t="s">
        <v>1104</v>
      </c>
      <c r="V19" s="1347"/>
      <c r="W19" s="1347"/>
      <c r="X19" s="1347"/>
    </row>
    <row r="20" spans="1:30" x14ac:dyDescent="0.25">
      <c r="A20" s="1084" t="s">
        <v>943</v>
      </c>
      <c r="B20" s="1848">
        <v>106104100</v>
      </c>
      <c r="C20" s="1287" t="s">
        <v>1538</v>
      </c>
      <c r="D20" s="1349" t="s">
        <v>1706</v>
      </c>
      <c r="E20" s="1335" t="s">
        <v>1707</v>
      </c>
      <c r="F20" s="1083">
        <f t="shared" si="0"/>
        <v>41</v>
      </c>
      <c r="G20" s="1083">
        <f t="shared" si="1"/>
        <v>32</v>
      </c>
      <c r="H20" s="3832" t="s">
        <v>3801</v>
      </c>
      <c r="I20" s="2504">
        <v>19.222222222222221</v>
      </c>
      <c r="J20" s="2356">
        <v>19.22</v>
      </c>
      <c r="K20" s="2356">
        <v>19.22</v>
      </c>
      <c r="L20" s="1281">
        <v>19.22</v>
      </c>
      <c r="M20" s="3836">
        <v>19.22</v>
      </c>
      <c r="N20" s="1318">
        <f t="shared" si="2"/>
        <v>0</v>
      </c>
      <c r="O20" s="1318">
        <f t="shared" si="3"/>
        <v>1.1562030292521175E-4</v>
      </c>
      <c r="P20" s="1281">
        <f t="shared" si="4"/>
        <v>24.024999999999999</v>
      </c>
      <c r="Q20" s="1281">
        <f t="shared" si="5"/>
        <v>20.231578947368419</v>
      </c>
      <c r="R20" s="1347">
        <v>0.8</v>
      </c>
      <c r="S20" s="1347">
        <v>0.95</v>
      </c>
      <c r="T20" s="1280" t="s">
        <v>1104</v>
      </c>
      <c r="U20" s="1280"/>
      <c r="V20" s="1280"/>
      <c r="W20" s="1280"/>
      <c r="X20" s="1280"/>
    </row>
    <row r="21" spans="1:30" x14ac:dyDescent="0.25">
      <c r="A21" s="1082" t="s">
        <v>138</v>
      </c>
      <c r="B21" s="1848">
        <v>106104101</v>
      </c>
      <c r="C21" s="1287" t="s">
        <v>1534</v>
      </c>
      <c r="D21" s="1349" t="s">
        <v>1708</v>
      </c>
      <c r="E21" s="1335" t="s">
        <v>1709</v>
      </c>
      <c r="F21" s="1083">
        <f t="shared" si="0"/>
        <v>52</v>
      </c>
      <c r="G21" s="1083">
        <f t="shared" si="1"/>
        <v>56</v>
      </c>
      <c r="H21" s="3832" t="s">
        <v>3801</v>
      </c>
      <c r="I21" s="2504">
        <v>1.6111111111111109</v>
      </c>
      <c r="J21" s="2356">
        <v>1.58</v>
      </c>
      <c r="K21" s="2356">
        <v>1.62</v>
      </c>
      <c r="L21" s="1281">
        <v>1.63</v>
      </c>
      <c r="M21" s="3836">
        <v>1.61</v>
      </c>
      <c r="N21" s="1318">
        <f t="shared" si="2"/>
        <v>-3.0674846625766763E-2</v>
      </c>
      <c r="O21" s="1318">
        <f t="shared" si="3"/>
        <v>1.9690576652601814E-2</v>
      </c>
      <c r="P21" s="1281">
        <f t="shared" si="4"/>
        <v>2.0125000000000002</v>
      </c>
      <c r="Q21" s="1281">
        <f t="shared" si="5"/>
        <v>1.6947368421052633</v>
      </c>
      <c r="R21" s="1347">
        <v>0.8</v>
      </c>
      <c r="S21" s="1347">
        <v>0.95</v>
      </c>
      <c r="T21" s="1347"/>
      <c r="U21" s="1347" t="s">
        <v>1104</v>
      </c>
      <c r="V21" s="1347" t="s">
        <v>1104</v>
      </c>
      <c r="W21" s="1347"/>
      <c r="X21" s="1347"/>
    </row>
    <row r="22" spans="1:30" x14ac:dyDescent="0.25">
      <c r="A22" s="1285"/>
      <c r="B22" s="1848">
        <v>106104104</v>
      </c>
      <c r="C22" s="1288" t="s">
        <v>1288</v>
      </c>
      <c r="D22" s="1348" t="s">
        <v>1710</v>
      </c>
      <c r="E22" s="1335" t="s">
        <v>1711</v>
      </c>
      <c r="F22" s="1347">
        <f t="shared" si="0"/>
        <v>40</v>
      </c>
      <c r="G22" s="1347">
        <f t="shared" si="1"/>
        <v>31</v>
      </c>
      <c r="H22" s="3832" t="s">
        <v>3801</v>
      </c>
      <c r="I22" s="2504">
        <v>20.019444444444442</v>
      </c>
      <c r="J22" s="2356">
        <v>19.86</v>
      </c>
      <c r="K22" s="2356">
        <v>19.86</v>
      </c>
      <c r="L22" s="1281"/>
      <c r="M22" s="3836">
        <v>20.02</v>
      </c>
      <c r="N22" s="1318" t="e">
        <f t="shared" si="2"/>
        <v>#DIV/0!</v>
      </c>
      <c r="O22" s="1318">
        <f t="shared" si="3"/>
        <v>8.0284211704150423E-3</v>
      </c>
      <c r="P22" s="1281">
        <f t="shared" si="4"/>
        <v>25.024999999999999</v>
      </c>
      <c r="Q22" s="1281">
        <f t="shared" si="5"/>
        <v>21.073684210526316</v>
      </c>
      <c r="R22" s="1347">
        <v>0.8</v>
      </c>
      <c r="S22" s="1347">
        <v>0.95</v>
      </c>
      <c r="T22" s="1347"/>
      <c r="U22" s="1347"/>
      <c r="V22" s="1347"/>
      <c r="W22" s="1347"/>
      <c r="X22" s="1347"/>
      <c r="Z22" s="1804" t="s">
        <v>1104</v>
      </c>
      <c r="AB22" s="2218"/>
      <c r="AC22" s="2218"/>
    </row>
    <row r="23" spans="1:30" x14ac:dyDescent="0.25">
      <c r="A23" s="1084" t="s">
        <v>315</v>
      </c>
      <c r="B23" s="1848">
        <v>106104110</v>
      </c>
      <c r="C23" s="1287" t="s">
        <v>1486</v>
      </c>
      <c r="D23" s="1349" t="s">
        <v>1712</v>
      </c>
      <c r="E23" s="1335" t="s">
        <v>1712</v>
      </c>
      <c r="F23" s="1083">
        <f t="shared" si="0"/>
        <v>32</v>
      </c>
      <c r="G23" s="1083">
        <f t="shared" si="1"/>
        <v>32</v>
      </c>
      <c r="H23" s="3832" t="s">
        <v>3801</v>
      </c>
      <c r="I23" s="2504">
        <v>156.01111111111109</v>
      </c>
      <c r="J23" s="2356">
        <v>89.47</v>
      </c>
      <c r="K23" s="2356">
        <v>89.47</v>
      </c>
      <c r="L23" s="1281">
        <v>229.41</v>
      </c>
      <c r="M23" s="3836">
        <v>156.01</v>
      </c>
      <c r="N23" s="1318">
        <f t="shared" si="2"/>
        <v>-0.60999956409921097</v>
      </c>
      <c r="O23" s="1318">
        <f t="shared" si="3"/>
        <v>0.74372539522869219</v>
      </c>
      <c r="P23" s="1281">
        <f t="shared" si="4"/>
        <v>195.01249999999999</v>
      </c>
      <c r="Q23" s="1281">
        <f t="shared" si="5"/>
        <v>164.22105263157894</v>
      </c>
      <c r="R23" s="1347">
        <v>0.8</v>
      </c>
      <c r="S23" s="1347">
        <v>0.95</v>
      </c>
      <c r="T23" s="1347"/>
      <c r="U23" s="1347" t="s">
        <v>1104</v>
      </c>
      <c r="V23" s="1347"/>
      <c r="W23" s="1347"/>
      <c r="X23" s="1347"/>
      <c r="AB23" s="2218"/>
      <c r="AC23" s="2218"/>
      <c r="AD23" s="1383">
        <v>679</v>
      </c>
    </row>
    <row r="24" spans="1:30" x14ac:dyDescent="0.25">
      <c r="A24" s="1082" t="s">
        <v>21</v>
      </c>
      <c r="B24" s="1848">
        <v>106104113</v>
      </c>
      <c r="C24" s="1287" t="s">
        <v>1480</v>
      </c>
      <c r="D24" s="1349" t="s">
        <v>1713</v>
      </c>
      <c r="E24" s="1335" t="s">
        <v>1713</v>
      </c>
      <c r="F24" s="1083">
        <f t="shared" si="0"/>
        <v>30</v>
      </c>
      <c r="G24" s="1083">
        <f t="shared" si="1"/>
        <v>30</v>
      </c>
      <c r="H24" s="3832" t="s">
        <v>3801</v>
      </c>
      <c r="I24" s="2504">
        <v>26.055555555555554</v>
      </c>
      <c r="J24" s="2356">
        <v>25.74</v>
      </c>
      <c r="K24" s="2356">
        <v>25.74</v>
      </c>
      <c r="L24" s="1281">
        <v>25.74</v>
      </c>
      <c r="M24" s="3836">
        <v>26.06</v>
      </c>
      <c r="N24" s="1318">
        <f t="shared" si="2"/>
        <v>0</v>
      </c>
      <c r="O24" s="1318">
        <f t="shared" si="3"/>
        <v>1.2259345592678911E-2</v>
      </c>
      <c r="P24" s="1281">
        <f t="shared" si="4"/>
        <v>32.574999999999996</v>
      </c>
      <c r="Q24" s="1281">
        <f t="shared" si="5"/>
        <v>27.431578947368422</v>
      </c>
      <c r="R24" s="1347">
        <v>0.8</v>
      </c>
      <c r="S24" s="1347">
        <v>0.95</v>
      </c>
      <c r="T24" s="1347" t="s">
        <v>1104</v>
      </c>
      <c r="U24" s="1347"/>
      <c r="V24" s="1347"/>
      <c r="W24" s="1347"/>
      <c r="X24" s="1347"/>
    </row>
    <row r="25" spans="1:30" x14ac:dyDescent="0.25">
      <c r="A25" s="1082" t="s">
        <v>61</v>
      </c>
      <c r="B25" s="1848">
        <v>106104116</v>
      </c>
      <c r="C25" s="1287" t="s">
        <v>1485</v>
      </c>
      <c r="D25" s="1349" t="s">
        <v>1714</v>
      </c>
      <c r="E25" s="1335" t="s">
        <v>1714</v>
      </c>
      <c r="F25" s="1083">
        <f t="shared" si="0"/>
        <v>30</v>
      </c>
      <c r="G25" s="1083">
        <f t="shared" si="1"/>
        <v>30</v>
      </c>
      <c r="H25" s="3832" t="s">
        <v>3801</v>
      </c>
      <c r="I25" s="2504">
        <v>39.211111111111109</v>
      </c>
      <c r="J25" s="2356">
        <v>39.21</v>
      </c>
      <c r="K25" s="2356">
        <v>39.21</v>
      </c>
      <c r="L25" s="1281">
        <v>39.21</v>
      </c>
      <c r="M25" s="3836">
        <v>39.21</v>
      </c>
      <c r="N25" s="1318">
        <f t="shared" si="2"/>
        <v>0</v>
      </c>
      <c r="O25" s="1318">
        <f t="shared" si="3"/>
        <v>2.833744226237521E-5</v>
      </c>
      <c r="P25" s="1281">
        <f t="shared" si="4"/>
        <v>49.012499999999996</v>
      </c>
      <c r="Q25" s="1281">
        <f t="shared" si="5"/>
        <v>41.273684210526319</v>
      </c>
      <c r="R25" s="1347">
        <v>0.8</v>
      </c>
      <c r="S25" s="1347">
        <v>0.95</v>
      </c>
      <c r="T25" s="1347" t="s">
        <v>1104</v>
      </c>
      <c r="U25" s="1347"/>
      <c r="V25" s="1347"/>
      <c r="W25" s="1347"/>
      <c r="X25" s="1347"/>
      <c r="AB25" s="2218"/>
      <c r="AC25" s="2218"/>
    </row>
    <row r="26" spans="1:30" x14ac:dyDescent="0.25">
      <c r="A26" s="1084" t="s">
        <v>315</v>
      </c>
      <c r="B26" s="1848">
        <v>106104119</v>
      </c>
      <c r="C26" s="1287" t="s">
        <v>1532</v>
      </c>
      <c r="D26" s="1349" t="s">
        <v>1363</v>
      </c>
      <c r="E26" s="1335" t="s">
        <v>1363</v>
      </c>
      <c r="F26" s="1083">
        <f t="shared" si="0"/>
        <v>32</v>
      </c>
      <c r="G26" s="1083">
        <f t="shared" si="1"/>
        <v>32</v>
      </c>
      <c r="H26" s="3832" t="s">
        <v>3801</v>
      </c>
      <c r="I26" s="2504">
        <v>244.0888888888889</v>
      </c>
      <c r="J26" s="2356">
        <v>244.84</v>
      </c>
      <c r="K26" s="2356">
        <v>466.37</v>
      </c>
      <c r="L26" s="1281">
        <v>574.19000000000005</v>
      </c>
      <c r="M26" s="3836">
        <f>M121</f>
        <v>330.07</v>
      </c>
      <c r="N26" s="1318">
        <f t="shared" si="2"/>
        <v>-0.57359062331284072</v>
      </c>
      <c r="O26" s="1318">
        <f t="shared" si="3"/>
        <v>-3.0677630742979114E-3</v>
      </c>
      <c r="P26" s="1281">
        <f t="shared" si="4"/>
        <v>412.58749999999998</v>
      </c>
      <c r="Q26" s="1281">
        <f t="shared" si="5"/>
        <v>347.44210526315788</v>
      </c>
      <c r="R26" s="1347">
        <v>0.8</v>
      </c>
      <c r="S26" s="1347">
        <v>0.95</v>
      </c>
      <c r="T26" s="1083"/>
      <c r="U26" s="1347" t="s">
        <v>1104</v>
      </c>
      <c r="V26" s="1083" t="s">
        <v>1104</v>
      </c>
      <c r="W26" s="1083"/>
      <c r="X26" s="1083"/>
      <c r="Z26" s="2218"/>
      <c r="AA26" s="275"/>
      <c r="AB26" s="1347"/>
      <c r="AC26" s="1347">
        <v>106204083</v>
      </c>
      <c r="AD26" s="99">
        <v>1627</v>
      </c>
    </row>
    <row r="27" spans="1:30" x14ac:dyDescent="0.25">
      <c r="A27" s="1082" t="s">
        <v>102</v>
      </c>
      <c r="B27" s="1848">
        <v>106104126</v>
      </c>
      <c r="C27" s="1287" t="s">
        <v>1715</v>
      </c>
      <c r="D27" s="1349" t="s">
        <v>1505</v>
      </c>
      <c r="E27" s="1335" t="s">
        <v>1506</v>
      </c>
      <c r="F27" s="1083">
        <f t="shared" si="0"/>
        <v>46</v>
      </c>
      <c r="G27" s="1083">
        <f t="shared" si="1"/>
        <v>43</v>
      </c>
      <c r="H27" s="3832" t="s">
        <v>3801</v>
      </c>
      <c r="I27" s="2504">
        <v>19.033333333333331</v>
      </c>
      <c r="J27" s="2356">
        <v>19.16</v>
      </c>
      <c r="K27" s="2356">
        <v>18.34</v>
      </c>
      <c r="L27" s="1281">
        <v>18.29</v>
      </c>
      <c r="M27" s="3836">
        <v>19.16</v>
      </c>
      <c r="N27" s="1318">
        <f t="shared" si="2"/>
        <v>4.756697648988524E-2</v>
      </c>
      <c r="O27" s="1318">
        <f t="shared" si="3"/>
        <v>-6.6109951287405379E-3</v>
      </c>
      <c r="P27" s="1281">
        <f t="shared" si="4"/>
        <v>23.95</v>
      </c>
      <c r="Q27" s="1281">
        <f t="shared" si="5"/>
        <v>20.168421052631579</v>
      </c>
      <c r="R27" s="1347">
        <v>0.8</v>
      </c>
      <c r="S27" s="1347">
        <v>0.95</v>
      </c>
      <c r="T27" s="1347"/>
      <c r="U27" s="1347" t="s">
        <v>1104</v>
      </c>
      <c r="V27" s="1347" t="s">
        <v>1104</v>
      </c>
      <c r="W27" s="1347"/>
      <c r="X27" s="1347"/>
      <c r="Y27" s="2218"/>
      <c r="AA27" s="2623"/>
      <c r="AB27" s="2219"/>
      <c r="AC27" s="2219">
        <v>106204083</v>
      </c>
      <c r="AD27" s="2221">
        <v>53.35</v>
      </c>
    </row>
    <row r="28" spans="1:30" x14ac:dyDescent="0.25">
      <c r="A28" s="1084" t="s">
        <v>315</v>
      </c>
      <c r="B28" s="1848">
        <v>106104127</v>
      </c>
      <c r="C28" s="1287" t="s">
        <v>1716</v>
      </c>
      <c r="D28" s="1348" t="s">
        <v>1717</v>
      </c>
      <c r="E28" s="1335" t="s">
        <v>1718</v>
      </c>
      <c r="F28" s="1083">
        <f t="shared" si="0"/>
        <v>49</v>
      </c>
      <c r="G28" s="1083">
        <f t="shared" si="1"/>
        <v>46</v>
      </c>
      <c r="H28" s="3832" t="s">
        <v>3801</v>
      </c>
      <c r="I28" s="2504">
        <v>2.677777777777778</v>
      </c>
      <c r="J28" s="2356">
        <v>5.54</v>
      </c>
      <c r="K28" s="2356">
        <v>5.54</v>
      </c>
      <c r="L28" s="1281">
        <v>3.73</v>
      </c>
      <c r="M28" s="3836">
        <v>3.73</v>
      </c>
      <c r="N28" s="1318">
        <f t="shared" si="2"/>
        <v>0.48525469168900803</v>
      </c>
      <c r="O28" s="1318">
        <f t="shared" si="3"/>
        <v>-0.5166466105094264</v>
      </c>
      <c r="P28" s="1281">
        <f t="shared" si="4"/>
        <v>4.6624999999999996</v>
      </c>
      <c r="Q28" s="1281">
        <f t="shared" si="5"/>
        <v>3.9263157894736844</v>
      </c>
      <c r="R28" s="1347">
        <v>0.8</v>
      </c>
      <c r="S28" s="1347">
        <v>0.95</v>
      </c>
      <c r="T28" s="1347"/>
      <c r="U28" s="1347" t="s">
        <v>1104</v>
      </c>
      <c r="V28" s="1347"/>
      <c r="W28" s="1347"/>
      <c r="X28" s="1347"/>
      <c r="Z28" s="2218"/>
    </row>
    <row r="29" spans="1:30" x14ac:dyDescent="0.25">
      <c r="A29" s="1082" t="s">
        <v>1566</v>
      </c>
      <c r="B29" s="1848">
        <v>106104128</v>
      </c>
      <c r="C29" s="1563" t="s">
        <v>1719</v>
      </c>
      <c r="D29" s="1349" t="s">
        <v>1720</v>
      </c>
      <c r="E29" s="1335" t="s">
        <v>1721</v>
      </c>
      <c r="F29" s="1083">
        <f t="shared" si="0"/>
        <v>46</v>
      </c>
      <c r="G29" s="1083">
        <f t="shared" si="1"/>
        <v>43</v>
      </c>
      <c r="H29" s="3832" t="s">
        <v>3801</v>
      </c>
      <c r="I29" s="2504">
        <v>6.8333333333333339</v>
      </c>
      <c r="J29" s="2356">
        <v>6.81</v>
      </c>
      <c r="K29" s="2356">
        <v>6.81</v>
      </c>
      <c r="L29" s="1281">
        <v>6.51</v>
      </c>
      <c r="M29" s="3836">
        <v>6.83</v>
      </c>
      <c r="N29" s="1318">
        <f t="shared" si="2"/>
        <v>4.6082949308755734E-2</v>
      </c>
      <c r="O29" s="1318">
        <f t="shared" si="3"/>
        <v>3.4263338228097385E-3</v>
      </c>
      <c r="P29" s="1281">
        <f t="shared" si="4"/>
        <v>8.5374999999999996</v>
      </c>
      <c r="Q29" s="1281">
        <f t="shared" si="5"/>
        <v>7.1894736842105269</v>
      </c>
      <c r="R29" s="1347">
        <v>0.8</v>
      </c>
      <c r="S29" s="1347">
        <v>0.95</v>
      </c>
      <c r="T29" s="1347"/>
      <c r="U29" s="1347" t="s">
        <v>1104</v>
      </c>
      <c r="V29" s="1347"/>
      <c r="W29" s="1347"/>
      <c r="X29" s="1347"/>
      <c r="AA29" s="2623"/>
      <c r="AB29" s="2119"/>
      <c r="AC29" s="1805"/>
      <c r="AD29" s="1806"/>
    </row>
    <row r="30" spans="1:30" s="794" customFormat="1" x14ac:dyDescent="0.25">
      <c r="A30" s="1082" t="s">
        <v>29</v>
      </c>
      <c r="B30" s="1848">
        <v>106104129</v>
      </c>
      <c r="C30" s="1287" t="s">
        <v>1491</v>
      </c>
      <c r="D30" s="1287" t="s">
        <v>2377</v>
      </c>
      <c r="E30" s="1335" t="s">
        <v>2378</v>
      </c>
      <c r="F30" s="1083">
        <f t="shared" si="0"/>
        <v>22</v>
      </c>
      <c r="G30" s="1083">
        <f t="shared" si="1"/>
        <v>22</v>
      </c>
      <c r="H30" s="3832" t="s">
        <v>3801</v>
      </c>
      <c r="I30" s="2504">
        <v>158.13333333333333</v>
      </c>
      <c r="J30" s="2356">
        <v>153</v>
      </c>
      <c r="K30" s="2356">
        <v>150</v>
      </c>
      <c r="L30" s="1281">
        <v>150</v>
      </c>
      <c r="M30" s="3836">
        <v>158.13</v>
      </c>
      <c r="N30" s="1318">
        <f t="shared" si="2"/>
        <v>0.02</v>
      </c>
      <c r="O30" s="1318">
        <f t="shared" si="3"/>
        <v>3.3551198257080563E-2</v>
      </c>
      <c r="P30" s="1281">
        <f t="shared" si="4"/>
        <v>197.66249999999999</v>
      </c>
      <c r="Q30" s="1281">
        <f t="shared" si="5"/>
        <v>166.45263157894738</v>
      </c>
      <c r="R30" s="1347">
        <v>0.8</v>
      </c>
      <c r="S30" s="1347">
        <v>0.95</v>
      </c>
      <c r="T30" s="1347"/>
      <c r="U30" s="1347" t="s">
        <v>1104</v>
      </c>
      <c r="V30" s="1347"/>
      <c r="W30" s="1347"/>
      <c r="X30" s="1347"/>
      <c r="Y30" s="2218"/>
      <c r="Z30" s="2217"/>
      <c r="AA30" s="2621"/>
      <c r="AB30" s="2118">
        <v>106111793</v>
      </c>
      <c r="AC30" s="1804"/>
      <c r="AD30" s="1383"/>
    </row>
    <row r="31" spans="1:30" s="794" customFormat="1" x14ac:dyDescent="0.25">
      <c r="A31" s="1288" t="s">
        <v>1724</v>
      </c>
      <c r="B31" s="1848">
        <v>106104130</v>
      </c>
      <c r="C31" s="1288" t="s">
        <v>1725</v>
      </c>
      <c r="D31" s="1549" t="s">
        <v>1726</v>
      </c>
      <c r="E31" s="1550" t="s">
        <v>1727</v>
      </c>
      <c r="F31" s="275">
        <f t="shared" si="0"/>
        <v>55</v>
      </c>
      <c r="G31" s="275">
        <f t="shared" si="1"/>
        <v>53</v>
      </c>
      <c r="H31" s="3832" t="s">
        <v>3801</v>
      </c>
      <c r="I31" s="2504">
        <v>2.7444444444444445</v>
      </c>
      <c r="J31" s="2358">
        <v>3.22</v>
      </c>
      <c r="K31" s="2358">
        <v>3.22</v>
      </c>
      <c r="L31" s="1542">
        <v>3.22</v>
      </c>
      <c r="M31" s="3837">
        <v>3.22</v>
      </c>
      <c r="N31" s="2194">
        <f t="shared" si="2"/>
        <v>0</v>
      </c>
      <c r="O31" s="1318">
        <f t="shared" si="3"/>
        <v>-0.14768806073153903</v>
      </c>
      <c r="P31" s="1542">
        <f t="shared" si="4"/>
        <v>4.0250000000000004</v>
      </c>
      <c r="Q31" s="1542">
        <f t="shared" si="5"/>
        <v>3.3894736842105266</v>
      </c>
      <c r="R31" s="1347">
        <v>0.8</v>
      </c>
      <c r="S31" s="1347">
        <v>0.95</v>
      </c>
      <c r="T31" s="275" t="s">
        <v>1104</v>
      </c>
      <c r="U31" s="275"/>
      <c r="V31" s="275"/>
      <c r="W31" s="275"/>
      <c r="X31" s="275"/>
      <c r="Y31" s="751"/>
      <c r="Z31" s="2217"/>
      <c r="AA31" s="2621"/>
      <c r="AB31" s="2217"/>
      <c r="AC31" s="2217"/>
    </row>
    <row r="32" spans="1:30" s="1351" customFormat="1" x14ac:dyDescent="0.25">
      <c r="A32" s="1082" t="s">
        <v>117</v>
      </c>
      <c r="B32" s="1848">
        <v>106104133</v>
      </c>
      <c r="C32" s="1287" t="s">
        <v>1728</v>
      </c>
      <c r="D32" s="1348" t="s">
        <v>1236</v>
      </c>
      <c r="E32" s="1335" t="s">
        <v>1237</v>
      </c>
      <c r="F32" s="1083">
        <f t="shared" si="0"/>
        <v>28</v>
      </c>
      <c r="G32" s="1083">
        <f t="shared" si="1"/>
        <v>20</v>
      </c>
      <c r="H32" s="3832" t="s">
        <v>3801</v>
      </c>
      <c r="I32" s="2504">
        <v>9.5</v>
      </c>
      <c r="J32" s="2356">
        <v>9.5</v>
      </c>
      <c r="K32" s="2356">
        <v>9.5</v>
      </c>
      <c r="L32" s="1281">
        <v>9.5</v>
      </c>
      <c r="M32" s="3836">
        <v>9.5</v>
      </c>
      <c r="N32" s="1318">
        <f t="shared" si="2"/>
        <v>0</v>
      </c>
      <c r="O32" s="1318">
        <f t="shared" si="3"/>
        <v>0</v>
      </c>
      <c r="P32" s="1281">
        <f t="shared" si="4"/>
        <v>11.875</v>
      </c>
      <c r="Q32" s="1281">
        <f t="shared" si="5"/>
        <v>10</v>
      </c>
      <c r="R32" s="1347">
        <v>0.8</v>
      </c>
      <c r="S32" s="1347">
        <v>0.95</v>
      </c>
      <c r="T32" s="1280"/>
      <c r="U32" s="1280" t="s">
        <v>1104</v>
      </c>
      <c r="V32" s="1280" t="s">
        <v>1104</v>
      </c>
      <c r="W32" s="1280"/>
      <c r="X32" s="1280"/>
      <c r="Y32" s="1804"/>
      <c r="Z32" s="142"/>
      <c r="AA32" s="2621"/>
      <c r="AB32" s="2118"/>
      <c r="AC32" s="1804"/>
      <c r="AD32" s="1383"/>
    </row>
    <row r="33" spans="1:30" x14ac:dyDescent="0.25">
      <c r="A33" s="1082" t="s">
        <v>287</v>
      </c>
      <c r="B33" s="1848">
        <v>106104137</v>
      </c>
      <c r="C33" s="1287" t="s">
        <v>1729</v>
      </c>
      <c r="D33" s="1349" t="s">
        <v>1683</v>
      </c>
      <c r="E33" s="1335" t="s">
        <v>1684</v>
      </c>
      <c r="F33" s="1083">
        <f t="shared" si="0"/>
        <v>39</v>
      </c>
      <c r="G33" s="1083">
        <f t="shared" si="1"/>
        <v>36</v>
      </c>
      <c r="H33" s="3832" t="s">
        <v>3797</v>
      </c>
      <c r="I33" s="2504">
        <v>1.0409999999999999</v>
      </c>
      <c r="J33" s="2356">
        <v>1.0900000000000001</v>
      </c>
      <c r="K33" s="2356">
        <v>1.0900000000000001</v>
      </c>
      <c r="L33" s="1281">
        <v>1.0900000000000001</v>
      </c>
      <c r="M33" s="3836">
        <v>1.0900000000000001</v>
      </c>
      <c r="N33" s="1318">
        <f t="shared" si="2"/>
        <v>0</v>
      </c>
      <c r="O33" s="1318">
        <f t="shared" si="3"/>
        <v>-4.4954128440367114E-2</v>
      </c>
      <c r="P33" s="1281">
        <f t="shared" si="4"/>
        <v>1.3625</v>
      </c>
      <c r="Q33" s="1281">
        <f t="shared" si="5"/>
        <v>1.1473684210526318</v>
      </c>
      <c r="R33" s="1347">
        <v>0.8</v>
      </c>
      <c r="S33" s="1347">
        <v>0.95</v>
      </c>
      <c r="T33" s="1347"/>
      <c r="U33" s="1347" t="s">
        <v>1104</v>
      </c>
      <c r="V33" s="1347"/>
      <c r="W33" s="1347"/>
      <c r="X33" s="1347"/>
      <c r="Y33" s="2218"/>
      <c r="AA33" s="2623"/>
      <c r="AB33" s="2219"/>
      <c r="AC33" s="2219"/>
      <c r="AD33" s="2221"/>
    </row>
    <row r="34" spans="1:30" x14ac:dyDescent="0.25">
      <c r="A34" s="1082" t="s">
        <v>58</v>
      </c>
      <c r="B34" s="1848">
        <v>106109644</v>
      </c>
      <c r="C34" s="1287" t="s">
        <v>1730</v>
      </c>
      <c r="D34" s="1349" t="s">
        <v>1731</v>
      </c>
      <c r="E34" s="1337" t="s">
        <v>1732</v>
      </c>
      <c r="F34" s="1083">
        <f t="shared" si="0"/>
        <v>43</v>
      </c>
      <c r="G34" s="1083">
        <f t="shared" si="1"/>
        <v>35</v>
      </c>
      <c r="H34" s="3832" t="s">
        <v>3801</v>
      </c>
      <c r="I34" s="2504">
        <v>16.988888888888887</v>
      </c>
      <c r="J34" s="2356">
        <v>16.989999999999998</v>
      </c>
      <c r="K34" s="2356">
        <v>17.420000000000002</v>
      </c>
      <c r="L34" s="1281">
        <v>17.420000000000002</v>
      </c>
      <c r="M34" s="3836">
        <v>16.989999999999998</v>
      </c>
      <c r="N34" s="1318">
        <f t="shared" si="2"/>
        <v>-2.4684270952927856E-2</v>
      </c>
      <c r="O34" s="1318">
        <f t="shared" si="3"/>
        <v>-6.5397946504489989E-5</v>
      </c>
      <c r="P34" s="1281">
        <f t="shared" si="4"/>
        <v>21.237499999999997</v>
      </c>
      <c r="Q34" s="1281">
        <f t="shared" si="5"/>
        <v>17.884210526315787</v>
      </c>
      <c r="R34" s="1347">
        <v>0.8</v>
      </c>
      <c r="S34" s="1347">
        <v>0.95</v>
      </c>
      <c r="T34" s="1347" t="s">
        <v>1104</v>
      </c>
      <c r="U34" s="1347" t="s">
        <v>1104</v>
      </c>
      <c r="V34" s="1347"/>
      <c r="W34" s="1347"/>
      <c r="X34" s="1347"/>
      <c r="Y34" s="1083"/>
    </row>
    <row r="35" spans="1:30" x14ac:dyDescent="0.25">
      <c r="A35" s="1082" t="s">
        <v>274</v>
      </c>
      <c r="B35" s="1848">
        <v>106104164</v>
      </c>
      <c r="C35" s="1287" t="s">
        <v>1733</v>
      </c>
      <c r="D35" s="1349" t="s">
        <v>1734</v>
      </c>
      <c r="E35" s="1339" t="s">
        <v>1735</v>
      </c>
      <c r="F35" s="1083">
        <f t="shared" ref="F35:F66" si="6">LEN(D35)</f>
        <v>52</v>
      </c>
      <c r="G35" s="1083">
        <f t="shared" ref="G35:G66" si="7">LEN(E35)</f>
        <v>48</v>
      </c>
      <c r="H35" s="3832" t="s">
        <v>3797</v>
      </c>
      <c r="I35" s="2504">
        <v>228.33333333333331</v>
      </c>
      <c r="J35" s="2356">
        <v>228.33</v>
      </c>
      <c r="K35" s="2356">
        <v>228.32</v>
      </c>
      <c r="L35" s="1281">
        <v>213.17</v>
      </c>
      <c r="M35" s="3836">
        <v>228.33</v>
      </c>
      <c r="N35" s="1318">
        <f t="shared" ref="N35:N66" si="8">(J35-L35)/L35</f>
        <v>7.1116948914012407E-2</v>
      </c>
      <c r="O35" s="1318">
        <f t="shared" ref="O35:O66" si="9">(I35-J35)/J35</f>
        <v>1.4598753266333289E-5</v>
      </c>
      <c r="P35" s="1281">
        <f t="shared" ref="P35:P66" si="10">M35/R35</f>
        <v>285.41250000000002</v>
      </c>
      <c r="Q35" s="1281">
        <f t="shared" ref="Q35:Q66" si="11">M35/S35</f>
        <v>240.34736842105266</v>
      </c>
      <c r="R35" s="1347">
        <v>0.8</v>
      </c>
      <c r="S35" s="1347">
        <v>0.95</v>
      </c>
      <c r="T35" s="1347"/>
      <c r="U35" s="1347" t="s">
        <v>1104</v>
      </c>
      <c r="V35" s="1347"/>
      <c r="W35" s="1347"/>
      <c r="X35" s="1347"/>
      <c r="Y35" s="1083"/>
    </row>
    <row r="36" spans="1:30" x14ac:dyDescent="0.25">
      <c r="A36" s="1082" t="s">
        <v>263</v>
      </c>
      <c r="B36" s="1848">
        <v>106104169</v>
      </c>
      <c r="C36" s="1287" t="s">
        <v>1555</v>
      </c>
      <c r="D36" s="1349" t="s">
        <v>1736</v>
      </c>
      <c r="E36" s="1339" t="s">
        <v>1737</v>
      </c>
      <c r="F36" s="1083">
        <f t="shared" si="6"/>
        <v>31</v>
      </c>
      <c r="G36" s="1083">
        <f t="shared" si="7"/>
        <v>29</v>
      </c>
      <c r="H36" s="3832" t="s">
        <v>3797</v>
      </c>
      <c r="I36" s="2504">
        <v>187.8</v>
      </c>
      <c r="J36" s="2356">
        <v>187.8</v>
      </c>
      <c r="K36" s="2356">
        <v>189.07</v>
      </c>
      <c r="L36" s="1281">
        <v>205.38</v>
      </c>
      <c r="M36" s="3836">
        <v>187.8</v>
      </c>
      <c r="N36" s="1318">
        <f t="shared" si="8"/>
        <v>-8.5597429155711294E-2</v>
      </c>
      <c r="O36" s="1318">
        <f t="shared" si="9"/>
        <v>0</v>
      </c>
      <c r="P36" s="1281">
        <f t="shared" si="10"/>
        <v>234.75</v>
      </c>
      <c r="Q36" s="1281">
        <f t="shared" si="11"/>
        <v>197.68421052631581</v>
      </c>
      <c r="R36" s="1347">
        <v>0.8</v>
      </c>
      <c r="S36" s="1347">
        <v>0.95</v>
      </c>
      <c r="T36" s="1280"/>
      <c r="U36" s="1280"/>
      <c r="V36" s="1280"/>
      <c r="W36" s="1280"/>
      <c r="X36" s="1280"/>
      <c r="Y36" s="2218" t="s">
        <v>1104</v>
      </c>
    </row>
    <row r="37" spans="1:30" ht="15" customHeight="1" x14ac:dyDescent="0.25">
      <c r="A37" s="1082" t="s">
        <v>114</v>
      </c>
      <c r="B37" s="1848">
        <v>106104180</v>
      </c>
      <c r="C37" s="1287" t="s">
        <v>1738</v>
      </c>
      <c r="D37" s="1349" t="s">
        <v>1234</v>
      </c>
      <c r="E37" s="1339" t="s">
        <v>1235</v>
      </c>
      <c r="F37" s="1083">
        <f t="shared" si="6"/>
        <v>35</v>
      </c>
      <c r="G37" s="1083">
        <f t="shared" si="7"/>
        <v>33</v>
      </c>
      <c r="H37" s="3832" t="s">
        <v>3797</v>
      </c>
      <c r="I37" s="2504">
        <v>327.90744444444442</v>
      </c>
      <c r="J37" s="2356">
        <v>327.91</v>
      </c>
      <c r="K37" s="2356">
        <v>349.17</v>
      </c>
      <c r="L37" s="1281">
        <v>363.83</v>
      </c>
      <c r="M37" s="3836">
        <v>327.91</v>
      </c>
      <c r="N37" s="1318">
        <f t="shared" si="8"/>
        <v>-9.8727427644779042E-2</v>
      </c>
      <c r="O37" s="1318">
        <f t="shared" si="9"/>
        <v>-7.7934663645588583E-6</v>
      </c>
      <c r="P37" s="1281">
        <f t="shared" si="10"/>
        <v>409.88749999999999</v>
      </c>
      <c r="Q37" s="1281">
        <f t="shared" si="11"/>
        <v>345.16842105263163</v>
      </c>
      <c r="R37" s="1347">
        <v>0.8</v>
      </c>
      <c r="S37" s="1347">
        <v>0.95</v>
      </c>
      <c r="T37" s="1347"/>
      <c r="U37" s="1347" t="s">
        <v>1104</v>
      </c>
      <c r="V37" s="1347" t="s">
        <v>1104</v>
      </c>
      <c r="W37" s="1347"/>
      <c r="X37" s="1347"/>
      <c r="Y37" s="1083"/>
    </row>
    <row r="38" spans="1:30" x14ac:dyDescent="0.25">
      <c r="A38" s="1082" t="s">
        <v>490</v>
      </c>
      <c r="B38" s="1848">
        <v>106104191</v>
      </c>
      <c r="C38" s="1287" t="s">
        <v>1739</v>
      </c>
      <c r="D38" s="1349" t="s">
        <v>1740</v>
      </c>
      <c r="E38" s="1335" t="s">
        <v>1741</v>
      </c>
      <c r="F38" s="1083">
        <f t="shared" si="6"/>
        <v>35</v>
      </c>
      <c r="G38" s="1083">
        <f t="shared" si="7"/>
        <v>35</v>
      </c>
      <c r="H38" s="3832" t="s">
        <v>3797</v>
      </c>
      <c r="I38" s="2504">
        <v>235.0888888888889</v>
      </c>
      <c r="J38" s="2356">
        <v>235.09</v>
      </c>
      <c r="K38" s="2356">
        <v>235.09</v>
      </c>
      <c r="L38" s="1281">
        <v>235.09</v>
      </c>
      <c r="M38" s="3836">
        <v>235.09</v>
      </c>
      <c r="N38" s="1318">
        <f t="shared" si="8"/>
        <v>0</v>
      </c>
      <c r="O38" s="1318">
        <f t="shared" si="9"/>
        <v>-4.7263223067787936E-6</v>
      </c>
      <c r="P38" s="1281">
        <f t="shared" si="10"/>
        <v>293.86250000000001</v>
      </c>
      <c r="Q38" s="1281">
        <f t="shared" si="11"/>
        <v>247.46315789473687</v>
      </c>
      <c r="R38" s="1347">
        <v>0.8</v>
      </c>
      <c r="S38" s="1347">
        <v>0.95</v>
      </c>
      <c r="T38" s="1347"/>
      <c r="U38" s="1347" t="s">
        <v>1104</v>
      </c>
      <c r="V38" s="1347"/>
      <c r="W38" s="1347"/>
      <c r="X38" s="1347"/>
      <c r="Y38" s="1083"/>
    </row>
    <row r="39" spans="1:30" x14ac:dyDescent="0.25">
      <c r="A39" s="1285"/>
      <c r="B39" s="1848">
        <v>106104195</v>
      </c>
      <c r="C39" s="1288" t="s">
        <v>1742</v>
      </c>
      <c r="D39" s="1349" t="s">
        <v>1743</v>
      </c>
      <c r="E39" s="1335" t="s">
        <v>1744</v>
      </c>
      <c r="F39" s="1347">
        <f t="shared" si="6"/>
        <v>31</v>
      </c>
      <c r="G39" s="1347">
        <f t="shared" si="7"/>
        <v>31</v>
      </c>
      <c r="H39" s="3832" t="s">
        <v>3797</v>
      </c>
      <c r="I39" s="2504">
        <v>52.088888888888889</v>
      </c>
      <c r="J39" s="2356">
        <v>52.09</v>
      </c>
      <c r="K39" s="2356">
        <v>52.09</v>
      </c>
      <c r="L39" s="1281"/>
      <c r="M39" s="3836">
        <v>52.09</v>
      </c>
      <c r="N39" s="1318" t="e">
        <f t="shared" si="8"/>
        <v>#DIV/0!</v>
      </c>
      <c r="O39" s="1318">
        <f t="shared" si="9"/>
        <v>-2.1330603016218804E-5</v>
      </c>
      <c r="P39" s="1281">
        <f t="shared" si="10"/>
        <v>65.112499999999997</v>
      </c>
      <c r="Q39" s="1281">
        <f t="shared" si="11"/>
        <v>54.831578947368428</v>
      </c>
      <c r="R39" s="1347">
        <v>0.8</v>
      </c>
      <c r="S39" s="1347">
        <v>0.95</v>
      </c>
      <c r="T39" s="1347"/>
      <c r="U39" s="1347"/>
      <c r="V39" s="1347"/>
      <c r="W39" s="1347"/>
      <c r="X39" s="1347"/>
      <c r="Y39" s="2218"/>
      <c r="Z39" s="1804" t="s">
        <v>1104</v>
      </c>
    </row>
    <row r="40" spans="1:30" x14ac:dyDescent="0.25">
      <c r="A40" s="1082" t="s">
        <v>178</v>
      </c>
      <c r="B40" s="1848">
        <v>106104209</v>
      </c>
      <c r="C40" s="1287" t="s">
        <v>1547</v>
      </c>
      <c r="D40" s="1348" t="s">
        <v>1239</v>
      </c>
      <c r="E40" s="1335" t="s">
        <v>1240</v>
      </c>
      <c r="F40" s="1083">
        <f t="shared" si="6"/>
        <v>38</v>
      </c>
      <c r="G40" s="1083">
        <f t="shared" si="7"/>
        <v>38</v>
      </c>
      <c r="H40" s="3832" t="s">
        <v>3801</v>
      </c>
      <c r="I40" s="2504">
        <v>7.0555555555555554</v>
      </c>
      <c r="J40" s="2356">
        <v>7.06</v>
      </c>
      <c r="K40" s="2356">
        <v>7.02</v>
      </c>
      <c r="L40" s="1281">
        <v>7.01</v>
      </c>
      <c r="M40" s="3836">
        <v>7.06</v>
      </c>
      <c r="N40" s="1318">
        <f t="shared" si="8"/>
        <v>7.1326676176889908E-3</v>
      </c>
      <c r="O40" s="1318">
        <f t="shared" si="9"/>
        <v>-6.2952470884479483E-4</v>
      </c>
      <c r="P40" s="1281">
        <f t="shared" si="10"/>
        <v>8.8249999999999993</v>
      </c>
      <c r="Q40" s="1281">
        <f t="shared" si="11"/>
        <v>7.4315789473684211</v>
      </c>
      <c r="R40" s="1347">
        <v>0.8</v>
      </c>
      <c r="S40" s="1347">
        <v>0.95</v>
      </c>
      <c r="T40" s="1347"/>
      <c r="U40" s="1347" t="s">
        <v>1104</v>
      </c>
      <c r="V40" s="1347" t="s">
        <v>1104</v>
      </c>
      <c r="W40" s="1347"/>
      <c r="X40" s="1347"/>
      <c r="Y40" s="1083"/>
    </row>
    <row r="41" spans="1:30" x14ac:dyDescent="0.25">
      <c r="A41" s="1082" t="s">
        <v>276</v>
      </c>
      <c r="B41" s="1848">
        <v>106104211</v>
      </c>
      <c r="C41" s="1287" t="s">
        <v>1745</v>
      </c>
      <c r="D41" s="1287" t="s">
        <v>1746</v>
      </c>
      <c r="E41" s="1335" t="s">
        <v>1747</v>
      </c>
      <c r="F41" s="1083">
        <f t="shared" si="6"/>
        <v>56</v>
      </c>
      <c r="G41" s="1083">
        <f t="shared" si="7"/>
        <v>51</v>
      </c>
      <c r="H41" s="3832" t="s">
        <v>3801</v>
      </c>
      <c r="I41" s="2504">
        <v>10.911111111111111</v>
      </c>
      <c r="J41" s="2356">
        <v>10.91</v>
      </c>
      <c r="K41" s="2356">
        <v>10.9</v>
      </c>
      <c r="L41" s="1281">
        <v>10.220000000000001</v>
      </c>
      <c r="M41" s="3836">
        <v>10.91</v>
      </c>
      <c r="N41" s="1318">
        <f t="shared" si="8"/>
        <v>6.751467710371814E-2</v>
      </c>
      <c r="O41" s="1318">
        <f t="shared" si="9"/>
        <v>1.0184336490479237E-4</v>
      </c>
      <c r="P41" s="1281">
        <f t="shared" si="10"/>
        <v>13.637499999999999</v>
      </c>
      <c r="Q41" s="1281">
        <f t="shared" si="11"/>
        <v>11.48421052631579</v>
      </c>
      <c r="R41" s="1347">
        <v>0.8</v>
      </c>
      <c r="S41" s="1347">
        <v>0.95</v>
      </c>
      <c r="T41" s="1347"/>
      <c r="U41" s="1347" t="s">
        <v>1104</v>
      </c>
      <c r="V41" s="1347"/>
      <c r="W41" s="1347"/>
      <c r="X41" s="1347"/>
      <c r="Y41" s="1347"/>
    </row>
    <row r="42" spans="1:30" x14ac:dyDescent="0.25">
      <c r="A42" s="1082" t="s">
        <v>192</v>
      </c>
      <c r="B42" s="1848">
        <v>106104212</v>
      </c>
      <c r="C42" s="1287" t="s">
        <v>1748</v>
      </c>
      <c r="D42" s="1348" t="s">
        <v>1241</v>
      </c>
      <c r="E42" s="1335" t="s">
        <v>1242</v>
      </c>
      <c r="F42" s="1083">
        <f t="shared" si="6"/>
        <v>22</v>
      </c>
      <c r="G42" s="1083">
        <f t="shared" si="7"/>
        <v>29</v>
      </c>
      <c r="H42" s="3832" t="s">
        <v>3801</v>
      </c>
      <c r="I42" s="2504">
        <v>14.449666666666666</v>
      </c>
      <c r="J42" s="2356">
        <v>14.45</v>
      </c>
      <c r="K42" s="2356">
        <v>14.35</v>
      </c>
      <c r="L42" s="1281">
        <v>14.46</v>
      </c>
      <c r="M42" s="3836">
        <v>14.45</v>
      </c>
      <c r="N42" s="1318">
        <f t="shared" si="8"/>
        <v>-6.9156293222694067E-4</v>
      </c>
      <c r="O42" s="1318">
        <f t="shared" si="9"/>
        <v>-2.3068050749739843E-5</v>
      </c>
      <c r="P42" s="1281">
        <f t="shared" si="10"/>
        <v>18.062499999999996</v>
      </c>
      <c r="Q42" s="1281">
        <f t="shared" si="11"/>
        <v>15.210526315789474</v>
      </c>
      <c r="R42" s="1347">
        <v>0.8</v>
      </c>
      <c r="S42" s="1347">
        <v>0.95</v>
      </c>
      <c r="T42" s="1347"/>
      <c r="U42" s="1347" t="s">
        <v>1104</v>
      </c>
      <c r="V42" s="1347" t="s">
        <v>1104</v>
      </c>
      <c r="W42" s="1347"/>
      <c r="X42" s="1347"/>
      <c r="Y42" s="1347"/>
    </row>
    <row r="43" spans="1:30" s="86" customFormat="1" x14ac:dyDescent="0.25">
      <c r="A43" s="1082" t="s">
        <v>278</v>
      </c>
      <c r="B43" s="1848">
        <v>106104214</v>
      </c>
      <c r="C43" s="1287" t="s">
        <v>1552</v>
      </c>
      <c r="D43" s="1287" t="s">
        <v>1749</v>
      </c>
      <c r="E43" s="1335" t="s">
        <v>1750</v>
      </c>
      <c r="F43" s="1083">
        <f t="shared" si="6"/>
        <v>41</v>
      </c>
      <c r="G43" s="1083">
        <f t="shared" si="7"/>
        <v>44</v>
      </c>
      <c r="H43" s="3832" t="s">
        <v>3801</v>
      </c>
      <c r="I43" s="2504">
        <v>6.7333333333333325</v>
      </c>
      <c r="J43" s="2356">
        <v>6.73</v>
      </c>
      <c r="K43" s="2356">
        <v>6.73</v>
      </c>
      <c r="L43" s="1281">
        <v>6.28</v>
      </c>
      <c r="M43" s="3836">
        <v>6.73</v>
      </c>
      <c r="N43" s="1318">
        <f t="shared" si="8"/>
        <v>7.1656050955414038E-2</v>
      </c>
      <c r="O43" s="1318">
        <f t="shared" si="9"/>
        <v>4.9529470034651978E-4</v>
      </c>
      <c r="P43" s="1281">
        <f t="shared" si="10"/>
        <v>8.4124999999999996</v>
      </c>
      <c r="Q43" s="1281">
        <f t="shared" si="11"/>
        <v>7.0842105263157906</v>
      </c>
      <c r="R43" s="1347">
        <v>0.8</v>
      </c>
      <c r="S43" s="1347">
        <v>0.95</v>
      </c>
      <c r="T43" s="1347"/>
      <c r="U43" s="1347" t="s">
        <v>1104</v>
      </c>
      <c r="V43" s="1347"/>
      <c r="W43" s="1347"/>
      <c r="X43" s="1347"/>
      <c r="Y43" s="1347"/>
      <c r="Z43" s="1804"/>
      <c r="AA43" s="2621"/>
      <c r="AB43" s="2118"/>
      <c r="AC43" s="1804"/>
      <c r="AD43" s="1383"/>
    </row>
    <row r="44" spans="1:30" s="86" customFormat="1" x14ac:dyDescent="0.25">
      <c r="A44" s="1084" t="s">
        <v>305</v>
      </c>
      <c r="B44" s="1848">
        <v>106104215</v>
      </c>
      <c r="C44" s="1287" t="s">
        <v>1751</v>
      </c>
      <c r="D44" s="1287" t="s">
        <v>1752</v>
      </c>
      <c r="E44" s="1335" t="s">
        <v>1753</v>
      </c>
      <c r="F44" s="1083">
        <f t="shared" si="6"/>
        <v>55</v>
      </c>
      <c r="G44" s="1083">
        <f t="shared" si="7"/>
        <v>57</v>
      </c>
      <c r="H44" s="3832" t="s">
        <v>3801</v>
      </c>
      <c r="I44" s="2504">
        <v>39.011111111111113</v>
      </c>
      <c r="J44" s="2356">
        <v>39.01</v>
      </c>
      <c r="K44" s="2356">
        <v>39.020000000000003</v>
      </c>
      <c r="L44" s="1281">
        <v>39.020000000000003</v>
      </c>
      <c r="M44" s="3836">
        <v>39.01</v>
      </c>
      <c r="N44" s="1318">
        <f t="shared" si="8"/>
        <v>-2.5627883136866003E-4</v>
      </c>
      <c r="O44" s="1318">
        <f t="shared" si="9"/>
        <v>2.8482725227245258E-5</v>
      </c>
      <c r="P44" s="1281">
        <f t="shared" si="10"/>
        <v>48.762499999999996</v>
      </c>
      <c r="Q44" s="1281">
        <f t="shared" si="11"/>
        <v>41.06315789473684</v>
      </c>
      <c r="R44" s="1347">
        <v>0.8</v>
      </c>
      <c r="S44" s="1347">
        <v>0.95</v>
      </c>
      <c r="T44" s="1347"/>
      <c r="U44" s="1347" t="s">
        <v>1104</v>
      </c>
      <c r="V44" s="1347"/>
      <c r="W44" s="1347"/>
      <c r="X44" s="1347"/>
      <c r="Y44" s="1347"/>
      <c r="Z44" s="1804"/>
      <c r="AA44" s="2621"/>
      <c r="AB44" s="2118"/>
      <c r="AC44" s="1804"/>
      <c r="AD44" s="1383"/>
    </row>
    <row r="45" spans="1:30" s="86" customFormat="1" x14ac:dyDescent="0.25">
      <c r="A45" s="1082" t="s">
        <v>477</v>
      </c>
      <c r="B45" s="1848">
        <v>106104218</v>
      </c>
      <c r="C45" s="1287" t="s">
        <v>1754</v>
      </c>
      <c r="D45" s="1349" t="s">
        <v>1755</v>
      </c>
      <c r="E45" s="1335" t="s">
        <v>1756</v>
      </c>
      <c r="F45" s="1083">
        <f t="shared" si="6"/>
        <v>49</v>
      </c>
      <c r="G45" s="1083">
        <f t="shared" si="7"/>
        <v>46</v>
      </c>
      <c r="H45" s="3832" t="s">
        <v>3801</v>
      </c>
      <c r="I45" s="2504">
        <v>17.766666666666666</v>
      </c>
      <c r="J45" s="2356">
        <v>17.77</v>
      </c>
      <c r="K45" s="2356">
        <v>17.77</v>
      </c>
      <c r="L45" s="1281">
        <v>17.77</v>
      </c>
      <c r="M45" s="3836">
        <v>17.77</v>
      </c>
      <c r="N45" s="1318">
        <f t="shared" si="8"/>
        <v>0</v>
      </c>
      <c r="O45" s="1318">
        <f t="shared" si="9"/>
        <v>-1.8758206715440936E-4</v>
      </c>
      <c r="P45" s="1281">
        <f t="shared" si="10"/>
        <v>22.212499999999999</v>
      </c>
      <c r="Q45" s="1281">
        <f t="shared" si="11"/>
        <v>18.705263157894738</v>
      </c>
      <c r="R45" s="1347">
        <v>0.8</v>
      </c>
      <c r="S45" s="1347">
        <v>0.95</v>
      </c>
      <c r="T45" s="1347"/>
      <c r="U45" s="1347" t="s">
        <v>1104</v>
      </c>
      <c r="V45" s="1347"/>
      <c r="W45" s="1347"/>
      <c r="X45" s="1347"/>
      <c r="Y45" s="1347"/>
      <c r="Z45" s="1804"/>
      <c r="AA45" s="2621"/>
      <c r="AB45" s="2218"/>
      <c r="AC45" s="2218"/>
      <c r="AD45" s="1383"/>
    </row>
    <row r="46" spans="1:30" s="86" customFormat="1" x14ac:dyDescent="0.25">
      <c r="A46" s="1285" t="s">
        <v>1111</v>
      </c>
      <c r="B46" s="1848">
        <v>106104219</v>
      </c>
      <c r="C46" s="1288" t="s">
        <v>1757</v>
      </c>
      <c r="D46" s="1348" t="s">
        <v>1758</v>
      </c>
      <c r="E46" s="1335" t="s">
        <v>1759</v>
      </c>
      <c r="F46" s="1347">
        <f t="shared" si="6"/>
        <v>46</v>
      </c>
      <c r="G46" s="1347">
        <f t="shared" si="7"/>
        <v>47</v>
      </c>
      <c r="H46" s="3832" t="s">
        <v>3797</v>
      </c>
      <c r="I46" s="2504">
        <v>20.177777777777777</v>
      </c>
      <c r="J46" s="2356">
        <v>18.48</v>
      </c>
      <c r="K46" s="2356">
        <v>21.2</v>
      </c>
      <c r="L46" s="1281">
        <v>26.89</v>
      </c>
      <c r="M46" s="3836">
        <v>20.18</v>
      </c>
      <c r="N46" s="1318">
        <f t="shared" si="8"/>
        <v>-0.31275567125325399</v>
      </c>
      <c r="O46" s="1318">
        <f t="shared" si="9"/>
        <v>9.1871091871091812E-2</v>
      </c>
      <c r="P46" s="1281">
        <f t="shared" si="10"/>
        <v>25.224999999999998</v>
      </c>
      <c r="Q46" s="1281">
        <f t="shared" si="11"/>
        <v>21.242105263157896</v>
      </c>
      <c r="R46" s="1347">
        <v>0.8</v>
      </c>
      <c r="S46" s="1347">
        <v>0.95</v>
      </c>
      <c r="T46" s="1347" t="s">
        <v>1104</v>
      </c>
      <c r="U46" s="1347" t="s">
        <v>1104</v>
      </c>
      <c r="V46" s="1347" t="s">
        <v>1104</v>
      </c>
      <c r="W46" s="1347"/>
      <c r="X46" s="1347"/>
      <c r="Y46" s="1804"/>
      <c r="Z46" s="1804"/>
      <c r="AA46" s="2621"/>
      <c r="AB46" s="2118"/>
      <c r="AC46" s="1804">
        <v>106202879</v>
      </c>
      <c r="AD46" s="1383">
        <v>85</v>
      </c>
    </row>
    <row r="47" spans="1:30" s="86" customFormat="1" x14ac:dyDescent="0.25">
      <c r="A47" s="1285" t="s">
        <v>1112</v>
      </c>
      <c r="B47" s="1848">
        <v>106104221</v>
      </c>
      <c r="C47" s="1288" t="s">
        <v>1760</v>
      </c>
      <c r="D47" s="1348" t="s">
        <v>1761</v>
      </c>
      <c r="E47" s="1335" t="s">
        <v>1762</v>
      </c>
      <c r="F47" s="1347">
        <f t="shared" si="6"/>
        <v>42</v>
      </c>
      <c r="G47" s="1347">
        <f t="shared" si="7"/>
        <v>43</v>
      </c>
      <c r="H47" s="3832" t="s">
        <v>3797</v>
      </c>
      <c r="I47" s="2504">
        <v>25.444444444444443</v>
      </c>
      <c r="J47" s="2356">
        <v>25.47</v>
      </c>
      <c r="K47" s="2356">
        <v>23.99</v>
      </c>
      <c r="L47" s="1281">
        <v>33.4</v>
      </c>
      <c r="M47" s="3836">
        <v>25.47</v>
      </c>
      <c r="N47" s="1318">
        <f t="shared" si="8"/>
        <v>-0.2374251497005988</v>
      </c>
      <c r="O47" s="1318">
        <f t="shared" si="9"/>
        <v>-1.0033590716747546E-3</v>
      </c>
      <c r="P47" s="1281">
        <f t="shared" si="10"/>
        <v>31.837499999999999</v>
      </c>
      <c r="Q47" s="1281">
        <f t="shared" si="11"/>
        <v>26.810526315789474</v>
      </c>
      <c r="R47" s="1347">
        <v>0.8</v>
      </c>
      <c r="S47" s="1347">
        <v>0.95</v>
      </c>
      <c r="T47" s="1347" t="s">
        <v>1104</v>
      </c>
      <c r="U47" s="1347" t="s">
        <v>1104</v>
      </c>
      <c r="V47" s="1347" t="s">
        <v>1104</v>
      </c>
      <c r="W47" s="1347"/>
      <c r="X47" s="1347"/>
      <c r="Y47" s="1804"/>
      <c r="Z47" s="1804"/>
      <c r="AA47" s="2621"/>
      <c r="AB47" s="2118"/>
      <c r="AC47" s="1804">
        <v>106202880</v>
      </c>
      <c r="AD47" s="1383">
        <v>111</v>
      </c>
    </row>
    <row r="48" spans="1:30" s="86" customFormat="1" x14ac:dyDescent="0.25">
      <c r="A48" s="1082" t="s">
        <v>1113</v>
      </c>
      <c r="B48" s="1848">
        <v>106104223</v>
      </c>
      <c r="C48" s="1287" t="s">
        <v>1763</v>
      </c>
      <c r="D48" s="1348" t="s">
        <v>1764</v>
      </c>
      <c r="E48" s="1335" t="s">
        <v>1765</v>
      </c>
      <c r="F48" s="1083">
        <f t="shared" si="6"/>
        <v>43</v>
      </c>
      <c r="G48" s="1083">
        <f t="shared" si="7"/>
        <v>44</v>
      </c>
      <c r="H48" s="3832" t="s">
        <v>3797</v>
      </c>
      <c r="I48" s="2504">
        <v>44.955555555555556</v>
      </c>
      <c r="J48" s="2356">
        <v>44.96</v>
      </c>
      <c r="K48" s="2356">
        <v>43.02</v>
      </c>
      <c r="L48" s="1281">
        <v>81.83</v>
      </c>
      <c r="M48" s="3836">
        <v>44.96</v>
      </c>
      <c r="N48" s="1318">
        <f t="shared" si="8"/>
        <v>-0.45056825125259681</v>
      </c>
      <c r="O48" s="1318">
        <f t="shared" si="9"/>
        <v>-9.8853301700292242E-5</v>
      </c>
      <c r="P48" s="1281">
        <f t="shared" si="10"/>
        <v>56.199999999999996</v>
      </c>
      <c r="Q48" s="1281">
        <f t="shared" si="11"/>
        <v>47.326315789473689</v>
      </c>
      <c r="R48" s="1347">
        <v>0.8</v>
      </c>
      <c r="S48" s="1347">
        <v>0.95</v>
      </c>
      <c r="T48" s="1347"/>
      <c r="U48" s="1347" t="s">
        <v>1104</v>
      </c>
      <c r="V48" s="1347" t="s">
        <v>1104</v>
      </c>
      <c r="W48" s="1347"/>
      <c r="X48" s="1347"/>
      <c r="Y48" s="1804"/>
      <c r="Z48" s="1804"/>
      <c r="AA48" s="2621"/>
      <c r="AB48" s="2218"/>
      <c r="AC48" s="2218">
        <v>106202882</v>
      </c>
      <c r="AD48" s="1383">
        <v>238</v>
      </c>
    </row>
    <row r="49" spans="1:30" s="86" customFormat="1" x14ac:dyDescent="0.25">
      <c r="A49" s="1082" t="s">
        <v>1114</v>
      </c>
      <c r="B49" s="1848">
        <v>106104229</v>
      </c>
      <c r="C49" s="1287" t="s">
        <v>1766</v>
      </c>
      <c r="D49" s="1348" t="s">
        <v>1767</v>
      </c>
      <c r="E49" s="1335" t="s">
        <v>1768</v>
      </c>
      <c r="F49" s="1083">
        <f t="shared" si="6"/>
        <v>43</v>
      </c>
      <c r="G49" s="1083">
        <f t="shared" si="7"/>
        <v>44</v>
      </c>
      <c r="H49" s="3832" t="s">
        <v>3797</v>
      </c>
      <c r="I49" s="2504">
        <v>29.288888888888888</v>
      </c>
      <c r="J49" s="2356">
        <v>26.54</v>
      </c>
      <c r="K49" s="2356">
        <v>36.1</v>
      </c>
      <c r="L49" s="1281">
        <v>36.22</v>
      </c>
      <c r="M49" s="3836">
        <f>M143</f>
        <v>49.87</v>
      </c>
      <c r="N49" s="1318">
        <f t="shared" si="8"/>
        <v>-0.2672556598564329</v>
      </c>
      <c r="O49" s="1318">
        <f t="shared" si="9"/>
        <v>0.10357531608473583</v>
      </c>
      <c r="P49" s="1281">
        <f t="shared" si="10"/>
        <v>62.337499999999991</v>
      </c>
      <c r="Q49" s="1281">
        <f t="shared" si="11"/>
        <v>52.494736842105262</v>
      </c>
      <c r="R49" s="1347">
        <v>0.8</v>
      </c>
      <c r="S49" s="1347">
        <v>0.95</v>
      </c>
      <c r="T49" s="1347"/>
      <c r="U49" s="1347" t="s">
        <v>1104</v>
      </c>
      <c r="V49" s="1347" t="s">
        <v>1104</v>
      </c>
      <c r="W49" s="1347"/>
      <c r="X49" s="1347"/>
      <c r="Y49" s="1804"/>
      <c r="Z49" s="2218"/>
      <c r="AA49" s="2621"/>
      <c r="AB49" s="2627">
        <v>106114372</v>
      </c>
      <c r="AC49" s="302"/>
      <c r="AD49" s="1383">
        <v>115</v>
      </c>
    </row>
    <row r="50" spans="1:30" s="86" customFormat="1" x14ac:dyDescent="0.25">
      <c r="A50" s="1082" t="s">
        <v>469</v>
      </c>
      <c r="B50" s="1848">
        <v>106104232</v>
      </c>
      <c r="C50" s="1287" t="s">
        <v>1769</v>
      </c>
      <c r="D50" s="1348" t="s">
        <v>1770</v>
      </c>
      <c r="E50" s="1335" t="s">
        <v>1771</v>
      </c>
      <c r="F50" s="1083">
        <f t="shared" si="6"/>
        <v>40</v>
      </c>
      <c r="G50" s="1083">
        <f t="shared" si="7"/>
        <v>28</v>
      </c>
      <c r="H50" s="3832" t="s">
        <v>3797</v>
      </c>
      <c r="I50" s="2504">
        <v>69.677777777777777</v>
      </c>
      <c r="J50" s="2356">
        <v>69.680000000000007</v>
      </c>
      <c r="K50" s="2356">
        <v>69.680000000000007</v>
      </c>
      <c r="L50" s="1281">
        <v>70.12</v>
      </c>
      <c r="M50" s="3836">
        <f>M145</f>
        <v>74.28</v>
      </c>
      <c r="N50" s="1318">
        <f t="shared" si="8"/>
        <v>-6.2749572162007659E-3</v>
      </c>
      <c r="O50" s="1318">
        <f t="shared" si="9"/>
        <v>-3.1891822936706013E-5</v>
      </c>
      <c r="P50" s="1281">
        <f t="shared" si="10"/>
        <v>92.85</v>
      </c>
      <c r="Q50" s="1281">
        <f t="shared" si="11"/>
        <v>78.189473684210526</v>
      </c>
      <c r="R50" s="1347">
        <v>0.8</v>
      </c>
      <c r="S50" s="1347">
        <v>0.95</v>
      </c>
      <c r="T50" s="1347" t="s">
        <v>1104</v>
      </c>
      <c r="U50" s="1347" t="s">
        <v>1104</v>
      </c>
      <c r="V50" s="1347" t="s">
        <v>1104</v>
      </c>
      <c r="W50" s="1347"/>
      <c r="X50" s="1347"/>
      <c r="Y50" s="1804"/>
      <c r="Z50" s="1804"/>
      <c r="AA50" s="2621"/>
      <c r="AB50" s="2118">
        <v>106105880</v>
      </c>
      <c r="AC50" s="1804"/>
      <c r="AD50" s="1383"/>
    </row>
    <row r="51" spans="1:30" x14ac:dyDescent="0.25">
      <c r="A51" s="1082" t="s">
        <v>108</v>
      </c>
      <c r="B51" s="1848">
        <v>106104330</v>
      </c>
      <c r="C51" s="1287" t="s">
        <v>1773</v>
      </c>
      <c r="D51" s="1348" t="s">
        <v>1437</v>
      </c>
      <c r="E51" s="1336" t="s">
        <v>1438</v>
      </c>
      <c r="F51" s="1083">
        <f t="shared" si="6"/>
        <v>30</v>
      </c>
      <c r="G51" s="1083">
        <f t="shared" si="7"/>
        <v>29</v>
      </c>
      <c r="H51" s="3832" t="s">
        <v>3802</v>
      </c>
      <c r="I51" s="2504">
        <v>94.12222222222222</v>
      </c>
      <c r="J51" s="2356">
        <v>94.12</v>
      </c>
      <c r="K51" s="2356">
        <v>94.12</v>
      </c>
      <c r="L51" s="1281">
        <v>88.42</v>
      </c>
      <c r="M51" s="3836">
        <v>94.12</v>
      </c>
      <c r="N51" s="1318">
        <f t="shared" si="8"/>
        <v>6.4465053155394733E-2</v>
      </c>
      <c r="O51" s="1318">
        <f t="shared" si="9"/>
        <v>2.3610520848018106E-5</v>
      </c>
      <c r="P51" s="1281">
        <f t="shared" si="10"/>
        <v>235.3</v>
      </c>
      <c r="Q51" s="1281">
        <f t="shared" si="11"/>
        <v>156.86666666666667</v>
      </c>
      <c r="R51" s="1347">
        <v>0.4</v>
      </c>
      <c r="S51" s="1347">
        <v>0.6</v>
      </c>
      <c r="T51" s="1347"/>
      <c r="U51" s="1347" t="s">
        <v>1104</v>
      </c>
      <c r="V51" s="1347" t="s">
        <v>1104</v>
      </c>
      <c r="W51" s="1347"/>
      <c r="X51" s="1347"/>
      <c r="Z51" s="2218"/>
      <c r="AB51" s="1565" t="s">
        <v>1439</v>
      </c>
      <c r="AC51" s="1565"/>
    </row>
    <row r="52" spans="1:30" x14ac:dyDescent="0.25">
      <c r="A52" s="1082" t="s">
        <v>134</v>
      </c>
      <c r="B52" s="1848">
        <v>106104397</v>
      </c>
      <c r="C52" s="1287" t="s">
        <v>1774</v>
      </c>
      <c r="D52" s="1348" t="s">
        <v>1775</v>
      </c>
      <c r="E52" s="1335" t="s">
        <v>1776</v>
      </c>
      <c r="F52" s="1083">
        <f t="shared" si="6"/>
        <v>43</v>
      </c>
      <c r="G52" s="1083">
        <f t="shared" si="7"/>
        <v>31</v>
      </c>
      <c r="H52" s="3832" t="s">
        <v>3797</v>
      </c>
      <c r="I52" s="2504">
        <v>75.544444444444437</v>
      </c>
      <c r="J52" s="2356">
        <v>76.180000000000007</v>
      </c>
      <c r="K52" s="2356">
        <v>76.180000000000007</v>
      </c>
      <c r="L52" s="1281">
        <v>76.180000000000007</v>
      </c>
      <c r="M52" s="3836">
        <v>75.540000000000006</v>
      </c>
      <c r="N52" s="1318">
        <f t="shared" si="8"/>
        <v>0</v>
      </c>
      <c r="O52" s="1318">
        <f t="shared" si="9"/>
        <v>-8.3428138035648407E-3</v>
      </c>
      <c r="P52" s="1281">
        <f t="shared" si="10"/>
        <v>94.424999999999997</v>
      </c>
      <c r="Q52" s="1281">
        <f t="shared" si="11"/>
        <v>79.515789473684222</v>
      </c>
      <c r="R52" s="1347">
        <v>0.8</v>
      </c>
      <c r="S52" s="1347">
        <v>0.95</v>
      </c>
      <c r="T52" s="1347"/>
      <c r="U52" s="1347" t="s">
        <v>1104</v>
      </c>
      <c r="V52" s="1347" t="s">
        <v>1104</v>
      </c>
      <c r="W52" s="1347"/>
      <c r="X52" s="1347"/>
      <c r="Z52" s="1347"/>
    </row>
    <row r="53" spans="1:30" x14ac:dyDescent="0.25">
      <c r="A53" s="1082" t="s">
        <v>194</v>
      </c>
      <c r="B53" s="1848">
        <v>106104408</v>
      </c>
      <c r="C53" s="1287" t="s">
        <v>1777</v>
      </c>
      <c r="D53" s="1287" t="s">
        <v>1778</v>
      </c>
      <c r="E53" s="1335" t="s">
        <v>1469</v>
      </c>
      <c r="F53" s="1083">
        <f t="shared" si="6"/>
        <v>46</v>
      </c>
      <c r="G53" s="1083">
        <f t="shared" si="7"/>
        <v>40</v>
      </c>
      <c r="H53" s="3832" t="s">
        <v>3797</v>
      </c>
      <c r="I53" s="2504">
        <v>8.2444444444444436</v>
      </c>
      <c r="J53" s="2356">
        <v>8.06</v>
      </c>
      <c r="K53" s="2356">
        <v>8.16</v>
      </c>
      <c r="L53" s="1281">
        <v>8.24</v>
      </c>
      <c r="M53" s="3836">
        <v>8.24</v>
      </c>
      <c r="N53" s="1318">
        <f t="shared" si="8"/>
        <v>-2.1844660194174723E-2</v>
      </c>
      <c r="O53" s="1318">
        <f t="shared" si="9"/>
        <v>2.2883926109732392E-2</v>
      </c>
      <c r="P53" s="1281">
        <f t="shared" si="10"/>
        <v>10.299999999999999</v>
      </c>
      <c r="Q53" s="1281">
        <f t="shared" si="11"/>
        <v>8.6736842105263161</v>
      </c>
      <c r="R53" s="1347">
        <v>0.8</v>
      </c>
      <c r="S53" s="1347">
        <v>0.95</v>
      </c>
      <c r="T53" s="1347"/>
      <c r="U53" s="1347" t="s">
        <v>1104</v>
      </c>
      <c r="V53" s="1347" t="s">
        <v>1104</v>
      </c>
      <c r="W53" s="1347"/>
      <c r="X53" s="1347"/>
      <c r="Z53" s="2218"/>
      <c r="AC53" s="1804">
        <v>106202970</v>
      </c>
    </row>
    <row r="54" spans="1:30" x14ac:dyDescent="0.25">
      <c r="A54" s="1082"/>
      <c r="B54" s="1848">
        <v>106105037</v>
      </c>
      <c r="C54" s="1287" t="s">
        <v>1542</v>
      </c>
      <c r="D54" s="1349" t="s">
        <v>2549</v>
      </c>
      <c r="E54" s="1335" t="s">
        <v>2550</v>
      </c>
      <c r="F54" s="1083">
        <f t="shared" si="6"/>
        <v>41</v>
      </c>
      <c r="G54" s="1083">
        <f t="shared" si="7"/>
        <v>46</v>
      </c>
      <c r="H54" s="3832" t="s">
        <v>3801</v>
      </c>
      <c r="I54" s="2504">
        <v>65.555555555555557</v>
      </c>
      <c r="J54" s="2356">
        <v>65.56</v>
      </c>
      <c r="K54" s="2356">
        <v>65.56</v>
      </c>
      <c r="L54" s="1281">
        <v>65.56</v>
      </c>
      <c r="M54" s="3836">
        <v>65.56</v>
      </c>
      <c r="N54" s="1318">
        <f t="shared" si="8"/>
        <v>0</v>
      </c>
      <c r="O54" s="1318">
        <f t="shared" si="9"/>
        <v>-6.779201410074953E-5</v>
      </c>
      <c r="P54" s="1281">
        <f t="shared" si="10"/>
        <v>81.95</v>
      </c>
      <c r="Q54" s="1281">
        <f t="shared" si="11"/>
        <v>69.010526315789477</v>
      </c>
      <c r="R54" s="1347">
        <v>0.8</v>
      </c>
      <c r="S54" s="1347">
        <v>0.95</v>
      </c>
      <c r="T54" s="1347"/>
      <c r="U54" s="1347" t="s">
        <v>1104</v>
      </c>
      <c r="V54" s="1347"/>
      <c r="W54" s="1347"/>
      <c r="X54" s="1347"/>
      <c r="Z54" s="1347"/>
    </row>
    <row r="55" spans="1:30" x14ac:dyDescent="0.25">
      <c r="A55" s="1082" t="s">
        <v>298</v>
      </c>
      <c r="B55" s="1848">
        <v>106105038</v>
      </c>
      <c r="C55" s="1287" t="s">
        <v>1779</v>
      </c>
      <c r="D55" s="1349" t="s">
        <v>1248</v>
      </c>
      <c r="E55" s="1335" t="s">
        <v>1249</v>
      </c>
      <c r="F55" s="1083">
        <f t="shared" si="6"/>
        <v>37</v>
      </c>
      <c r="G55" s="1083">
        <f t="shared" si="7"/>
        <v>27</v>
      </c>
      <c r="H55" s="3832" t="s">
        <v>3801</v>
      </c>
      <c r="I55" s="2504">
        <v>1.0666666666666667</v>
      </c>
      <c r="J55" s="2356">
        <v>1.08</v>
      </c>
      <c r="K55" s="2356">
        <v>1.08</v>
      </c>
      <c r="L55" s="1281">
        <v>1.1299999999999999</v>
      </c>
      <c r="M55" s="3836">
        <v>1.08</v>
      </c>
      <c r="N55" s="1318">
        <f t="shared" si="8"/>
        <v>-4.4247787610619316E-2</v>
      </c>
      <c r="O55" s="1318">
        <f t="shared" si="9"/>
        <v>-1.2345679012345758E-2</v>
      </c>
      <c r="P55" s="1281">
        <f t="shared" si="10"/>
        <v>1.35</v>
      </c>
      <c r="Q55" s="1281">
        <f t="shared" si="11"/>
        <v>1.1368421052631581</v>
      </c>
      <c r="R55" s="1347">
        <v>0.8</v>
      </c>
      <c r="S55" s="1347">
        <v>0.95</v>
      </c>
      <c r="T55" s="1347"/>
      <c r="U55" s="1347" t="s">
        <v>1104</v>
      </c>
      <c r="V55" s="1347"/>
      <c r="W55" s="1347"/>
      <c r="X55" s="1347"/>
      <c r="Z55" s="2218"/>
      <c r="AB55" s="2118">
        <v>106114697</v>
      </c>
    </row>
    <row r="56" spans="1:30" x14ac:dyDescent="0.25">
      <c r="A56" s="1082" t="s">
        <v>217</v>
      </c>
      <c r="B56" s="1848">
        <v>106105140</v>
      </c>
      <c r="C56" s="1287" t="s">
        <v>1541</v>
      </c>
      <c r="D56" s="1349" t="s">
        <v>1780</v>
      </c>
      <c r="E56" s="1335" t="s">
        <v>1781</v>
      </c>
      <c r="F56" s="1083">
        <f t="shared" si="6"/>
        <v>35</v>
      </c>
      <c r="G56" s="1083">
        <f t="shared" si="7"/>
        <v>35</v>
      </c>
      <c r="H56" s="3832" t="s">
        <v>3801</v>
      </c>
      <c r="I56" s="2504">
        <v>1.3555555555555554</v>
      </c>
      <c r="J56" s="2356">
        <v>1.36</v>
      </c>
      <c r="K56" s="2356">
        <v>1.43</v>
      </c>
      <c r="L56" s="1281">
        <v>1.64</v>
      </c>
      <c r="M56" s="3836">
        <v>1.36</v>
      </c>
      <c r="N56" s="1318">
        <f t="shared" si="8"/>
        <v>-0.17073170731707307</v>
      </c>
      <c r="O56" s="1318">
        <f t="shared" si="9"/>
        <v>-3.2679738562093343E-3</v>
      </c>
      <c r="P56" s="1281">
        <f t="shared" si="10"/>
        <v>1.7</v>
      </c>
      <c r="Q56" s="1281">
        <f t="shared" si="11"/>
        <v>1.4315789473684213</v>
      </c>
      <c r="R56" s="1347">
        <v>0.8</v>
      </c>
      <c r="S56" s="1347">
        <v>0.95</v>
      </c>
      <c r="T56" s="1280" t="s">
        <v>1104</v>
      </c>
      <c r="U56" s="1347"/>
      <c r="V56" s="1347"/>
      <c r="W56" s="1347"/>
      <c r="X56" s="1347"/>
      <c r="Z56" s="1347"/>
    </row>
    <row r="57" spans="1:30" x14ac:dyDescent="0.25">
      <c r="A57" s="1082" t="s">
        <v>219</v>
      </c>
      <c r="B57" s="1848">
        <v>106105141</v>
      </c>
      <c r="C57" s="1287" t="s">
        <v>1540</v>
      </c>
      <c r="D57" s="1349" t="s">
        <v>3372</v>
      </c>
      <c r="E57" s="1335" t="s">
        <v>1782</v>
      </c>
      <c r="F57" s="1083">
        <f t="shared" si="6"/>
        <v>34</v>
      </c>
      <c r="G57" s="1083">
        <f t="shared" si="7"/>
        <v>34</v>
      </c>
      <c r="H57" s="3832" t="s">
        <v>3801</v>
      </c>
      <c r="I57" s="2504">
        <v>1.0555555555555556</v>
      </c>
      <c r="J57" s="2356">
        <v>1.06</v>
      </c>
      <c r="K57" s="2356">
        <v>1.1299999999999999</v>
      </c>
      <c r="L57" s="1281">
        <v>1.31</v>
      </c>
      <c r="M57" s="3836">
        <v>1.06</v>
      </c>
      <c r="N57" s="1318">
        <f t="shared" si="8"/>
        <v>-0.19083969465648853</v>
      </c>
      <c r="O57" s="1318">
        <f t="shared" si="9"/>
        <v>-4.1928721174004464E-3</v>
      </c>
      <c r="P57" s="1281">
        <f t="shared" si="10"/>
        <v>1.325</v>
      </c>
      <c r="Q57" s="1281">
        <f t="shared" si="11"/>
        <v>1.1157894736842107</v>
      </c>
      <c r="R57" s="1347">
        <v>0.8</v>
      </c>
      <c r="S57" s="1347">
        <v>0.95</v>
      </c>
      <c r="T57" s="1280" t="s">
        <v>1104</v>
      </c>
      <c r="U57" s="1347"/>
      <c r="V57" s="1347"/>
      <c r="W57" s="1347"/>
      <c r="X57" s="1347"/>
      <c r="Z57" s="1347"/>
      <c r="AB57" s="2218"/>
      <c r="AC57" s="2218"/>
    </row>
    <row r="58" spans="1:30" x14ac:dyDescent="0.25">
      <c r="A58" s="1082" t="s">
        <v>218</v>
      </c>
      <c r="B58" s="1848">
        <v>106105150</v>
      </c>
      <c r="C58" s="1287" t="s">
        <v>1783</v>
      </c>
      <c r="D58" s="1287" t="s">
        <v>2473</v>
      </c>
      <c r="E58" s="1335" t="s">
        <v>1784</v>
      </c>
      <c r="F58" s="1083">
        <f t="shared" si="6"/>
        <v>32</v>
      </c>
      <c r="G58" s="1083">
        <f t="shared" si="7"/>
        <v>30</v>
      </c>
      <c r="H58" s="3832" t="s">
        <v>3801</v>
      </c>
      <c r="I58" s="2504">
        <v>0.5444444444444444</v>
      </c>
      <c r="J58" s="2356">
        <v>0.57999999999999996</v>
      </c>
      <c r="K58" s="2356">
        <v>0.52</v>
      </c>
      <c r="L58" s="1281">
        <v>0.51</v>
      </c>
      <c r="M58" s="3836">
        <v>0.57999999999999996</v>
      </c>
      <c r="N58" s="1318">
        <f t="shared" si="8"/>
        <v>0.13725490196078421</v>
      </c>
      <c r="O58" s="1318">
        <f t="shared" si="9"/>
        <v>-6.1302681992337182E-2</v>
      </c>
      <c r="P58" s="1281">
        <f t="shared" si="10"/>
        <v>0.72499999999999987</v>
      </c>
      <c r="Q58" s="1281">
        <f t="shared" si="11"/>
        <v>0.61052631578947369</v>
      </c>
      <c r="R58" s="1347">
        <v>0.8</v>
      </c>
      <c r="S58" s="1347">
        <v>0.95</v>
      </c>
      <c r="T58" s="1280" t="s">
        <v>1104</v>
      </c>
      <c r="U58" s="1347"/>
      <c r="V58" s="1347"/>
      <c r="W58" s="1347"/>
      <c r="X58" s="1347"/>
      <c r="Z58" s="1347"/>
    </row>
    <row r="59" spans="1:30" x14ac:dyDescent="0.25">
      <c r="A59" s="1082" t="s">
        <v>220</v>
      </c>
      <c r="B59" s="1848">
        <v>106105151</v>
      </c>
      <c r="C59" s="1287" t="s">
        <v>1785</v>
      </c>
      <c r="D59" s="1287" t="s">
        <v>2474</v>
      </c>
      <c r="E59" s="1335" t="s">
        <v>1786</v>
      </c>
      <c r="F59" s="1083">
        <f t="shared" si="6"/>
        <v>31</v>
      </c>
      <c r="G59" s="1083">
        <f t="shared" si="7"/>
        <v>28</v>
      </c>
      <c r="H59" s="3832" t="s">
        <v>3801</v>
      </c>
      <c r="I59" s="2504">
        <v>0.5444444444444444</v>
      </c>
      <c r="J59" s="2356">
        <v>0.57999999999999996</v>
      </c>
      <c r="K59" s="2356">
        <v>0.52</v>
      </c>
      <c r="L59" s="1281">
        <v>0.51</v>
      </c>
      <c r="M59" s="3836">
        <v>0.57999999999999996</v>
      </c>
      <c r="N59" s="1318">
        <f t="shared" si="8"/>
        <v>0.13725490196078421</v>
      </c>
      <c r="O59" s="1318">
        <f t="shared" si="9"/>
        <v>-6.1302681992337182E-2</v>
      </c>
      <c r="P59" s="1281">
        <f t="shared" si="10"/>
        <v>0.72499999999999987</v>
      </c>
      <c r="Q59" s="1281">
        <f t="shared" si="11"/>
        <v>0.61052631578947369</v>
      </c>
      <c r="R59" s="1347">
        <v>0.8</v>
      </c>
      <c r="S59" s="1347">
        <v>0.95</v>
      </c>
      <c r="T59" s="1280" t="s">
        <v>1104</v>
      </c>
      <c r="U59" s="1347"/>
      <c r="V59" s="1347"/>
      <c r="W59" s="1347"/>
      <c r="X59" s="1347"/>
      <c r="Z59" s="1347"/>
      <c r="AB59" s="2218"/>
      <c r="AC59" s="2218"/>
    </row>
    <row r="60" spans="1:30" x14ac:dyDescent="0.25">
      <c r="A60" s="1082" t="s">
        <v>1787</v>
      </c>
      <c r="B60" s="1848">
        <v>106105379</v>
      </c>
      <c r="C60" s="1287" t="s">
        <v>1492</v>
      </c>
      <c r="D60" s="1287" t="s">
        <v>1788</v>
      </c>
      <c r="E60" s="1335" t="s">
        <v>1789</v>
      </c>
      <c r="F60" s="1083">
        <f t="shared" si="6"/>
        <v>18</v>
      </c>
      <c r="G60" s="1083">
        <f t="shared" si="7"/>
        <v>18</v>
      </c>
      <c r="H60" s="3832" t="s">
        <v>3801</v>
      </c>
      <c r="I60" s="2504">
        <v>54</v>
      </c>
      <c r="J60" s="2356">
        <v>54</v>
      </c>
      <c r="K60" s="2356">
        <v>54</v>
      </c>
      <c r="L60" s="1281">
        <v>52.79</v>
      </c>
      <c r="M60" s="3836">
        <v>54</v>
      </c>
      <c r="N60" s="1318">
        <f t="shared" si="8"/>
        <v>2.2921007766622484E-2</v>
      </c>
      <c r="O60" s="1318">
        <f t="shared" si="9"/>
        <v>0</v>
      </c>
      <c r="P60" s="1281">
        <f t="shared" si="10"/>
        <v>67.5</v>
      </c>
      <c r="Q60" s="1281">
        <f t="shared" si="11"/>
        <v>56.842105263157897</v>
      </c>
      <c r="R60" s="1347">
        <v>0.8</v>
      </c>
      <c r="S60" s="1347">
        <v>0.95</v>
      </c>
      <c r="T60" s="1347" t="s">
        <v>1104</v>
      </c>
      <c r="U60" s="1347"/>
      <c r="V60" s="1347"/>
      <c r="W60" s="1347"/>
      <c r="X60" s="1347"/>
      <c r="Z60" s="1347"/>
      <c r="AB60" s="2218"/>
      <c r="AC60" s="2218"/>
      <c r="AD60" s="86"/>
    </row>
    <row r="61" spans="1:30" s="99" customFormat="1" ht="15.75" customHeight="1" x14ac:dyDescent="0.25">
      <c r="A61" s="1082" t="s">
        <v>29</v>
      </c>
      <c r="B61" s="1848">
        <v>106105387</v>
      </c>
      <c r="C61" s="1287" t="s">
        <v>1495</v>
      </c>
      <c r="D61" s="1287" t="s">
        <v>1790</v>
      </c>
      <c r="E61" s="1335" t="s">
        <v>1791</v>
      </c>
      <c r="F61" s="1083">
        <f t="shared" si="6"/>
        <v>19</v>
      </c>
      <c r="G61" s="1083">
        <f t="shared" si="7"/>
        <v>19</v>
      </c>
      <c r="H61" s="3832" t="s">
        <v>3801</v>
      </c>
      <c r="I61" s="2504">
        <v>513.75555555555559</v>
      </c>
      <c r="J61" s="2356">
        <v>494</v>
      </c>
      <c r="K61" s="2356">
        <v>494</v>
      </c>
      <c r="L61" s="1281">
        <v>494.01</v>
      </c>
      <c r="M61" s="3836">
        <v>513.76</v>
      </c>
      <c r="N61" s="1318">
        <f t="shared" si="8"/>
        <v>-2.0242505212426683E-5</v>
      </c>
      <c r="O61" s="1318">
        <f t="shared" si="9"/>
        <v>3.9991003148897954E-2</v>
      </c>
      <c r="P61" s="1281">
        <f t="shared" si="10"/>
        <v>642.19999999999993</v>
      </c>
      <c r="Q61" s="1281">
        <f t="shared" si="11"/>
        <v>540.80000000000007</v>
      </c>
      <c r="R61" s="1347">
        <v>0.8</v>
      </c>
      <c r="S61" s="1347">
        <v>0.95</v>
      </c>
      <c r="T61" s="1083"/>
      <c r="U61" s="1347" t="s">
        <v>1104</v>
      </c>
      <c r="V61" s="1083"/>
      <c r="W61" s="1083"/>
      <c r="X61" s="1083"/>
      <c r="Y61" s="1804"/>
      <c r="Z61" s="1804"/>
      <c r="AA61" s="2623"/>
      <c r="AB61" s="2219"/>
      <c r="AC61" s="2219"/>
      <c r="AD61" s="2221"/>
    </row>
    <row r="62" spans="1:30" x14ac:dyDescent="0.25">
      <c r="A62" s="1082" t="s">
        <v>271</v>
      </c>
      <c r="B62" s="1848">
        <v>106105399</v>
      </c>
      <c r="C62" s="1287" t="s">
        <v>1514</v>
      </c>
      <c r="D62" s="1349" t="s">
        <v>1515</v>
      </c>
      <c r="E62" s="1335" t="s">
        <v>1516</v>
      </c>
      <c r="F62" s="1083">
        <f t="shared" si="6"/>
        <v>37</v>
      </c>
      <c r="G62" s="1083">
        <f t="shared" si="7"/>
        <v>36</v>
      </c>
      <c r="H62" s="3832" t="s">
        <v>3797</v>
      </c>
      <c r="I62" s="2504">
        <v>33.111111111111114</v>
      </c>
      <c r="J62" s="2356">
        <v>37.270000000000003</v>
      </c>
      <c r="K62" s="2356">
        <v>39.409999999999997</v>
      </c>
      <c r="L62" s="1281">
        <v>39.94</v>
      </c>
      <c r="M62" s="3836">
        <v>37.270000000000003</v>
      </c>
      <c r="N62" s="1318">
        <f t="shared" si="8"/>
        <v>-6.6850275413119553E-2</v>
      </c>
      <c r="O62" s="1318">
        <f t="shared" si="9"/>
        <v>-0.11158811078317382</v>
      </c>
      <c r="P62" s="1281">
        <f t="shared" si="10"/>
        <v>46.587499999999999</v>
      </c>
      <c r="Q62" s="1281">
        <f t="shared" si="11"/>
        <v>39.231578947368426</v>
      </c>
      <c r="R62" s="1347">
        <v>0.8</v>
      </c>
      <c r="S62" s="1347">
        <v>0.95</v>
      </c>
      <c r="T62" s="1347"/>
      <c r="U62" s="1347" t="s">
        <v>1104</v>
      </c>
      <c r="V62" s="1347"/>
      <c r="W62" s="1347"/>
      <c r="X62" s="1347"/>
      <c r="Z62" s="2218"/>
      <c r="AB62" s="2118">
        <v>106112169</v>
      </c>
    </row>
    <row r="63" spans="1:30" s="99" customFormat="1" ht="15.75" customHeight="1" x14ac:dyDescent="0.25">
      <c r="A63" s="1084" t="s">
        <v>16</v>
      </c>
      <c r="B63" s="1848">
        <v>106105404</v>
      </c>
      <c r="C63" s="1287" t="s">
        <v>1792</v>
      </c>
      <c r="D63" s="1349" t="s">
        <v>1793</v>
      </c>
      <c r="E63" s="1335" t="s">
        <v>1794</v>
      </c>
      <c r="F63" s="1083">
        <f t="shared" si="6"/>
        <v>40</v>
      </c>
      <c r="G63" s="1083">
        <f t="shared" si="7"/>
        <v>38</v>
      </c>
      <c r="H63" s="3832" t="s">
        <v>3797</v>
      </c>
      <c r="I63" s="2504">
        <v>0.68888888888888888</v>
      </c>
      <c r="J63" s="2356">
        <v>0.72</v>
      </c>
      <c r="K63" s="2356">
        <v>0.72</v>
      </c>
      <c r="L63" s="1281">
        <v>0.71</v>
      </c>
      <c r="M63" s="3836">
        <v>0.72</v>
      </c>
      <c r="N63" s="1318">
        <f t="shared" si="8"/>
        <v>1.4084507042253534E-2</v>
      </c>
      <c r="O63" s="1318">
        <f t="shared" si="9"/>
        <v>-4.3209876543209846E-2</v>
      </c>
      <c r="P63" s="1281">
        <f t="shared" si="10"/>
        <v>0.89999999999999991</v>
      </c>
      <c r="Q63" s="1281">
        <f t="shared" si="11"/>
        <v>0.75789473684210529</v>
      </c>
      <c r="R63" s="1347">
        <v>0.8</v>
      </c>
      <c r="S63" s="1347">
        <v>0.95</v>
      </c>
      <c r="T63" s="1347" t="s">
        <v>1104</v>
      </c>
      <c r="U63" s="1347"/>
      <c r="V63" s="1347"/>
      <c r="W63" s="1347"/>
      <c r="X63" s="1347"/>
      <c r="Y63" s="1804"/>
      <c r="Z63" s="2218"/>
      <c r="AA63" s="2623"/>
      <c r="AB63" s="2219"/>
      <c r="AC63" s="2219"/>
      <c r="AD63" s="2221"/>
    </row>
    <row r="64" spans="1:30" s="99" customFormat="1" ht="15.75" customHeight="1" x14ac:dyDescent="0.25">
      <c r="A64" s="1084" t="s">
        <v>16</v>
      </c>
      <c r="B64" s="1848">
        <v>106105421</v>
      </c>
      <c r="C64" s="1287" t="s">
        <v>1795</v>
      </c>
      <c r="D64" s="1349" t="s">
        <v>1796</v>
      </c>
      <c r="E64" s="1335" t="s">
        <v>1797</v>
      </c>
      <c r="F64" s="1083">
        <f t="shared" si="6"/>
        <v>40</v>
      </c>
      <c r="G64" s="1083">
        <f t="shared" si="7"/>
        <v>38</v>
      </c>
      <c r="H64" s="3832" t="s">
        <v>3797</v>
      </c>
      <c r="I64" s="2504">
        <v>0.48</v>
      </c>
      <c r="J64" s="2356">
        <v>0.48</v>
      </c>
      <c r="K64" s="2356">
        <v>0.48</v>
      </c>
      <c r="L64" s="1281">
        <v>0.48</v>
      </c>
      <c r="M64" s="3836">
        <v>0.48</v>
      </c>
      <c r="N64" s="1318">
        <f t="shared" si="8"/>
        <v>0</v>
      </c>
      <c r="O64" s="1318">
        <f t="shared" si="9"/>
        <v>0</v>
      </c>
      <c r="P64" s="1281">
        <f t="shared" si="10"/>
        <v>0.6</v>
      </c>
      <c r="Q64" s="1281">
        <f t="shared" si="11"/>
        <v>0.50526315789473686</v>
      </c>
      <c r="R64" s="1347">
        <v>0.8</v>
      </c>
      <c r="S64" s="1347">
        <v>0.95</v>
      </c>
      <c r="T64" s="1280" t="s">
        <v>1104</v>
      </c>
      <c r="U64" s="1347"/>
      <c r="V64" s="1347"/>
      <c r="W64" s="1347"/>
      <c r="X64" s="1347"/>
      <c r="Y64" s="1804"/>
      <c r="Z64" s="1804"/>
      <c r="AA64" s="2623"/>
      <c r="AB64" s="2219"/>
      <c r="AC64" s="2219"/>
      <c r="AD64" s="2221"/>
    </row>
    <row r="65" spans="1:30" x14ac:dyDescent="0.25">
      <c r="A65" s="1082" t="s">
        <v>287</v>
      </c>
      <c r="B65" s="1848">
        <v>106105422</v>
      </c>
      <c r="C65" s="1287" t="s">
        <v>1729</v>
      </c>
      <c r="D65" s="1349" t="s">
        <v>1798</v>
      </c>
      <c r="E65" s="1335" t="s">
        <v>1799</v>
      </c>
      <c r="F65" s="1083">
        <f t="shared" si="6"/>
        <v>40</v>
      </c>
      <c r="G65" s="1083">
        <f t="shared" si="7"/>
        <v>38</v>
      </c>
      <c r="H65" s="3832" t="s">
        <v>3797</v>
      </c>
      <c r="I65" s="2504">
        <v>1.0666666666666667</v>
      </c>
      <c r="J65" s="2356">
        <v>1.0900000000000001</v>
      </c>
      <c r="K65" s="2356">
        <v>1.0900000000000001</v>
      </c>
      <c r="L65" s="1281">
        <v>1.07</v>
      </c>
      <c r="M65" s="3836">
        <v>1.0900000000000001</v>
      </c>
      <c r="N65" s="1318">
        <f t="shared" si="8"/>
        <v>1.8691588785046745E-2</v>
      </c>
      <c r="O65" s="1318">
        <f t="shared" si="9"/>
        <v>-2.1406727828746263E-2</v>
      </c>
      <c r="P65" s="1281">
        <f t="shared" si="10"/>
        <v>1.3625</v>
      </c>
      <c r="Q65" s="1281">
        <f t="shared" si="11"/>
        <v>1.1473684210526318</v>
      </c>
      <c r="R65" s="1347">
        <v>0.8</v>
      </c>
      <c r="S65" s="1347">
        <v>0.95</v>
      </c>
      <c r="T65" s="1347"/>
      <c r="U65" s="1347" t="s">
        <v>1104</v>
      </c>
      <c r="V65" s="1347" t="s">
        <v>1104</v>
      </c>
      <c r="W65" s="1347"/>
      <c r="X65" s="1347"/>
      <c r="AA65" s="2623"/>
      <c r="AB65" s="2219">
        <v>106115185</v>
      </c>
      <c r="AC65" s="2219"/>
      <c r="AD65" s="2221"/>
    </row>
    <row r="66" spans="1:30" s="99" customFormat="1" ht="15.75" customHeight="1" x14ac:dyDescent="0.25">
      <c r="A66" s="1285" t="s">
        <v>215</v>
      </c>
      <c r="B66" s="1848">
        <v>106105439</v>
      </c>
      <c r="C66" s="1288" t="s">
        <v>1800</v>
      </c>
      <c r="D66" s="1349" t="s">
        <v>1801</v>
      </c>
      <c r="E66" s="1337" t="s">
        <v>1802</v>
      </c>
      <c r="F66" s="1347">
        <f t="shared" si="6"/>
        <v>43</v>
      </c>
      <c r="G66" s="1347">
        <f t="shared" si="7"/>
        <v>35</v>
      </c>
      <c r="H66" s="3832" t="s">
        <v>3801</v>
      </c>
      <c r="I66" s="2504">
        <v>2.0333333333333332</v>
      </c>
      <c r="J66" s="2356">
        <v>2.0299999999999998</v>
      </c>
      <c r="K66" s="2356">
        <v>2.0299999999999998</v>
      </c>
      <c r="L66" s="1281">
        <v>2.0299999999999998</v>
      </c>
      <c r="M66" s="3836">
        <v>2.0299999999999998</v>
      </c>
      <c r="N66" s="1318">
        <f t="shared" si="8"/>
        <v>0</v>
      </c>
      <c r="O66" s="1318">
        <f t="shared" si="9"/>
        <v>1.6420361247947836E-3</v>
      </c>
      <c r="P66" s="1281">
        <f t="shared" si="10"/>
        <v>2.5374999999999996</v>
      </c>
      <c r="Q66" s="1281">
        <f t="shared" si="11"/>
        <v>2.1368421052631579</v>
      </c>
      <c r="R66" s="1347">
        <v>0.8</v>
      </c>
      <c r="S66" s="1347">
        <v>0.95</v>
      </c>
      <c r="T66" s="1280" t="s">
        <v>1104</v>
      </c>
      <c r="U66" s="1347"/>
      <c r="V66" s="1347"/>
      <c r="W66" s="1347"/>
      <c r="X66" s="1347"/>
      <c r="Y66" s="1804"/>
      <c r="Z66" s="1804"/>
      <c r="AA66" s="2621"/>
      <c r="AB66" s="2118"/>
      <c r="AC66" s="1804"/>
      <c r="AD66" s="1383"/>
    </row>
    <row r="67" spans="1:30" s="99" customFormat="1" ht="15.75" customHeight="1" x14ac:dyDescent="0.25">
      <c r="A67" s="1082"/>
      <c r="B67" s="1848">
        <v>106105697</v>
      </c>
      <c r="C67" s="1287" t="s">
        <v>1216</v>
      </c>
      <c r="D67" s="1349" t="s">
        <v>1275</v>
      </c>
      <c r="E67" s="1335" t="s">
        <v>1276</v>
      </c>
      <c r="F67" s="1083">
        <f t="shared" ref="F67:F98" si="12">LEN(D67)</f>
        <v>14</v>
      </c>
      <c r="G67" s="1083">
        <f t="shared" ref="G67:G98" si="13">LEN(E67)</f>
        <v>15</v>
      </c>
      <c r="H67" s="3832" t="s">
        <v>3797</v>
      </c>
      <c r="I67" s="2504">
        <v>4.677777777777778</v>
      </c>
      <c r="J67" s="2356">
        <v>4.68</v>
      </c>
      <c r="K67" s="2356">
        <v>7.09</v>
      </c>
      <c r="L67" s="411">
        <v>4.6399999999999997</v>
      </c>
      <c r="M67" s="3836">
        <v>4.68</v>
      </c>
      <c r="N67" s="1318">
        <f t="shared" ref="N67:N98" si="14">(J67-L67)/L67</f>
        <v>8.6206896551724223E-3</v>
      </c>
      <c r="O67" s="1318">
        <f t="shared" ref="O67:O98" si="15">(I67-J67)/J67</f>
        <v>-4.7483380816702595E-4</v>
      </c>
      <c r="P67" s="1281">
        <f t="shared" ref="P67:P96" si="16">M67/R67</f>
        <v>5.85</v>
      </c>
      <c r="Q67" s="1281">
        <f t="shared" ref="Q67:Q96" si="17">M67/S67</f>
        <v>4.9263157894736844</v>
      </c>
      <c r="R67" s="1347">
        <v>0.8</v>
      </c>
      <c r="S67" s="1347">
        <v>0.95</v>
      </c>
      <c r="T67" s="2218" t="s">
        <v>1104</v>
      </c>
      <c r="U67" s="2218"/>
      <c r="V67" s="2218"/>
      <c r="W67" s="2633"/>
      <c r="X67" s="2218"/>
      <c r="Y67" s="1804"/>
      <c r="Z67" s="378"/>
      <c r="AA67" s="2621"/>
      <c r="AB67" s="2218"/>
      <c r="AC67" s="2218"/>
      <c r="AD67" s="1383"/>
    </row>
    <row r="68" spans="1:30" s="99" customFormat="1" ht="15.75" customHeight="1" x14ac:dyDescent="0.25">
      <c r="A68" s="1082"/>
      <c r="B68" s="1848">
        <v>106105698</v>
      </c>
      <c r="C68" s="1287" t="s">
        <v>1218</v>
      </c>
      <c r="D68" s="1349" t="s">
        <v>1560</v>
      </c>
      <c r="E68" s="1335" t="s">
        <v>1561</v>
      </c>
      <c r="F68" s="1083">
        <f t="shared" si="12"/>
        <v>14</v>
      </c>
      <c r="G68" s="1083">
        <f t="shared" si="13"/>
        <v>15</v>
      </c>
      <c r="H68" s="3832" t="s">
        <v>3797</v>
      </c>
      <c r="I68" s="2504">
        <v>4.3777777777777773</v>
      </c>
      <c r="J68" s="2356">
        <v>4.38</v>
      </c>
      <c r="K68" s="2356">
        <v>4.38</v>
      </c>
      <c r="L68" s="411">
        <v>4.6399999999999997</v>
      </c>
      <c r="M68" s="3836">
        <v>4.38</v>
      </c>
      <c r="N68" s="1318">
        <f t="shared" si="14"/>
        <v>-5.6034482758620649E-2</v>
      </c>
      <c r="O68" s="1318">
        <f t="shared" si="15"/>
        <v>-5.0735667174031272E-4</v>
      </c>
      <c r="P68" s="1281">
        <f t="shared" si="16"/>
        <v>5.4749999999999996</v>
      </c>
      <c r="Q68" s="1281">
        <f t="shared" si="17"/>
        <v>4.6105263157894738</v>
      </c>
      <c r="R68" s="1347">
        <v>0.8</v>
      </c>
      <c r="S68" s="1347">
        <v>0.95</v>
      </c>
      <c r="T68" s="2218" t="s">
        <v>1104</v>
      </c>
      <c r="U68" s="2218"/>
      <c r="V68" s="2218"/>
      <c r="W68" s="2633"/>
      <c r="X68" s="2218"/>
      <c r="Y68" s="1804"/>
      <c r="Z68" s="378"/>
      <c r="AA68" s="2621"/>
      <c r="AB68" s="2118"/>
      <c r="AC68" s="1804"/>
      <c r="AD68" s="1383"/>
    </row>
    <row r="69" spans="1:30" s="99" customFormat="1" ht="15.75" customHeight="1" x14ac:dyDescent="0.25">
      <c r="A69" s="1082" t="s">
        <v>210</v>
      </c>
      <c r="B69" s="1848">
        <v>106105751</v>
      </c>
      <c r="C69" s="1287" t="s">
        <v>1803</v>
      </c>
      <c r="D69" s="1349" t="s">
        <v>1804</v>
      </c>
      <c r="E69" s="1335" t="s">
        <v>1805</v>
      </c>
      <c r="F69" s="1083">
        <f t="shared" si="12"/>
        <v>30</v>
      </c>
      <c r="G69" s="1083">
        <f t="shared" si="13"/>
        <v>21</v>
      </c>
      <c r="H69" s="3832" t="s">
        <v>3797</v>
      </c>
      <c r="I69" s="2504">
        <v>3.3333333333333333E-2</v>
      </c>
      <c r="J69" s="2356">
        <v>0.03</v>
      </c>
      <c r="K69" s="2356">
        <v>0.03</v>
      </c>
      <c r="L69" s="1281">
        <v>0.03</v>
      </c>
      <c r="M69" s="3836">
        <v>0.03</v>
      </c>
      <c r="N69" s="1318">
        <f t="shared" si="14"/>
        <v>0</v>
      </c>
      <c r="O69" s="1318">
        <f t="shared" si="15"/>
        <v>0.11111111111111113</v>
      </c>
      <c r="P69" s="1281">
        <f t="shared" si="16"/>
        <v>3.7499999999999999E-2</v>
      </c>
      <c r="Q69" s="1281">
        <f t="shared" si="17"/>
        <v>3.1578947368421054E-2</v>
      </c>
      <c r="R69" s="1347">
        <v>0.8</v>
      </c>
      <c r="S69" s="1347">
        <v>0.95</v>
      </c>
      <c r="T69" s="1280" t="s">
        <v>1104</v>
      </c>
      <c r="U69" s="1347"/>
      <c r="V69" s="1347"/>
      <c r="W69" s="1347"/>
      <c r="X69" s="1347"/>
      <c r="Y69" s="2218"/>
      <c r="Z69" s="1804"/>
      <c r="AA69" s="2621"/>
      <c r="AB69" s="2118"/>
      <c r="AC69" s="1804"/>
      <c r="AD69" s="1383"/>
    </row>
    <row r="70" spans="1:30" x14ac:dyDescent="0.25">
      <c r="A70" s="1082" t="s">
        <v>122</v>
      </c>
      <c r="B70" s="1848">
        <v>106105880</v>
      </c>
      <c r="C70" s="1287" t="s">
        <v>1806</v>
      </c>
      <c r="D70" s="1348" t="s">
        <v>1243</v>
      </c>
      <c r="E70" s="1335" t="s">
        <v>1244</v>
      </c>
      <c r="F70" s="1083">
        <f t="shared" si="12"/>
        <v>34</v>
      </c>
      <c r="G70" s="1083">
        <f t="shared" si="13"/>
        <v>22</v>
      </c>
      <c r="H70" s="3832" t="s">
        <v>3798</v>
      </c>
      <c r="I70" s="2504">
        <v>71.24677777777778</v>
      </c>
      <c r="J70" s="2356">
        <v>71.25</v>
      </c>
      <c r="K70" s="2356">
        <v>92.97</v>
      </c>
      <c r="L70" s="1281">
        <v>95.44</v>
      </c>
      <c r="M70" s="3836">
        <f>M145</f>
        <v>74.28</v>
      </c>
      <c r="N70" s="1318">
        <f t="shared" si="14"/>
        <v>-0.25345766974015088</v>
      </c>
      <c r="O70" s="1318">
        <f t="shared" si="15"/>
        <v>-4.5224171539933177E-5</v>
      </c>
      <c r="P70" s="1281">
        <f t="shared" si="16"/>
        <v>92.85</v>
      </c>
      <c r="Q70" s="1281">
        <f t="shared" si="17"/>
        <v>78.189473684210526</v>
      </c>
      <c r="R70" s="1347">
        <v>0.8</v>
      </c>
      <c r="S70" s="1347">
        <v>0.95</v>
      </c>
      <c r="T70" s="1347"/>
      <c r="U70" s="1347" t="s">
        <v>1104</v>
      </c>
      <c r="V70" s="1347" t="s">
        <v>1104</v>
      </c>
      <c r="W70" s="1347"/>
      <c r="X70" s="1347"/>
      <c r="Y70" s="2218"/>
      <c r="AB70" s="2218" t="s">
        <v>649</v>
      </c>
      <c r="AC70" s="2218"/>
    </row>
    <row r="71" spans="1:30" x14ac:dyDescent="0.25">
      <c r="A71" s="1082" t="s">
        <v>211</v>
      </c>
      <c r="B71" s="1848">
        <v>106105883</v>
      </c>
      <c r="C71" s="1287" t="s">
        <v>1807</v>
      </c>
      <c r="D71" s="1349" t="s">
        <v>1808</v>
      </c>
      <c r="E71" s="1335" t="s">
        <v>1809</v>
      </c>
      <c r="F71" s="1083">
        <f t="shared" si="12"/>
        <v>39</v>
      </c>
      <c r="G71" s="1083">
        <f t="shared" si="13"/>
        <v>29</v>
      </c>
      <c r="H71" s="3832" t="s">
        <v>3798</v>
      </c>
      <c r="I71" s="2504">
        <v>9.9999999999999992E-2</v>
      </c>
      <c r="J71" s="2356">
        <v>0.1</v>
      </c>
      <c r="K71" s="2356">
        <v>0.1</v>
      </c>
      <c r="L71" s="1281">
        <v>0.1</v>
      </c>
      <c r="M71" s="3836">
        <v>0.1</v>
      </c>
      <c r="N71" s="1318">
        <f t="shared" si="14"/>
        <v>0</v>
      </c>
      <c r="O71" s="1318">
        <f t="shared" si="15"/>
        <v>-1.3877787807814457E-16</v>
      </c>
      <c r="P71" s="1281">
        <f t="shared" si="16"/>
        <v>0.125</v>
      </c>
      <c r="Q71" s="1281">
        <f t="shared" si="17"/>
        <v>0.10526315789473685</v>
      </c>
      <c r="R71" s="1347">
        <v>0.8</v>
      </c>
      <c r="S71" s="1347">
        <v>0.95</v>
      </c>
      <c r="T71" s="1347" t="s">
        <v>1104</v>
      </c>
      <c r="U71" s="1347"/>
      <c r="V71" s="1347"/>
      <c r="W71" s="1347"/>
      <c r="X71" s="1347"/>
      <c r="Y71" s="2218"/>
      <c r="AA71" s="751"/>
      <c r="AB71" s="142" t="s">
        <v>649</v>
      </c>
      <c r="AC71" s="142"/>
      <c r="AD71" s="1351"/>
    </row>
    <row r="72" spans="1:30" x14ac:dyDescent="0.25">
      <c r="A72" s="1285" t="s">
        <v>971</v>
      </c>
      <c r="B72" s="1848">
        <v>106105886</v>
      </c>
      <c r="C72" s="1288" t="s">
        <v>1314</v>
      </c>
      <c r="D72" s="1348" t="s">
        <v>1502</v>
      </c>
      <c r="E72" s="1337" t="s">
        <v>1233</v>
      </c>
      <c r="F72" s="1347">
        <f t="shared" si="12"/>
        <v>27</v>
      </c>
      <c r="G72" s="1347">
        <f t="shared" si="13"/>
        <v>20</v>
      </c>
      <c r="H72" s="3832" t="s">
        <v>3798</v>
      </c>
      <c r="I72" s="2504">
        <v>3.333333333333333</v>
      </c>
      <c r="J72" s="2356">
        <v>3.33</v>
      </c>
      <c r="K72" s="2356">
        <v>3.33</v>
      </c>
      <c r="L72" s="1281">
        <v>3.33</v>
      </c>
      <c r="M72" s="3836">
        <v>3.33</v>
      </c>
      <c r="N72" s="1318">
        <f t="shared" si="14"/>
        <v>0</v>
      </c>
      <c r="O72" s="1318">
        <f t="shared" si="15"/>
        <v>1.0010010010008908E-3</v>
      </c>
      <c r="P72" s="1281">
        <f t="shared" si="16"/>
        <v>4.1624999999999996</v>
      </c>
      <c r="Q72" s="1281">
        <f t="shared" si="17"/>
        <v>3.5052631578947371</v>
      </c>
      <c r="R72" s="1347">
        <v>0.8</v>
      </c>
      <c r="S72" s="1347">
        <v>0.95</v>
      </c>
      <c r="T72" s="1347"/>
      <c r="U72" s="1347" t="s">
        <v>1104</v>
      </c>
      <c r="V72" s="1347"/>
      <c r="W72" s="1347"/>
      <c r="X72" s="1347"/>
      <c r="Y72" s="2218" t="s">
        <v>1104</v>
      </c>
      <c r="Z72" s="1804" t="s">
        <v>1104</v>
      </c>
      <c r="AB72" s="2118" t="s">
        <v>649</v>
      </c>
    </row>
    <row r="73" spans="1:30" ht="15.75" customHeight="1" x14ac:dyDescent="0.25">
      <c r="A73" s="1082" t="s">
        <v>212</v>
      </c>
      <c r="B73" s="1848">
        <v>106105887</v>
      </c>
      <c r="C73" s="1287" t="s">
        <v>1810</v>
      </c>
      <c r="D73" s="1349" t="s">
        <v>1811</v>
      </c>
      <c r="E73" s="1337" t="s">
        <v>1556</v>
      </c>
      <c r="F73" s="1083">
        <f t="shared" si="12"/>
        <v>28</v>
      </c>
      <c r="G73" s="1083">
        <f t="shared" si="13"/>
        <v>20</v>
      </c>
      <c r="H73" s="3832" t="s">
        <v>3798</v>
      </c>
      <c r="I73" s="2504">
        <v>3.6555555555555554</v>
      </c>
      <c r="J73" s="2356">
        <v>3.66</v>
      </c>
      <c r="K73" s="2356">
        <v>3.66</v>
      </c>
      <c r="L73" s="1281">
        <v>3.66</v>
      </c>
      <c r="M73" s="3836">
        <v>3.66</v>
      </c>
      <c r="N73" s="1318">
        <f t="shared" si="14"/>
        <v>0</v>
      </c>
      <c r="O73" s="1318">
        <f t="shared" si="15"/>
        <v>-1.2143290831816106E-3</v>
      </c>
      <c r="P73" s="1281">
        <f t="shared" si="16"/>
        <v>4.5750000000000002</v>
      </c>
      <c r="Q73" s="1281">
        <f t="shared" si="17"/>
        <v>3.8526315789473689</v>
      </c>
      <c r="R73" s="1347">
        <v>0.8</v>
      </c>
      <c r="S73" s="1347">
        <v>0.95</v>
      </c>
      <c r="T73" s="1280" t="s">
        <v>1104</v>
      </c>
      <c r="U73" s="1347"/>
      <c r="V73" s="1347"/>
      <c r="W73" s="1347"/>
      <c r="X73" s="1347"/>
      <c r="Y73" s="1805"/>
      <c r="AB73" s="2118" t="s">
        <v>649</v>
      </c>
    </row>
    <row r="74" spans="1:30" ht="15.75" customHeight="1" x14ac:dyDescent="0.25">
      <c r="A74" s="1084" t="s">
        <v>214</v>
      </c>
      <c r="B74" s="1848">
        <v>106105901</v>
      </c>
      <c r="C74" s="1288" t="s">
        <v>1812</v>
      </c>
      <c r="D74" s="1349" t="s">
        <v>3906</v>
      </c>
      <c r="E74" s="1335" t="s">
        <v>3907</v>
      </c>
      <c r="F74" s="1083">
        <f t="shared" si="12"/>
        <v>27</v>
      </c>
      <c r="G74" s="1083">
        <f t="shared" si="13"/>
        <v>24</v>
      </c>
      <c r="H74" s="3832" t="s">
        <v>3798</v>
      </c>
      <c r="I74" s="2504">
        <v>0.24444444444444444</v>
      </c>
      <c r="J74" s="2356">
        <v>0.21</v>
      </c>
      <c r="K74" s="2356">
        <v>0.17</v>
      </c>
      <c r="L74" s="1281">
        <v>0.19</v>
      </c>
      <c r="M74" s="3836">
        <v>0.24</v>
      </c>
      <c r="N74" s="1318">
        <f t="shared" si="14"/>
        <v>0.10526315789473679</v>
      </c>
      <c r="O74" s="1318">
        <f t="shared" si="15"/>
        <v>0.16402116402116404</v>
      </c>
      <c r="P74" s="1281">
        <f t="shared" si="16"/>
        <v>0.3</v>
      </c>
      <c r="Q74" s="1281">
        <f t="shared" si="17"/>
        <v>0.25263157894736843</v>
      </c>
      <c r="R74" s="1347">
        <v>0.8</v>
      </c>
      <c r="S74" s="1347">
        <v>0.95</v>
      </c>
      <c r="T74" s="1280" t="s">
        <v>1104</v>
      </c>
      <c r="U74" s="1280"/>
      <c r="V74" s="1280"/>
      <c r="W74" s="1280"/>
      <c r="X74" s="1280"/>
      <c r="Y74" s="2219"/>
      <c r="Z74" s="1804" t="s">
        <v>1104</v>
      </c>
      <c r="AA74" s="2623"/>
      <c r="AB74" s="2219" t="s">
        <v>649</v>
      </c>
      <c r="AC74" s="2219"/>
      <c r="AD74" s="2221"/>
    </row>
    <row r="75" spans="1:30" ht="15.75" customHeight="1" x14ac:dyDescent="0.25">
      <c r="A75" s="1084" t="s">
        <v>214</v>
      </c>
      <c r="B75" s="1848">
        <v>106105902</v>
      </c>
      <c r="C75" s="1287" t="s">
        <v>1813</v>
      </c>
      <c r="D75" s="1349" t="s">
        <v>1814</v>
      </c>
      <c r="E75" s="1335" t="s">
        <v>1815</v>
      </c>
      <c r="F75" s="1083">
        <f t="shared" si="12"/>
        <v>40</v>
      </c>
      <c r="G75" s="1083">
        <f t="shared" si="13"/>
        <v>38</v>
      </c>
      <c r="H75" s="3832" t="s">
        <v>3798</v>
      </c>
      <c r="I75" s="2504">
        <v>0.35388888888888886</v>
      </c>
      <c r="J75" s="2356">
        <v>0.35</v>
      </c>
      <c r="K75" s="2356">
        <v>0.35</v>
      </c>
      <c r="L75" s="1281">
        <v>0.35</v>
      </c>
      <c r="M75" s="3836">
        <v>0.35</v>
      </c>
      <c r="N75" s="1318">
        <f t="shared" si="14"/>
        <v>0</v>
      </c>
      <c r="O75" s="1318">
        <f t="shared" si="15"/>
        <v>1.1111111111111105E-2</v>
      </c>
      <c r="P75" s="1281">
        <f t="shared" si="16"/>
        <v>0.43749999999999994</v>
      </c>
      <c r="Q75" s="1281">
        <f t="shared" si="17"/>
        <v>0.36842105263157893</v>
      </c>
      <c r="R75" s="1347">
        <v>0.8</v>
      </c>
      <c r="S75" s="1347">
        <v>0.95</v>
      </c>
      <c r="T75" s="1280" t="s">
        <v>1104</v>
      </c>
      <c r="U75" s="1280"/>
      <c r="V75" s="1280"/>
      <c r="W75" s="1280"/>
      <c r="X75" s="1280"/>
      <c r="Y75" s="1805"/>
      <c r="AA75" s="2623"/>
      <c r="AB75" s="2219" t="s">
        <v>649</v>
      </c>
      <c r="AC75" s="2219"/>
      <c r="AD75" s="2221"/>
    </row>
    <row r="76" spans="1:30" ht="15.75" customHeight="1" x14ac:dyDescent="0.25">
      <c r="A76" s="1082" t="s">
        <v>189</v>
      </c>
      <c r="B76" s="1848">
        <v>106106241</v>
      </c>
      <c r="C76" s="1287" t="s">
        <v>1528</v>
      </c>
      <c r="D76" s="1348" t="s">
        <v>1238</v>
      </c>
      <c r="E76" s="1335" t="s">
        <v>2573</v>
      </c>
      <c r="F76" s="1083">
        <f t="shared" si="12"/>
        <v>32</v>
      </c>
      <c r="G76" s="1083">
        <f t="shared" si="13"/>
        <v>39</v>
      </c>
      <c r="H76" s="3832" t="s">
        <v>3801</v>
      </c>
      <c r="I76" s="2504">
        <v>4.5555555555555554</v>
      </c>
      <c r="J76" s="2356">
        <v>4.5599999999999996</v>
      </c>
      <c r="K76" s="2356">
        <v>4.54</v>
      </c>
      <c r="L76" s="1281">
        <v>4.5</v>
      </c>
      <c r="M76" s="3836">
        <v>4.5599999999999996</v>
      </c>
      <c r="N76" s="1318">
        <f t="shared" si="14"/>
        <v>1.3333333333333246E-2</v>
      </c>
      <c r="O76" s="1318">
        <f t="shared" si="15"/>
        <v>-9.7465886939566916E-4</v>
      </c>
      <c r="P76" s="1281">
        <f t="shared" si="16"/>
        <v>5.6999999999999993</v>
      </c>
      <c r="Q76" s="1281">
        <f t="shared" si="17"/>
        <v>4.8</v>
      </c>
      <c r="R76" s="1347">
        <v>0.8</v>
      </c>
      <c r="S76" s="1347">
        <v>0.95</v>
      </c>
      <c r="T76" s="1347"/>
      <c r="U76" s="1347" t="s">
        <v>1104</v>
      </c>
      <c r="V76" s="1347" t="s">
        <v>1104</v>
      </c>
      <c r="W76" s="1347"/>
      <c r="X76" s="1347"/>
      <c r="Y76" s="1805"/>
      <c r="AA76" s="275"/>
      <c r="AB76" s="1347"/>
      <c r="AC76" s="1347"/>
      <c r="AD76" s="99"/>
    </row>
    <row r="77" spans="1:30" ht="15.75" customHeight="1" x14ac:dyDescent="0.25">
      <c r="A77" s="1082" t="s">
        <v>279</v>
      </c>
      <c r="B77" s="1848">
        <v>106106242</v>
      </c>
      <c r="C77" s="1287" t="s">
        <v>1531</v>
      </c>
      <c r="D77" s="1348" t="s">
        <v>1816</v>
      </c>
      <c r="E77" s="1335" t="s">
        <v>2574</v>
      </c>
      <c r="F77" s="1083">
        <f t="shared" si="12"/>
        <v>31</v>
      </c>
      <c r="G77" s="1083">
        <f t="shared" si="13"/>
        <v>43</v>
      </c>
      <c r="H77" s="3832" t="s">
        <v>3801</v>
      </c>
      <c r="I77" s="2504">
        <v>10.777777777777777</v>
      </c>
      <c r="J77" s="2356">
        <v>10.78</v>
      </c>
      <c r="K77" s="2356">
        <v>10.78</v>
      </c>
      <c r="L77" s="1281">
        <v>10.78</v>
      </c>
      <c r="M77" s="3836">
        <v>10.78</v>
      </c>
      <c r="N77" s="1318">
        <f t="shared" si="14"/>
        <v>0</v>
      </c>
      <c r="O77" s="1318">
        <f t="shared" si="15"/>
        <v>-2.0614306328595267E-4</v>
      </c>
      <c r="P77" s="1281">
        <f t="shared" si="16"/>
        <v>13.474999999999998</v>
      </c>
      <c r="Q77" s="1281">
        <f t="shared" si="17"/>
        <v>11.347368421052632</v>
      </c>
      <c r="R77" s="1347">
        <v>0.8</v>
      </c>
      <c r="S77" s="1347">
        <v>0.95</v>
      </c>
      <c r="T77" s="1347"/>
      <c r="U77" s="1347" t="s">
        <v>1104</v>
      </c>
      <c r="V77" s="1347"/>
      <c r="W77" s="1347"/>
      <c r="X77" s="1347"/>
      <c r="Y77" s="2219"/>
    </row>
    <row r="78" spans="1:30" ht="15.75" customHeight="1" x14ac:dyDescent="0.25">
      <c r="A78" s="1082"/>
      <c r="B78" s="1848">
        <v>106107580</v>
      </c>
      <c r="C78" s="1287" t="s">
        <v>1817</v>
      </c>
      <c r="D78" s="1349" t="s">
        <v>1277</v>
      </c>
      <c r="E78" s="1338" t="s">
        <v>1278</v>
      </c>
      <c r="F78" s="1083">
        <f t="shared" si="12"/>
        <v>30</v>
      </c>
      <c r="G78" s="1083">
        <f t="shared" si="13"/>
        <v>30</v>
      </c>
      <c r="H78" s="3832" t="s">
        <v>3797</v>
      </c>
      <c r="I78" s="2504">
        <v>0.8666666666666667</v>
      </c>
      <c r="J78" s="2356">
        <v>0.73</v>
      </c>
      <c r="K78" s="2356">
        <v>0.69</v>
      </c>
      <c r="L78" s="1281">
        <v>0.69</v>
      </c>
      <c r="M78" s="3836">
        <v>0.87</v>
      </c>
      <c r="N78" s="1318">
        <f t="shared" si="14"/>
        <v>5.7971014492753679E-2</v>
      </c>
      <c r="O78" s="1318">
        <f t="shared" si="15"/>
        <v>0.18721461187214619</v>
      </c>
      <c r="P78" s="1281">
        <f t="shared" si="16"/>
        <v>1.0874999999999999</v>
      </c>
      <c r="Q78" s="1281">
        <f t="shared" si="17"/>
        <v>0.9157894736842106</v>
      </c>
      <c r="R78" s="1347">
        <v>0.8</v>
      </c>
      <c r="S78" s="1347">
        <v>0.95</v>
      </c>
      <c r="T78" s="1347"/>
      <c r="U78" s="1347" t="s">
        <v>1104</v>
      </c>
      <c r="V78" s="1347" t="s">
        <v>1104</v>
      </c>
      <c r="W78" s="1347"/>
      <c r="X78" s="1347"/>
      <c r="Y78" s="2219"/>
      <c r="AB78" s="2218"/>
      <c r="AC78" s="2218"/>
    </row>
    <row r="79" spans="1:30" ht="15.75" customHeight="1" x14ac:dyDescent="0.25">
      <c r="A79" s="1082" t="s">
        <v>307</v>
      </c>
      <c r="B79" s="1848">
        <v>106109799</v>
      </c>
      <c r="C79" s="1287" t="s">
        <v>1530</v>
      </c>
      <c r="D79" s="1349" t="s">
        <v>1818</v>
      </c>
      <c r="E79" s="1335" t="s">
        <v>2575</v>
      </c>
      <c r="F79" s="1083">
        <f t="shared" si="12"/>
        <v>56</v>
      </c>
      <c r="G79" s="1083">
        <f t="shared" si="13"/>
        <v>61</v>
      </c>
      <c r="H79" s="3832" t="s">
        <v>3801</v>
      </c>
      <c r="I79" s="2504">
        <v>6.0444444444444443</v>
      </c>
      <c r="J79" s="2356">
        <v>6.04</v>
      </c>
      <c r="K79" s="2356">
        <v>3.87</v>
      </c>
      <c r="L79" s="1281">
        <v>7.82</v>
      </c>
      <c r="M79" s="3836">
        <v>6.04</v>
      </c>
      <c r="N79" s="1318">
        <f t="shared" si="14"/>
        <v>-0.22762148337595911</v>
      </c>
      <c r="O79" s="1318">
        <f t="shared" si="15"/>
        <v>7.3583517292123365E-4</v>
      </c>
      <c r="P79" s="1281">
        <f t="shared" si="16"/>
        <v>7.55</v>
      </c>
      <c r="Q79" s="1281">
        <f t="shared" si="17"/>
        <v>6.3578947368421055</v>
      </c>
      <c r="R79" s="1347">
        <v>0.8</v>
      </c>
      <c r="S79" s="1347">
        <v>0.95</v>
      </c>
      <c r="T79" s="1347"/>
      <c r="U79" s="1347" t="s">
        <v>1104</v>
      </c>
      <c r="V79" s="1347"/>
      <c r="W79" s="1347"/>
      <c r="X79" s="1347"/>
      <c r="Y79" s="2218"/>
      <c r="Z79" s="2218"/>
      <c r="AA79" s="275"/>
      <c r="AB79" s="1347"/>
      <c r="AC79" s="1347"/>
      <c r="AD79" s="99"/>
    </row>
    <row r="80" spans="1:30" ht="15.75" customHeight="1" x14ac:dyDescent="0.25">
      <c r="A80" s="1082" t="s">
        <v>21</v>
      </c>
      <c r="B80" s="1848">
        <v>106110160</v>
      </c>
      <c r="C80" s="1287" t="s">
        <v>1482</v>
      </c>
      <c r="D80" s="1349" t="s">
        <v>1819</v>
      </c>
      <c r="E80" s="1335" t="s">
        <v>1819</v>
      </c>
      <c r="F80" s="1083">
        <f t="shared" si="12"/>
        <v>30</v>
      </c>
      <c r="G80" s="1083">
        <f t="shared" si="13"/>
        <v>30</v>
      </c>
      <c r="H80" s="3832" t="s">
        <v>3801</v>
      </c>
      <c r="I80" s="2504">
        <v>60.455555555555549</v>
      </c>
      <c r="J80" s="2356">
        <v>60.46</v>
      </c>
      <c r="K80" s="2356">
        <v>60.46</v>
      </c>
      <c r="L80" s="1281">
        <v>60.46</v>
      </c>
      <c r="M80" s="3836">
        <v>60.46</v>
      </c>
      <c r="N80" s="1318">
        <f t="shared" si="14"/>
        <v>0</v>
      </c>
      <c r="O80" s="1318">
        <f t="shared" si="15"/>
        <v>-7.3510493623093687E-5</v>
      </c>
      <c r="P80" s="1281">
        <f t="shared" si="16"/>
        <v>75.575000000000003</v>
      </c>
      <c r="Q80" s="1281">
        <f t="shared" si="17"/>
        <v>63.642105263157902</v>
      </c>
      <c r="R80" s="1347">
        <v>0.8</v>
      </c>
      <c r="S80" s="1347">
        <v>0.95</v>
      </c>
      <c r="T80" s="1347" t="s">
        <v>1104</v>
      </c>
      <c r="U80" s="1347"/>
      <c r="V80" s="1347"/>
      <c r="W80" s="1347"/>
      <c r="X80" s="1347"/>
      <c r="Y80" s="1805"/>
      <c r="Z80" s="2218"/>
    </row>
    <row r="81" spans="1:30" ht="15.75" customHeight="1" x14ac:dyDescent="0.25">
      <c r="A81" s="1082" t="s">
        <v>71</v>
      </c>
      <c r="B81" s="1848">
        <v>106110161</v>
      </c>
      <c r="C81" s="1287" t="s">
        <v>1820</v>
      </c>
      <c r="D81" s="1349" t="s">
        <v>1821</v>
      </c>
      <c r="E81" s="1337" t="s">
        <v>1822</v>
      </c>
      <c r="F81" s="1083">
        <f t="shared" si="12"/>
        <v>29</v>
      </c>
      <c r="G81" s="1083">
        <f t="shared" si="13"/>
        <v>35</v>
      </c>
      <c r="H81" s="3832" t="s">
        <v>3801</v>
      </c>
      <c r="I81" s="2504">
        <v>31.022222222222222</v>
      </c>
      <c r="J81" s="2356">
        <v>31.02</v>
      </c>
      <c r="K81" s="2356">
        <v>31.02</v>
      </c>
      <c r="L81" s="1281">
        <v>31.02</v>
      </c>
      <c r="M81" s="3836">
        <v>31.02</v>
      </c>
      <c r="N81" s="1318">
        <f t="shared" si="14"/>
        <v>0</v>
      </c>
      <c r="O81" s="1318">
        <f t="shared" si="15"/>
        <v>7.1638369510721142E-5</v>
      </c>
      <c r="P81" s="1281">
        <f t="shared" si="16"/>
        <v>38.774999999999999</v>
      </c>
      <c r="Q81" s="1281">
        <f t="shared" si="17"/>
        <v>32.652631578947371</v>
      </c>
      <c r="R81" s="1347">
        <v>0.8</v>
      </c>
      <c r="S81" s="1347">
        <v>0.95</v>
      </c>
      <c r="T81" s="1347" t="s">
        <v>1104</v>
      </c>
      <c r="U81" s="1347"/>
      <c r="V81" s="1347"/>
      <c r="W81" s="1347"/>
      <c r="X81" s="1347"/>
      <c r="Y81" s="2219"/>
      <c r="Z81" s="2218"/>
      <c r="AA81" s="751"/>
      <c r="AB81" s="1564">
        <v>106114829</v>
      </c>
      <c r="AC81" s="1564"/>
      <c r="AD81" s="1351"/>
    </row>
    <row r="82" spans="1:30" ht="15.75" customHeight="1" x14ac:dyDescent="0.25">
      <c r="A82" s="1082" t="s">
        <v>341</v>
      </c>
      <c r="B82" s="1848">
        <v>106110170</v>
      </c>
      <c r="C82" s="1287" t="s">
        <v>1823</v>
      </c>
      <c r="D82" s="1348" t="s">
        <v>2478</v>
      </c>
      <c r="E82" s="1335" t="s">
        <v>2479</v>
      </c>
      <c r="F82" s="1083">
        <f t="shared" si="12"/>
        <v>37</v>
      </c>
      <c r="G82" s="1083">
        <f t="shared" si="13"/>
        <v>25</v>
      </c>
      <c r="H82" s="3832" t="s">
        <v>3798</v>
      </c>
      <c r="I82" s="2504">
        <v>69.422222222222217</v>
      </c>
      <c r="J82" s="2356">
        <v>69.959999999999994</v>
      </c>
      <c r="K82" s="2356">
        <v>73.069999999999993</v>
      </c>
      <c r="L82" s="1281">
        <v>88.89</v>
      </c>
      <c r="M82" s="3836">
        <f>M145</f>
        <v>74.28</v>
      </c>
      <c r="N82" s="1318">
        <f t="shared" si="14"/>
        <v>-0.21295983800202506</v>
      </c>
      <c r="O82" s="1318">
        <f t="shared" si="15"/>
        <v>-7.6869322152340854E-3</v>
      </c>
      <c r="P82" s="1281">
        <f t="shared" si="16"/>
        <v>92.85</v>
      </c>
      <c r="Q82" s="1281">
        <f t="shared" si="17"/>
        <v>78.189473684210526</v>
      </c>
      <c r="R82" s="1347">
        <v>0.8</v>
      </c>
      <c r="S82" s="1347">
        <v>0.95</v>
      </c>
      <c r="T82" s="1280" t="s">
        <v>1104</v>
      </c>
      <c r="U82" s="1347"/>
      <c r="V82" s="1347"/>
      <c r="W82" s="1347"/>
      <c r="X82" s="1347"/>
      <c r="Y82" s="2217"/>
      <c r="Z82" s="2218"/>
      <c r="AB82" s="2218" t="s">
        <v>649</v>
      </c>
      <c r="AC82" s="2218"/>
    </row>
    <row r="83" spans="1:30" ht="17.25" customHeight="1" x14ac:dyDescent="0.25">
      <c r="A83" s="1082" t="s">
        <v>261</v>
      </c>
      <c r="B83" s="1848">
        <v>106110278</v>
      </c>
      <c r="C83" s="1287" t="s">
        <v>1824</v>
      </c>
      <c r="D83" s="1348" t="s">
        <v>1772</v>
      </c>
      <c r="E83" s="1335" t="s">
        <v>1487</v>
      </c>
      <c r="F83" s="1083">
        <f t="shared" si="12"/>
        <v>39</v>
      </c>
      <c r="G83" s="1083">
        <f t="shared" si="13"/>
        <v>27</v>
      </c>
      <c r="H83" s="3832" t="s">
        <v>3797</v>
      </c>
      <c r="I83" s="2504">
        <v>62.788888888888884</v>
      </c>
      <c r="J83" s="2356">
        <v>67.77</v>
      </c>
      <c r="K83" s="2356">
        <v>92.97</v>
      </c>
      <c r="L83" s="1281">
        <v>95.44</v>
      </c>
      <c r="M83" s="3836">
        <f>M145</f>
        <v>74.28</v>
      </c>
      <c r="N83" s="1318">
        <f t="shared" si="14"/>
        <v>-0.28992036881810562</v>
      </c>
      <c r="O83" s="1318">
        <f t="shared" si="15"/>
        <v>-7.3500237732198784E-2</v>
      </c>
      <c r="P83" s="1281">
        <f t="shared" si="16"/>
        <v>92.85</v>
      </c>
      <c r="Q83" s="1281">
        <f t="shared" si="17"/>
        <v>78.189473684210526</v>
      </c>
      <c r="R83" s="1347">
        <v>0.8</v>
      </c>
      <c r="S83" s="1347">
        <v>0.95</v>
      </c>
      <c r="T83" s="1280" t="s">
        <v>1104</v>
      </c>
      <c r="U83" s="1347" t="s">
        <v>1104</v>
      </c>
      <c r="V83" s="1347" t="s">
        <v>1104</v>
      </c>
      <c r="W83" s="1347"/>
      <c r="X83" s="1347"/>
      <c r="Y83" s="1804" t="s">
        <v>1104</v>
      </c>
      <c r="Z83" s="2218" t="s">
        <v>1104</v>
      </c>
      <c r="AB83" s="1565" t="s">
        <v>1488</v>
      </c>
      <c r="AC83" s="1565"/>
    </row>
    <row r="84" spans="1:30" ht="15.75" customHeight="1" x14ac:dyDescent="0.25">
      <c r="A84" s="1285" t="s">
        <v>1115</v>
      </c>
      <c r="B84" s="1848">
        <v>106110281</v>
      </c>
      <c r="C84" s="1288" t="s">
        <v>1825</v>
      </c>
      <c r="D84" s="1349" t="s">
        <v>1826</v>
      </c>
      <c r="E84" s="1335" t="s">
        <v>1827</v>
      </c>
      <c r="F84" s="1347">
        <f t="shared" si="12"/>
        <v>27</v>
      </c>
      <c r="G84" s="1347">
        <f t="shared" si="13"/>
        <v>20</v>
      </c>
      <c r="H84" s="3832" t="s">
        <v>3798</v>
      </c>
      <c r="I84" s="2504">
        <v>11.544444444444444</v>
      </c>
      <c r="J84" s="2356">
        <v>11.59</v>
      </c>
      <c r="K84" s="2356">
        <v>10.72</v>
      </c>
      <c r="L84" s="1281">
        <v>11.93</v>
      </c>
      <c r="M84" s="3836">
        <v>11.59</v>
      </c>
      <c r="N84" s="1318">
        <f t="shared" si="14"/>
        <v>-2.8499580888516333E-2</v>
      </c>
      <c r="O84" s="1318">
        <f t="shared" si="15"/>
        <v>-3.9305915060876247E-3</v>
      </c>
      <c r="P84" s="1281">
        <f t="shared" si="16"/>
        <v>14.487499999999999</v>
      </c>
      <c r="Q84" s="1281">
        <f t="shared" si="17"/>
        <v>12.200000000000001</v>
      </c>
      <c r="R84" s="1347">
        <v>0.8</v>
      </c>
      <c r="S84" s="1347">
        <v>0.95</v>
      </c>
      <c r="T84" s="1280" t="s">
        <v>1104</v>
      </c>
      <c r="U84" s="1347"/>
      <c r="V84" s="1347"/>
      <c r="W84" s="1347"/>
      <c r="X84" s="1347"/>
      <c r="Y84" s="2219"/>
      <c r="Z84" s="1805"/>
      <c r="AB84" s="2118" t="s">
        <v>649</v>
      </c>
    </row>
    <row r="85" spans="1:30" ht="15.75" customHeight="1" x14ac:dyDescent="0.25">
      <c r="A85" s="1082" t="s">
        <v>884</v>
      </c>
      <c r="B85" s="1848">
        <v>106110284</v>
      </c>
      <c r="C85" s="1287" t="s">
        <v>1828</v>
      </c>
      <c r="D85" s="1349" t="s">
        <v>885</v>
      </c>
      <c r="E85" s="1335" t="s">
        <v>1829</v>
      </c>
      <c r="F85" s="1083">
        <f t="shared" si="12"/>
        <v>31</v>
      </c>
      <c r="G85" s="1083">
        <f t="shared" si="13"/>
        <v>29</v>
      </c>
      <c r="H85" s="3832" t="s">
        <v>3797</v>
      </c>
      <c r="I85" s="2504">
        <v>8.6777777777777771</v>
      </c>
      <c r="J85" s="2356">
        <v>8.68</v>
      </c>
      <c r="K85" s="2356">
        <v>8.67</v>
      </c>
      <c r="L85" s="1281">
        <v>8.67</v>
      </c>
      <c r="M85" s="3836">
        <v>8.68</v>
      </c>
      <c r="N85" s="1318">
        <f t="shared" si="14"/>
        <v>1.1534025374855578E-3</v>
      </c>
      <c r="O85" s="1318">
        <f t="shared" si="15"/>
        <v>-2.5601638504868312E-4</v>
      </c>
      <c r="P85" s="1281">
        <f t="shared" si="16"/>
        <v>10.85</v>
      </c>
      <c r="Q85" s="1281">
        <f t="shared" si="17"/>
        <v>9.1368421052631579</v>
      </c>
      <c r="R85" s="1347">
        <v>0.8</v>
      </c>
      <c r="S85" s="1347">
        <v>0.95</v>
      </c>
      <c r="T85" s="1347" t="s">
        <v>1104</v>
      </c>
      <c r="U85" s="1091"/>
      <c r="V85" s="1347"/>
      <c r="W85" s="1347"/>
      <c r="X85" s="1347"/>
      <c r="Y85" s="2219"/>
      <c r="Z85" s="1805"/>
    </row>
    <row r="86" spans="1:30" ht="15.75" customHeight="1" x14ac:dyDescent="0.25">
      <c r="A86" s="1082" t="s">
        <v>532</v>
      </c>
      <c r="B86" s="1848">
        <v>106110393</v>
      </c>
      <c r="C86" s="1287" t="s">
        <v>533</v>
      </c>
      <c r="D86" s="1349" t="s">
        <v>2647</v>
      </c>
      <c r="E86" s="1335" t="s">
        <v>2648</v>
      </c>
      <c r="F86" s="1083">
        <f t="shared" si="12"/>
        <v>56</v>
      </c>
      <c r="G86" s="1083">
        <f t="shared" si="13"/>
        <v>51</v>
      </c>
      <c r="H86" s="3832" t="s">
        <v>3799</v>
      </c>
      <c r="I86" s="2504">
        <v>247.02222222222221</v>
      </c>
      <c r="J86" s="2356">
        <v>247.02</v>
      </c>
      <c r="K86" s="2356">
        <v>256.79000000000002</v>
      </c>
      <c r="L86" s="1281">
        <v>207.28</v>
      </c>
      <c r="M86" s="3836">
        <v>247.02</v>
      </c>
      <c r="N86" s="1318">
        <f t="shared" si="14"/>
        <v>0.19172134311076808</v>
      </c>
      <c r="O86" s="1318">
        <f t="shared" si="15"/>
        <v>8.996122671043855E-6</v>
      </c>
      <c r="P86" s="1281">
        <f t="shared" si="16"/>
        <v>617.54999999999995</v>
      </c>
      <c r="Q86" s="1281">
        <f t="shared" si="17"/>
        <v>411.70000000000005</v>
      </c>
      <c r="R86" s="1347">
        <v>0.4</v>
      </c>
      <c r="S86" s="1347">
        <v>0.6</v>
      </c>
      <c r="T86" s="1280"/>
      <c r="U86" s="1280"/>
      <c r="V86" s="1280"/>
      <c r="W86" s="1280"/>
      <c r="X86" s="1280"/>
      <c r="Y86" s="1804" t="s">
        <v>1104</v>
      </c>
      <c r="Z86" s="1805"/>
    </row>
    <row r="87" spans="1:30" ht="15.75" customHeight="1" x14ac:dyDescent="0.25">
      <c r="A87" s="1082" t="s">
        <v>62</v>
      </c>
      <c r="B87" s="1848">
        <v>106110446</v>
      </c>
      <c r="C87" s="1287" t="s">
        <v>1494</v>
      </c>
      <c r="D87" s="1287" t="s">
        <v>1788</v>
      </c>
      <c r="E87" s="1335" t="s">
        <v>1789</v>
      </c>
      <c r="F87" s="1083">
        <f t="shared" si="12"/>
        <v>18</v>
      </c>
      <c r="G87" s="1083">
        <f t="shared" si="13"/>
        <v>18</v>
      </c>
      <c r="H87" s="3832" t="s">
        <v>3801</v>
      </c>
      <c r="I87" s="2504">
        <v>62.43333333333333</v>
      </c>
      <c r="J87" s="2356">
        <v>62.43</v>
      </c>
      <c r="K87" s="2356">
        <v>60.61</v>
      </c>
      <c r="L87" s="1281">
        <v>60.61</v>
      </c>
      <c r="M87" s="3836">
        <v>62.43</v>
      </c>
      <c r="N87" s="1318">
        <f t="shared" si="14"/>
        <v>3.0028048176868508E-2</v>
      </c>
      <c r="O87" s="1318">
        <f t="shared" si="15"/>
        <v>5.3393133642964949E-5</v>
      </c>
      <c r="P87" s="1281">
        <f t="shared" si="16"/>
        <v>78.037499999999994</v>
      </c>
      <c r="Q87" s="1281">
        <f t="shared" si="17"/>
        <v>65.715789473684211</v>
      </c>
      <c r="R87" s="1347">
        <v>0.8</v>
      </c>
      <c r="S87" s="1347">
        <v>0.95</v>
      </c>
      <c r="T87" s="1347" t="s">
        <v>1104</v>
      </c>
      <c r="U87" s="905"/>
      <c r="V87" s="1347"/>
      <c r="W87" s="1347"/>
      <c r="X87" s="1347"/>
      <c r="Z87" s="1805"/>
      <c r="AA87" s="2623"/>
      <c r="AB87" s="2219"/>
      <c r="AC87" s="2219"/>
      <c r="AD87" s="2221"/>
    </row>
    <row r="88" spans="1:30" ht="15.75" customHeight="1" x14ac:dyDescent="0.25">
      <c r="A88" s="1082" t="s">
        <v>15</v>
      </c>
      <c r="B88" s="1848">
        <v>106110452</v>
      </c>
      <c r="C88" s="1287" t="s">
        <v>1830</v>
      </c>
      <c r="D88" s="1349" t="s">
        <v>1831</v>
      </c>
      <c r="E88" s="1335" t="s">
        <v>1512</v>
      </c>
      <c r="F88" s="1083">
        <f t="shared" si="12"/>
        <v>33</v>
      </c>
      <c r="G88" s="1083">
        <f t="shared" si="13"/>
        <v>28</v>
      </c>
      <c r="H88" s="3832" t="s">
        <v>3798</v>
      </c>
      <c r="I88" s="2504">
        <v>12.999999999999998</v>
      </c>
      <c r="J88" s="2356">
        <v>13</v>
      </c>
      <c r="K88" s="2356">
        <v>13</v>
      </c>
      <c r="L88" s="1281">
        <v>13</v>
      </c>
      <c r="M88" s="3836">
        <v>13</v>
      </c>
      <c r="N88" s="1318">
        <f t="shared" si="14"/>
        <v>0</v>
      </c>
      <c r="O88" s="1318">
        <f t="shared" si="15"/>
        <v>-1.3664283380001927E-16</v>
      </c>
      <c r="P88" s="1281">
        <f t="shared" si="16"/>
        <v>16.25</v>
      </c>
      <c r="Q88" s="1281">
        <f t="shared" si="17"/>
        <v>13.684210526315789</v>
      </c>
      <c r="R88" s="1347">
        <v>0.8</v>
      </c>
      <c r="S88" s="1347">
        <v>0.95</v>
      </c>
      <c r="T88" s="1347" t="s">
        <v>1104</v>
      </c>
      <c r="U88" s="905"/>
      <c r="V88" s="1347"/>
      <c r="W88" s="1347"/>
      <c r="X88" s="1347"/>
      <c r="Y88" s="2218"/>
      <c r="Z88" s="1805"/>
      <c r="AA88" s="2623"/>
      <c r="AB88" s="2219" t="s">
        <v>649</v>
      </c>
      <c r="AC88" s="2219"/>
      <c r="AD88" s="2221"/>
    </row>
    <row r="89" spans="1:30" s="1351" customFormat="1" x14ac:dyDescent="0.25">
      <c r="A89" s="2352" t="s">
        <v>159</v>
      </c>
      <c r="B89" s="2353">
        <v>106110473</v>
      </c>
      <c r="C89" s="2354" t="s">
        <v>1832</v>
      </c>
      <c r="D89" s="1349" t="s">
        <v>1364</v>
      </c>
      <c r="E89" s="1336" t="s">
        <v>1365</v>
      </c>
      <c r="F89" s="2355">
        <f t="shared" si="12"/>
        <v>39</v>
      </c>
      <c r="G89" s="2355">
        <f t="shared" si="13"/>
        <v>39</v>
      </c>
      <c r="H89" s="3832" t="s">
        <v>3797</v>
      </c>
      <c r="I89" s="2504">
        <v>593.85555555555561</v>
      </c>
      <c r="J89" s="2356">
        <v>593.86</v>
      </c>
      <c r="K89" s="2356">
        <v>827.03</v>
      </c>
      <c r="L89" s="2356">
        <v>829.23</v>
      </c>
      <c r="M89" s="3836">
        <v>593.86</v>
      </c>
      <c r="N89" s="1318">
        <f t="shared" si="14"/>
        <v>-0.2838416362167312</v>
      </c>
      <c r="O89" s="1318">
        <f t="shared" si="15"/>
        <v>-7.4839936085988391E-6</v>
      </c>
      <c r="P89" s="2356">
        <f t="shared" si="16"/>
        <v>742.32499999999993</v>
      </c>
      <c r="Q89" s="2356">
        <f t="shared" si="17"/>
        <v>625.11578947368423</v>
      </c>
      <c r="R89" s="1280">
        <v>0.8</v>
      </c>
      <c r="S89" s="1280">
        <v>0.95</v>
      </c>
      <c r="T89" s="1280"/>
      <c r="U89" s="1280" t="s">
        <v>1104</v>
      </c>
      <c r="V89" s="1280" t="s">
        <v>1104</v>
      </c>
      <c r="W89" s="1280"/>
      <c r="X89" s="1280"/>
      <c r="Y89" s="142"/>
      <c r="Z89" s="2121"/>
      <c r="AA89" s="751"/>
      <c r="AB89" s="142"/>
      <c r="AC89" s="142" t="s">
        <v>1567</v>
      </c>
      <c r="AD89" s="1351">
        <v>2474.2800000000002</v>
      </c>
    </row>
    <row r="90" spans="1:30" ht="15" customHeight="1" x14ac:dyDescent="0.25">
      <c r="A90" s="1082" t="s">
        <v>198</v>
      </c>
      <c r="B90" s="1848">
        <v>106110895</v>
      </c>
      <c r="C90" s="1287" t="s">
        <v>199</v>
      </c>
      <c r="D90" s="1287" t="s">
        <v>1833</v>
      </c>
      <c r="E90" s="1335" t="s">
        <v>572</v>
      </c>
      <c r="F90" s="1083">
        <f t="shared" si="12"/>
        <v>31</v>
      </c>
      <c r="G90" s="1083">
        <f t="shared" si="13"/>
        <v>33</v>
      </c>
      <c r="H90" s="3832" t="s">
        <v>3797</v>
      </c>
      <c r="I90" s="2504">
        <v>8.8777777777777782</v>
      </c>
      <c r="J90" s="2356">
        <v>9.0399999999999991</v>
      </c>
      <c r="K90" s="2356">
        <v>10.78</v>
      </c>
      <c r="L90" s="1281">
        <v>10.78</v>
      </c>
      <c r="M90" s="3836">
        <v>8.8800000000000008</v>
      </c>
      <c r="N90" s="1318">
        <f t="shared" si="14"/>
        <v>-0.16141001855287573</v>
      </c>
      <c r="O90" s="1318">
        <f t="shared" si="15"/>
        <v>-1.7944936086528866E-2</v>
      </c>
      <c r="P90" s="1281">
        <f t="shared" si="16"/>
        <v>14.800000000000002</v>
      </c>
      <c r="Q90" s="1281">
        <f t="shared" si="17"/>
        <v>11.1</v>
      </c>
      <c r="R90" s="1347">
        <v>0.6</v>
      </c>
      <c r="S90" s="1347">
        <v>0.8</v>
      </c>
      <c r="T90" s="1347"/>
      <c r="U90" s="1347"/>
      <c r="V90" s="1347" t="s">
        <v>1104</v>
      </c>
      <c r="W90" s="1347"/>
      <c r="X90" s="1347"/>
      <c r="Z90" s="2219"/>
      <c r="AB90" s="2218"/>
      <c r="AC90" s="2218"/>
    </row>
    <row r="91" spans="1:30" s="86" customFormat="1" x14ac:dyDescent="0.25">
      <c r="A91" s="1082" t="s">
        <v>200</v>
      </c>
      <c r="B91" s="1848">
        <v>106110896</v>
      </c>
      <c r="C91" s="1287" t="s">
        <v>201</v>
      </c>
      <c r="D91" s="1287" t="s">
        <v>1834</v>
      </c>
      <c r="E91" s="1335" t="s">
        <v>573</v>
      </c>
      <c r="F91" s="1083">
        <f t="shared" si="12"/>
        <v>31</v>
      </c>
      <c r="G91" s="1083">
        <f t="shared" si="13"/>
        <v>33</v>
      </c>
      <c r="H91" s="3832" t="s">
        <v>3797</v>
      </c>
      <c r="I91" s="2504">
        <v>9.7777777777777786</v>
      </c>
      <c r="J91" s="2356">
        <v>9.94</v>
      </c>
      <c r="K91" s="2356">
        <v>10.94</v>
      </c>
      <c r="L91" s="1281">
        <v>11.26</v>
      </c>
      <c r="M91" s="3836">
        <v>9.7799999999999994</v>
      </c>
      <c r="N91" s="1318">
        <f t="shared" si="14"/>
        <v>-0.11722912966252223</v>
      </c>
      <c r="O91" s="1318">
        <f t="shared" si="15"/>
        <v>-1.6320143080706333E-2</v>
      </c>
      <c r="P91" s="1281">
        <f t="shared" si="16"/>
        <v>16.3</v>
      </c>
      <c r="Q91" s="1281">
        <f t="shared" si="17"/>
        <v>12.224999999999998</v>
      </c>
      <c r="R91" s="1347">
        <v>0.6</v>
      </c>
      <c r="S91" s="1347">
        <v>0.8</v>
      </c>
      <c r="T91" s="1347"/>
      <c r="U91" s="1347"/>
      <c r="V91" s="1347" t="s">
        <v>1104</v>
      </c>
      <c r="W91" s="1347"/>
      <c r="X91" s="1347"/>
      <c r="Y91" s="1804"/>
      <c r="Z91" s="2219"/>
      <c r="AA91" s="2621"/>
      <c r="AB91" s="2118"/>
      <c r="AC91" s="1804"/>
      <c r="AD91" s="1383"/>
    </row>
    <row r="92" spans="1:30" s="794" customFormat="1" ht="15.75" customHeight="1" x14ac:dyDescent="0.25">
      <c r="A92" s="1082" t="s">
        <v>202</v>
      </c>
      <c r="B92" s="1848">
        <v>106110897</v>
      </c>
      <c r="C92" s="1287" t="s">
        <v>203</v>
      </c>
      <c r="D92" s="1287" t="s">
        <v>1835</v>
      </c>
      <c r="E92" s="1335" t="s">
        <v>574</v>
      </c>
      <c r="F92" s="1083">
        <f t="shared" si="12"/>
        <v>31</v>
      </c>
      <c r="G92" s="1083">
        <f t="shared" si="13"/>
        <v>33</v>
      </c>
      <c r="H92" s="3832" t="s">
        <v>3797</v>
      </c>
      <c r="I92" s="2504">
        <v>10.466666666666667</v>
      </c>
      <c r="J92" s="2356">
        <v>10.61</v>
      </c>
      <c r="K92" s="2356">
        <v>12.16</v>
      </c>
      <c r="L92" s="1281">
        <v>12.16</v>
      </c>
      <c r="M92" s="3836">
        <v>10.47</v>
      </c>
      <c r="N92" s="1318">
        <f t="shared" si="14"/>
        <v>-0.12746710526315796</v>
      </c>
      <c r="O92" s="1318">
        <f t="shared" si="15"/>
        <v>-1.3509267986176498E-2</v>
      </c>
      <c r="P92" s="1281">
        <f t="shared" si="16"/>
        <v>17.450000000000003</v>
      </c>
      <c r="Q92" s="1281">
        <f t="shared" si="17"/>
        <v>13.0875</v>
      </c>
      <c r="R92" s="1347">
        <v>0.6</v>
      </c>
      <c r="S92" s="1347">
        <v>0.8</v>
      </c>
      <c r="T92" s="1347"/>
      <c r="U92" s="1347"/>
      <c r="V92" s="1347" t="s">
        <v>1104</v>
      </c>
      <c r="W92" s="1347"/>
      <c r="X92" s="1347"/>
      <c r="Y92" s="1804"/>
      <c r="Z92" s="2219"/>
      <c r="AA92" s="2621"/>
      <c r="AB92" s="2118"/>
      <c r="AC92" s="1804"/>
      <c r="AD92" s="1383"/>
    </row>
    <row r="93" spans="1:30" ht="15" customHeight="1" x14ac:dyDescent="0.25">
      <c r="A93" s="1082" t="s">
        <v>204</v>
      </c>
      <c r="B93" s="1848">
        <v>106110898</v>
      </c>
      <c r="C93" s="1287" t="s">
        <v>205</v>
      </c>
      <c r="D93" s="1287" t="s">
        <v>1836</v>
      </c>
      <c r="E93" s="1335" t="s">
        <v>575</v>
      </c>
      <c r="F93" s="1083">
        <f t="shared" si="12"/>
        <v>31</v>
      </c>
      <c r="G93" s="1083">
        <f t="shared" si="13"/>
        <v>33</v>
      </c>
      <c r="H93" s="3832" t="s">
        <v>3797</v>
      </c>
      <c r="I93" s="2504">
        <v>13.866666666666667</v>
      </c>
      <c r="J93" s="2356">
        <v>13.16</v>
      </c>
      <c r="K93" s="2356">
        <v>13.09</v>
      </c>
      <c r="L93" s="1281">
        <v>13.09</v>
      </c>
      <c r="M93" s="3836">
        <v>13.87</v>
      </c>
      <c r="N93" s="1318">
        <f t="shared" si="14"/>
        <v>5.3475935828877219E-3</v>
      </c>
      <c r="O93" s="1318">
        <f t="shared" si="15"/>
        <v>5.3698074974670745E-2</v>
      </c>
      <c r="P93" s="1281">
        <f t="shared" si="16"/>
        <v>23.116666666666667</v>
      </c>
      <c r="Q93" s="1281">
        <f t="shared" si="17"/>
        <v>17.337499999999999</v>
      </c>
      <c r="R93" s="1347">
        <v>0.6</v>
      </c>
      <c r="S93" s="1347">
        <v>0.8</v>
      </c>
      <c r="T93" s="1347"/>
      <c r="U93" s="1347"/>
      <c r="V93" s="1347" t="s">
        <v>1104</v>
      </c>
      <c r="W93" s="1347"/>
      <c r="X93" s="1347"/>
      <c r="Y93" s="142"/>
      <c r="Z93" s="2219"/>
    </row>
    <row r="94" spans="1:30" x14ac:dyDescent="0.25">
      <c r="A94" s="1082" t="s">
        <v>62</v>
      </c>
      <c r="B94" s="1848">
        <v>106110901</v>
      </c>
      <c r="C94" s="1287" t="s">
        <v>1496</v>
      </c>
      <c r="D94" s="1287" t="s">
        <v>1837</v>
      </c>
      <c r="E94" s="1335" t="s">
        <v>1838</v>
      </c>
      <c r="F94" s="1083">
        <f t="shared" si="12"/>
        <v>18</v>
      </c>
      <c r="G94" s="1083">
        <f t="shared" si="13"/>
        <v>18</v>
      </c>
      <c r="H94" s="3832" t="s">
        <v>3801</v>
      </c>
      <c r="I94" s="2504">
        <v>69.722222222222214</v>
      </c>
      <c r="J94" s="2356">
        <v>69.72</v>
      </c>
      <c r="K94" s="2356">
        <v>69.72</v>
      </c>
      <c r="L94" s="1281">
        <v>69.72</v>
      </c>
      <c r="M94" s="3836">
        <v>69.72</v>
      </c>
      <c r="N94" s="1318">
        <f t="shared" si="14"/>
        <v>0</v>
      </c>
      <c r="O94" s="1318">
        <f t="shared" si="15"/>
        <v>3.1873525849332534E-5</v>
      </c>
      <c r="P94" s="1281">
        <f t="shared" si="16"/>
        <v>87.149999999999991</v>
      </c>
      <c r="Q94" s="1281">
        <f t="shared" si="17"/>
        <v>73.389473684210529</v>
      </c>
      <c r="R94" s="1347">
        <v>0.8</v>
      </c>
      <c r="S94" s="1347">
        <v>0.95</v>
      </c>
      <c r="T94" s="1347" t="s">
        <v>1104</v>
      </c>
      <c r="U94" s="1347"/>
      <c r="V94" s="1347"/>
      <c r="W94" s="1347"/>
      <c r="X94" s="1347"/>
      <c r="Y94" s="2218"/>
      <c r="Z94" s="2219"/>
      <c r="AA94" s="2623"/>
      <c r="AB94" s="2219"/>
      <c r="AC94" s="2219"/>
      <c r="AD94" s="2221"/>
    </row>
    <row r="95" spans="1:30" s="86" customFormat="1" x14ac:dyDescent="0.25">
      <c r="A95" s="1082" t="s">
        <v>15</v>
      </c>
      <c r="B95" s="1848">
        <v>106110905</v>
      </c>
      <c r="C95" s="1287" t="s">
        <v>1839</v>
      </c>
      <c r="D95" s="1349" t="s">
        <v>1840</v>
      </c>
      <c r="E95" s="1335" t="s">
        <v>1513</v>
      </c>
      <c r="F95" s="1083">
        <f t="shared" si="12"/>
        <v>33</v>
      </c>
      <c r="G95" s="1083">
        <f t="shared" si="13"/>
        <v>28</v>
      </c>
      <c r="H95" s="3832" t="s">
        <v>3798</v>
      </c>
      <c r="I95" s="2504">
        <v>12.999999999999998</v>
      </c>
      <c r="J95" s="2356">
        <v>13</v>
      </c>
      <c r="K95" s="2356">
        <v>13</v>
      </c>
      <c r="L95" s="1281">
        <v>13</v>
      </c>
      <c r="M95" s="3836">
        <v>13</v>
      </c>
      <c r="N95" s="1318">
        <f t="shared" si="14"/>
        <v>0</v>
      </c>
      <c r="O95" s="1318">
        <f t="shared" si="15"/>
        <v>-1.3664283380001927E-16</v>
      </c>
      <c r="P95" s="1281">
        <f t="shared" si="16"/>
        <v>16.25</v>
      </c>
      <c r="Q95" s="1281">
        <f t="shared" si="17"/>
        <v>13.684210526315789</v>
      </c>
      <c r="R95" s="1347">
        <v>0.8</v>
      </c>
      <c r="S95" s="1347">
        <v>0.95</v>
      </c>
      <c r="T95" s="1347" t="s">
        <v>1104</v>
      </c>
      <c r="U95" s="1347"/>
      <c r="V95" s="1347"/>
      <c r="W95" s="1347"/>
      <c r="X95" s="1347"/>
      <c r="Y95" s="1804"/>
      <c r="Z95" s="2218"/>
      <c r="AA95" s="2623"/>
      <c r="AB95" s="2219" t="s">
        <v>649</v>
      </c>
      <c r="AC95" s="2219"/>
      <c r="AD95" s="2221"/>
    </row>
    <row r="96" spans="1:30" s="1806" customFormat="1" ht="15.75" customHeight="1" x14ac:dyDescent="0.25">
      <c r="A96" s="1082" t="s">
        <v>539</v>
      </c>
      <c r="B96" s="1848">
        <v>106111217</v>
      </c>
      <c r="C96" s="1287" t="s">
        <v>1545</v>
      </c>
      <c r="D96" s="1349" t="s">
        <v>1841</v>
      </c>
      <c r="E96" s="1337" t="s">
        <v>1842</v>
      </c>
      <c r="F96" s="1083">
        <f t="shared" si="12"/>
        <v>24</v>
      </c>
      <c r="G96" s="1083">
        <f t="shared" si="13"/>
        <v>26</v>
      </c>
      <c r="H96" s="3832" t="s">
        <v>3801</v>
      </c>
      <c r="I96" s="2504">
        <v>19.3</v>
      </c>
      <c r="J96" s="2356">
        <v>19.37</v>
      </c>
      <c r="K96" s="2356">
        <v>19.37</v>
      </c>
      <c r="L96" s="1281">
        <v>19.37</v>
      </c>
      <c r="M96" s="3836">
        <v>19.37</v>
      </c>
      <c r="N96" s="1318">
        <f t="shared" si="14"/>
        <v>0</v>
      </c>
      <c r="O96" s="1318">
        <f t="shared" si="15"/>
        <v>-3.6138358286009436E-3</v>
      </c>
      <c r="P96" s="1281">
        <f t="shared" si="16"/>
        <v>24.212499999999999</v>
      </c>
      <c r="Q96" s="1281">
        <f t="shared" si="17"/>
        <v>20.389473684210529</v>
      </c>
      <c r="R96" s="1347">
        <v>0.8</v>
      </c>
      <c r="S96" s="1347">
        <v>0.95</v>
      </c>
      <c r="T96" s="1280"/>
      <c r="U96" s="1280"/>
      <c r="V96" s="1280"/>
      <c r="W96" s="1280"/>
      <c r="X96" s="1280"/>
      <c r="Y96" s="1804" t="s">
        <v>1104</v>
      </c>
      <c r="Z96" s="1804"/>
      <c r="AA96" s="2621"/>
      <c r="AB96" s="2218"/>
      <c r="AC96" s="2218"/>
      <c r="AD96" s="1383"/>
    </row>
    <row r="97" spans="1:30" s="1806" customFormat="1" ht="15.75" customHeight="1" x14ac:dyDescent="0.25">
      <c r="A97" s="1082" t="s">
        <v>440</v>
      </c>
      <c r="B97" s="1848">
        <v>106111457</v>
      </c>
      <c r="C97" s="1287" t="s">
        <v>1843</v>
      </c>
      <c r="D97" s="1358" t="s">
        <v>3136</v>
      </c>
      <c r="E97" s="1356" t="s">
        <v>3137</v>
      </c>
      <c r="F97" s="1083">
        <f t="shared" si="12"/>
        <v>33</v>
      </c>
      <c r="G97" s="1083">
        <f t="shared" si="13"/>
        <v>36</v>
      </c>
      <c r="H97" s="3832" t="s">
        <v>3819</v>
      </c>
      <c r="I97" s="2504">
        <v>2070.6222222222223</v>
      </c>
      <c r="J97" s="2356">
        <v>2219.83</v>
      </c>
      <c r="K97" s="2356">
        <v>2232.23</v>
      </c>
      <c r="L97" s="1281">
        <v>2143.7399999999998</v>
      </c>
      <c r="M97" s="1569">
        <v>2089.67</v>
      </c>
      <c r="N97" s="1318">
        <f t="shared" si="14"/>
        <v>3.5494043120900924E-2</v>
      </c>
      <c r="O97" s="1318">
        <f t="shared" si="15"/>
        <v>-6.7215857870998083E-2</v>
      </c>
      <c r="P97" s="1281">
        <v>6373.6</v>
      </c>
      <c r="Q97" s="1281">
        <v>3649.4500000000003</v>
      </c>
      <c r="R97" s="1347"/>
      <c r="S97" s="1347"/>
      <c r="T97" s="1383"/>
      <c r="U97" s="2218"/>
      <c r="V97" s="2218" t="s">
        <v>1104</v>
      </c>
      <c r="W97" s="2633"/>
      <c r="X97" s="2218"/>
      <c r="Y97" s="1804"/>
      <c r="Z97" s="2218"/>
      <c r="AA97" s="2621"/>
      <c r="AB97" s="2218"/>
      <c r="AC97" s="2218"/>
      <c r="AD97" s="1383"/>
    </row>
    <row r="98" spans="1:30" s="1806" customFormat="1" ht="15.75" customHeight="1" x14ac:dyDescent="0.25">
      <c r="A98" s="1082"/>
      <c r="B98" s="1848">
        <v>106111647</v>
      </c>
      <c r="C98" s="1287" t="s">
        <v>1546</v>
      </c>
      <c r="D98" s="1349" t="s">
        <v>1353</v>
      </c>
      <c r="E98" s="1337" t="s">
        <v>1229</v>
      </c>
      <c r="F98" s="1083">
        <f t="shared" si="12"/>
        <v>29</v>
      </c>
      <c r="G98" s="1083">
        <f t="shared" si="13"/>
        <v>20</v>
      </c>
      <c r="H98" s="3832" t="s">
        <v>3798</v>
      </c>
      <c r="I98" s="2504">
        <v>52.344444444444441</v>
      </c>
      <c r="J98" s="2356">
        <v>52.34</v>
      </c>
      <c r="K98" s="2356">
        <v>54.56</v>
      </c>
      <c r="L98" s="1281">
        <v>14.83</v>
      </c>
      <c r="M98" s="3836">
        <v>52.34</v>
      </c>
      <c r="N98" s="1318">
        <f t="shared" si="14"/>
        <v>2.5293324342548891</v>
      </c>
      <c r="O98" s="1318">
        <f t="shared" si="15"/>
        <v>8.491487283985544E-5</v>
      </c>
      <c r="P98" s="1281">
        <f t="shared" ref="P98:P128" si="18">M98/R98</f>
        <v>65.424999999999997</v>
      </c>
      <c r="Q98" s="1281">
        <f t="shared" ref="Q98:Q128" si="19">M98/S98</f>
        <v>55.09473684210527</v>
      </c>
      <c r="R98" s="1347">
        <v>0.8</v>
      </c>
      <c r="S98" s="1347">
        <v>0.95</v>
      </c>
      <c r="T98" s="1347"/>
      <c r="U98" s="1347" t="s">
        <v>1104</v>
      </c>
      <c r="V98" s="1347"/>
      <c r="W98" s="1347"/>
      <c r="X98" s="1347"/>
      <c r="Y98" s="1804"/>
      <c r="Z98" s="1804"/>
      <c r="AA98" s="2621"/>
      <c r="AB98" s="2118" t="s">
        <v>649</v>
      </c>
      <c r="AC98" s="1804"/>
      <c r="AD98" s="1383"/>
    </row>
    <row r="99" spans="1:30" s="1806" customFormat="1" ht="15.75" customHeight="1" x14ac:dyDescent="0.25">
      <c r="A99" s="1082" t="s">
        <v>1586</v>
      </c>
      <c r="B99" s="1848">
        <v>106111785</v>
      </c>
      <c r="C99" s="291" t="s">
        <v>2408</v>
      </c>
      <c r="D99" s="1348" t="s">
        <v>2590</v>
      </c>
      <c r="E99" s="1336" t="s">
        <v>2591</v>
      </c>
      <c r="F99" s="1083">
        <f t="shared" ref="F99:F129" si="20">LEN(D99)</f>
        <v>40</v>
      </c>
      <c r="G99" s="1083">
        <f t="shared" ref="G99:G129" si="21">LEN(E99)</f>
        <v>31</v>
      </c>
      <c r="H99" s="3832" t="s">
        <v>3801</v>
      </c>
      <c r="I99" s="2504">
        <v>23.266666666666669</v>
      </c>
      <c r="J99" s="2356">
        <v>23.24</v>
      </c>
      <c r="K99" s="2356">
        <v>22.11</v>
      </c>
      <c r="L99" s="1281">
        <v>22.11</v>
      </c>
      <c r="M99" s="3836">
        <v>23.27</v>
      </c>
      <c r="N99" s="1318">
        <f t="shared" ref="N99:N120" si="22">(J99-L99)/L99</f>
        <v>5.1108095884215242E-2</v>
      </c>
      <c r="O99" s="1318">
        <f t="shared" ref="O99:O129" si="23">(I99-J99)/J99</f>
        <v>1.1474469305796401E-3</v>
      </c>
      <c r="P99" s="1281">
        <f t="shared" si="18"/>
        <v>29.087499999999999</v>
      </c>
      <c r="Q99" s="1281">
        <f t="shared" si="19"/>
        <v>24.494736842105265</v>
      </c>
      <c r="R99" s="1347">
        <v>0.8</v>
      </c>
      <c r="S99" s="1347">
        <v>0.95</v>
      </c>
      <c r="T99" s="1383"/>
      <c r="U99" s="2218"/>
      <c r="V99" s="2622" t="s">
        <v>1104</v>
      </c>
      <c r="W99" s="2633" t="s">
        <v>1104</v>
      </c>
      <c r="X99" s="2218"/>
      <c r="Y99" s="1804"/>
      <c r="Z99" s="1804"/>
      <c r="AA99" s="2621"/>
      <c r="AB99" s="2218"/>
      <c r="AC99" s="1804"/>
      <c r="AD99" s="1383"/>
    </row>
    <row r="100" spans="1:30" s="1806" customFormat="1" ht="15.75" customHeight="1" x14ac:dyDescent="0.25">
      <c r="A100" s="1082" t="s">
        <v>29</v>
      </c>
      <c r="B100" s="1848">
        <v>106111793</v>
      </c>
      <c r="C100" s="1287" t="s">
        <v>1490</v>
      </c>
      <c r="D100" s="1287" t="s">
        <v>1722</v>
      </c>
      <c r="E100" s="1335" t="s">
        <v>1723</v>
      </c>
      <c r="F100" s="1083">
        <f t="shared" si="20"/>
        <v>18</v>
      </c>
      <c r="G100" s="1083">
        <f t="shared" si="21"/>
        <v>19</v>
      </c>
      <c r="H100" s="3832" t="s">
        <v>3798</v>
      </c>
      <c r="I100" s="2504">
        <v>158.13333333333333</v>
      </c>
      <c r="J100" s="2356">
        <v>153</v>
      </c>
      <c r="K100" s="2356">
        <v>153</v>
      </c>
      <c r="L100" s="1281">
        <v>150</v>
      </c>
      <c r="M100" s="3836">
        <v>158.13</v>
      </c>
      <c r="N100" s="1318">
        <f t="shared" si="22"/>
        <v>0.02</v>
      </c>
      <c r="O100" s="1318">
        <f t="shared" si="23"/>
        <v>3.3551198257080563E-2</v>
      </c>
      <c r="P100" s="1281">
        <f t="shared" si="18"/>
        <v>197.66249999999999</v>
      </c>
      <c r="Q100" s="1281">
        <f t="shared" si="19"/>
        <v>166.45263157894738</v>
      </c>
      <c r="R100" s="1347">
        <v>0.8</v>
      </c>
      <c r="S100" s="1347">
        <v>0.95</v>
      </c>
      <c r="T100" s="1347"/>
      <c r="U100" s="1347" t="s">
        <v>1104</v>
      </c>
      <c r="V100" s="1347"/>
      <c r="W100" s="1347"/>
      <c r="X100" s="1347"/>
      <c r="Y100" s="142"/>
      <c r="Z100" s="2218"/>
      <c r="AA100" s="2621"/>
      <c r="AB100" s="2218" t="s">
        <v>649</v>
      </c>
      <c r="AC100" s="2218"/>
      <c r="AD100" s="1383"/>
    </row>
    <row r="101" spans="1:30" s="1806" customFormat="1" ht="15.75" customHeight="1" x14ac:dyDescent="0.25">
      <c r="A101" s="1082" t="s">
        <v>134</v>
      </c>
      <c r="B101" s="1848">
        <v>106111794</v>
      </c>
      <c r="C101" s="1287" t="s">
        <v>1844</v>
      </c>
      <c r="D101" s="1348" t="s">
        <v>3047</v>
      </c>
      <c r="E101" s="1335" t="s">
        <v>3048</v>
      </c>
      <c r="F101" s="1083">
        <f t="shared" si="20"/>
        <v>48</v>
      </c>
      <c r="G101" s="1083">
        <f t="shared" si="21"/>
        <v>36</v>
      </c>
      <c r="H101" s="3832" t="s">
        <v>3797</v>
      </c>
      <c r="I101" s="2504">
        <v>63.377777777777773</v>
      </c>
      <c r="J101" s="2356">
        <v>63.38</v>
      </c>
      <c r="K101" s="2356">
        <v>63.38</v>
      </c>
      <c r="L101" s="1281"/>
      <c r="M101" s="3836">
        <f>M145</f>
        <v>74.28</v>
      </c>
      <c r="N101" s="1318" t="e">
        <f t="shared" si="22"/>
        <v>#DIV/0!</v>
      </c>
      <c r="O101" s="1318">
        <f t="shared" si="23"/>
        <v>-3.5061884225775873E-5</v>
      </c>
      <c r="P101" s="1281">
        <f t="shared" si="18"/>
        <v>92.85</v>
      </c>
      <c r="Q101" s="1281">
        <f t="shared" si="19"/>
        <v>78.189473684210526</v>
      </c>
      <c r="R101" s="1347">
        <v>0.8</v>
      </c>
      <c r="S101" s="1347">
        <v>0.95</v>
      </c>
      <c r="T101" s="1347"/>
      <c r="U101" s="1347" t="s">
        <v>1104</v>
      </c>
      <c r="V101" s="1347"/>
      <c r="W101" s="1347"/>
      <c r="X101" s="1347"/>
      <c r="Y101" s="1804"/>
      <c r="Z101" s="1347"/>
      <c r="AA101" s="2621"/>
      <c r="AB101" s="2118">
        <v>106111795</v>
      </c>
      <c r="AC101" s="1804"/>
      <c r="AD101" s="1383"/>
    </row>
    <row r="102" spans="1:30" s="1806" customFormat="1" ht="15.75" customHeight="1" x14ac:dyDescent="0.25">
      <c r="A102" s="1082" t="s">
        <v>289</v>
      </c>
      <c r="B102" s="1848">
        <v>106111795</v>
      </c>
      <c r="C102" s="1287" t="s">
        <v>1845</v>
      </c>
      <c r="D102" s="1348" t="s">
        <v>3049</v>
      </c>
      <c r="E102" s="1335" t="s">
        <v>3050</v>
      </c>
      <c r="F102" s="1083">
        <f t="shared" si="20"/>
        <v>37</v>
      </c>
      <c r="G102" s="1083">
        <f t="shared" si="21"/>
        <v>25</v>
      </c>
      <c r="H102" s="3832" t="s">
        <v>3798</v>
      </c>
      <c r="I102" s="2504">
        <v>63.377777777777773</v>
      </c>
      <c r="J102" s="2356">
        <v>63.38</v>
      </c>
      <c r="K102" s="2356">
        <v>63.38</v>
      </c>
      <c r="L102" s="1281">
        <v>65.760000000000005</v>
      </c>
      <c r="M102" s="3836">
        <f>M145</f>
        <v>74.28</v>
      </c>
      <c r="N102" s="1318">
        <f t="shared" si="22"/>
        <v>-3.619221411192218E-2</v>
      </c>
      <c r="O102" s="1318">
        <f t="shared" si="23"/>
        <v>-3.5061884225775873E-5</v>
      </c>
      <c r="P102" s="1281">
        <f t="shared" si="18"/>
        <v>92.85</v>
      </c>
      <c r="Q102" s="1281">
        <f t="shared" si="19"/>
        <v>78.189473684210526</v>
      </c>
      <c r="R102" s="1347">
        <v>0.8</v>
      </c>
      <c r="S102" s="1347">
        <v>0.95</v>
      </c>
      <c r="T102" s="1347"/>
      <c r="U102" s="1347" t="s">
        <v>1104</v>
      </c>
      <c r="V102" s="1347"/>
      <c r="W102" s="1347"/>
      <c r="X102" s="1347"/>
      <c r="Y102" s="1804"/>
      <c r="Z102" s="1804"/>
      <c r="AA102" s="275"/>
      <c r="AB102" s="1347" t="s">
        <v>649</v>
      </c>
      <c r="AC102" s="1347"/>
      <c r="AD102" s="99"/>
    </row>
    <row r="103" spans="1:30" s="1806" customFormat="1" ht="15.75" customHeight="1" x14ac:dyDescent="0.25">
      <c r="A103" s="1084" t="s">
        <v>305</v>
      </c>
      <c r="B103" s="1848">
        <v>106111802</v>
      </c>
      <c r="C103" s="1287" t="s">
        <v>1846</v>
      </c>
      <c r="D103" s="1349" t="s">
        <v>1847</v>
      </c>
      <c r="E103" s="1335" t="s">
        <v>1848</v>
      </c>
      <c r="F103" s="1083">
        <f t="shared" si="20"/>
        <v>39</v>
      </c>
      <c r="G103" s="1083">
        <f t="shared" si="21"/>
        <v>39</v>
      </c>
      <c r="H103" s="3832" t="s">
        <v>3797</v>
      </c>
      <c r="I103" s="2504">
        <v>196.56666666666666</v>
      </c>
      <c r="J103" s="2356">
        <v>196.57</v>
      </c>
      <c r="K103" s="2356">
        <v>199.73</v>
      </c>
      <c r="L103" s="1281">
        <v>367.64</v>
      </c>
      <c r="M103" s="3836">
        <v>196.57</v>
      </c>
      <c r="N103" s="1318">
        <f t="shared" si="22"/>
        <v>-0.46531933413121535</v>
      </c>
      <c r="O103" s="1318">
        <f t="shared" si="23"/>
        <v>-1.6957487578624926E-5</v>
      </c>
      <c r="P103" s="1281">
        <f t="shared" si="18"/>
        <v>245.71249999999998</v>
      </c>
      <c r="Q103" s="1281">
        <f t="shared" si="19"/>
        <v>206.91578947368421</v>
      </c>
      <c r="R103" s="1347">
        <v>0.8</v>
      </c>
      <c r="S103" s="1347">
        <v>0.95</v>
      </c>
      <c r="T103" s="1347"/>
      <c r="U103" s="1347" t="s">
        <v>1104</v>
      </c>
      <c r="V103" s="1347"/>
      <c r="W103" s="1347"/>
      <c r="X103" s="1347"/>
      <c r="Y103" s="1804"/>
      <c r="Z103" s="142"/>
      <c r="AA103" s="2621"/>
      <c r="AB103" s="2217"/>
      <c r="AC103" s="2217"/>
      <c r="AD103" s="2217">
        <v>1160.3599999999999</v>
      </c>
    </row>
    <row r="104" spans="1:30" s="1806" customFormat="1" ht="15.75" customHeight="1" x14ac:dyDescent="0.25">
      <c r="A104" s="1082" t="s">
        <v>292</v>
      </c>
      <c r="B104" s="1848">
        <v>106111805</v>
      </c>
      <c r="C104" s="1287" t="s">
        <v>1849</v>
      </c>
      <c r="D104" s="1287" t="s">
        <v>1752</v>
      </c>
      <c r="E104" s="1335" t="s">
        <v>1753</v>
      </c>
      <c r="F104" s="1083">
        <f t="shared" si="20"/>
        <v>55</v>
      </c>
      <c r="G104" s="1083">
        <f t="shared" si="21"/>
        <v>57</v>
      </c>
      <c r="H104" s="3832" t="s">
        <v>3801</v>
      </c>
      <c r="I104" s="2504">
        <v>20.477777777777778</v>
      </c>
      <c r="J104" s="2356">
        <v>22.22</v>
      </c>
      <c r="K104" s="2356">
        <v>22.22</v>
      </c>
      <c r="L104" s="1281">
        <v>38.82</v>
      </c>
      <c r="M104" s="3836">
        <v>22.22</v>
      </c>
      <c r="N104" s="1318">
        <f t="shared" si="22"/>
        <v>-0.42761463163317881</v>
      </c>
      <c r="O104" s="1318">
        <f t="shared" si="23"/>
        <v>-7.840784078407835E-2</v>
      </c>
      <c r="P104" s="1281">
        <f t="shared" si="18"/>
        <v>27.774999999999999</v>
      </c>
      <c r="Q104" s="1281">
        <f t="shared" si="19"/>
        <v>23.389473684210525</v>
      </c>
      <c r="R104" s="1347">
        <v>0.8</v>
      </c>
      <c r="S104" s="1347">
        <v>0.95</v>
      </c>
      <c r="T104" s="1347"/>
      <c r="U104" s="1347" t="s">
        <v>1104</v>
      </c>
      <c r="V104" s="1347"/>
      <c r="W104" s="1347"/>
      <c r="X104" s="1347"/>
      <c r="Y104" s="1804"/>
      <c r="Z104" s="1804"/>
      <c r="AA104" s="2621"/>
      <c r="AB104" s="2118"/>
      <c r="AC104" s="1804"/>
      <c r="AD104" s="1383"/>
    </row>
    <row r="105" spans="1:30" s="371" customFormat="1" ht="15.75" customHeight="1" x14ac:dyDescent="0.25">
      <c r="A105" s="2352" t="s">
        <v>292</v>
      </c>
      <c r="B105" s="2353">
        <v>106111814</v>
      </c>
      <c r="C105" s="2354" t="s">
        <v>1751</v>
      </c>
      <c r="D105" s="1349" t="s">
        <v>1553</v>
      </c>
      <c r="E105" s="1336" t="s">
        <v>1554</v>
      </c>
      <c r="F105" s="2355">
        <f t="shared" si="20"/>
        <v>55</v>
      </c>
      <c r="G105" s="2355">
        <f t="shared" si="21"/>
        <v>57</v>
      </c>
      <c r="H105" s="3832" t="s">
        <v>3801</v>
      </c>
      <c r="I105" s="2504">
        <v>74.266666666666666</v>
      </c>
      <c r="J105" s="2356">
        <v>30.79</v>
      </c>
      <c r="K105" s="2356">
        <v>43.81</v>
      </c>
      <c r="L105" s="2356">
        <v>43.69</v>
      </c>
      <c r="M105" s="3836">
        <v>74.27</v>
      </c>
      <c r="N105" s="1318">
        <f t="shared" si="22"/>
        <v>-0.29526207370107577</v>
      </c>
      <c r="O105" s="1318">
        <f t="shared" si="23"/>
        <v>1.4120385406517268</v>
      </c>
      <c r="P105" s="2356">
        <f t="shared" si="18"/>
        <v>92.837499999999991</v>
      </c>
      <c r="Q105" s="2356">
        <f t="shared" si="19"/>
        <v>78.178947368421049</v>
      </c>
      <c r="R105" s="1280">
        <v>0.8</v>
      </c>
      <c r="S105" s="1280">
        <v>0.95</v>
      </c>
      <c r="T105" s="2355"/>
      <c r="U105" s="1280" t="s">
        <v>1104</v>
      </c>
      <c r="V105" s="2355"/>
      <c r="W105" s="2355"/>
      <c r="X105" s="2355"/>
      <c r="Y105" s="230"/>
      <c r="Z105" s="142"/>
      <c r="AA105" s="751"/>
      <c r="AB105" s="142"/>
      <c r="AC105" s="142" t="s">
        <v>1567</v>
      </c>
      <c r="AD105" s="1351"/>
    </row>
    <row r="106" spans="1:30" s="371" customFormat="1" ht="15.75" customHeight="1" x14ac:dyDescent="0.25">
      <c r="A106" s="2352" t="s">
        <v>294</v>
      </c>
      <c r="B106" s="2353">
        <v>106111815</v>
      </c>
      <c r="C106" s="2354" t="s">
        <v>1530</v>
      </c>
      <c r="D106" s="1349" t="s">
        <v>1367</v>
      </c>
      <c r="E106" s="1336" t="s">
        <v>2576</v>
      </c>
      <c r="F106" s="2355">
        <f t="shared" si="20"/>
        <v>52</v>
      </c>
      <c r="G106" s="2355">
        <f t="shared" si="21"/>
        <v>58</v>
      </c>
      <c r="H106" s="3832" t="s">
        <v>3801</v>
      </c>
      <c r="I106" s="2504">
        <v>11.366666666666667</v>
      </c>
      <c r="J106" s="2356">
        <v>9.56</v>
      </c>
      <c r="K106" s="2356">
        <v>9.7799999999999994</v>
      </c>
      <c r="L106" s="2356">
        <v>10.220000000000001</v>
      </c>
      <c r="M106" s="3836">
        <v>11.37</v>
      </c>
      <c r="N106" s="1318">
        <f t="shared" si="22"/>
        <v>-6.4579256360078288E-2</v>
      </c>
      <c r="O106" s="1318">
        <f t="shared" si="23"/>
        <v>0.18898186889818688</v>
      </c>
      <c r="P106" s="2356">
        <f t="shared" si="18"/>
        <v>14.212499999999999</v>
      </c>
      <c r="Q106" s="2356">
        <f t="shared" si="19"/>
        <v>11.968421052631578</v>
      </c>
      <c r="R106" s="1280">
        <v>0.8</v>
      </c>
      <c r="S106" s="1280">
        <v>0.95</v>
      </c>
      <c r="T106" s="2355"/>
      <c r="U106" s="1280" t="s">
        <v>1104</v>
      </c>
      <c r="V106" s="2355"/>
      <c r="W106" s="2355"/>
      <c r="X106" s="2355"/>
      <c r="Y106" s="142"/>
      <c r="Z106" s="142"/>
      <c r="AA106" s="274"/>
      <c r="AB106" s="1280"/>
      <c r="AC106" s="142" t="s">
        <v>1567</v>
      </c>
      <c r="AD106" s="2361"/>
    </row>
    <row r="107" spans="1:30" s="371" customFormat="1" ht="15.75" customHeight="1" x14ac:dyDescent="0.25">
      <c r="A107" s="2352" t="s">
        <v>296</v>
      </c>
      <c r="B107" s="2353">
        <v>106111816</v>
      </c>
      <c r="C107" s="2354" t="s">
        <v>1529</v>
      </c>
      <c r="D107" s="1349" t="s">
        <v>1366</v>
      </c>
      <c r="E107" s="1336" t="s">
        <v>2577</v>
      </c>
      <c r="F107" s="2355">
        <f t="shared" si="20"/>
        <v>52</v>
      </c>
      <c r="G107" s="2355">
        <f t="shared" si="21"/>
        <v>57</v>
      </c>
      <c r="H107" s="3832" t="s">
        <v>3801</v>
      </c>
      <c r="I107" s="2504">
        <v>16.844444444444445</v>
      </c>
      <c r="J107" s="2356">
        <v>16.84</v>
      </c>
      <c r="K107" s="2356">
        <v>17.440000000000001</v>
      </c>
      <c r="L107" s="2356">
        <v>17.440000000000001</v>
      </c>
      <c r="M107" s="3836">
        <v>16.84</v>
      </c>
      <c r="N107" s="1318">
        <f t="shared" si="22"/>
        <v>-3.440366972477072E-2</v>
      </c>
      <c r="O107" s="1318">
        <f t="shared" si="23"/>
        <v>2.6392187912382064E-4</v>
      </c>
      <c r="P107" s="2356">
        <f t="shared" si="18"/>
        <v>21.049999999999997</v>
      </c>
      <c r="Q107" s="2356">
        <f t="shared" si="19"/>
        <v>17.726315789473684</v>
      </c>
      <c r="R107" s="1280">
        <v>0.8</v>
      </c>
      <c r="S107" s="1280">
        <v>0.95</v>
      </c>
      <c r="T107" s="2355"/>
      <c r="U107" s="1280" t="s">
        <v>1104</v>
      </c>
      <c r="V107" s="2355"/>
      <c r="W107" s="2355"/>
      <c r="X107" s="2355"/>
      <c r="Y107" s="142"/>
      <c r="Z107" s="230"/>
      <c r="AA107" s="274"/>
      <c r="AB107" s="1280"/>
      <c r="AC107" s="1280">
        <v>106113621</v>
      </c>
      <c r="AD107" s="2361"/>
    </row>
    <row r="108" spans="1:30" s="371" customFormat="1" ht="15.75" customHeight="1" x14ac:dyDescent="0.25">
      <c r="A108" s="2352"/>
      <c r="B108" s="2353">
        <v>106111992</v>
      </c>
      <c r="C108" s="2364" t="s">
        <v>2409</v>
      </c>
      <c r="D108" s="1358" t="s">
        <v>2386</v>
      </c>
      <c r="E108" s="2365" t="s">
        <v>2572</v>
      </c>
      <c r="F108" s="2355">
        <f t="shared" si="20"/>
        <v>35</v>
      </c>
      <c r="G108" s="2355">
        <f t="shared" si="21"/>
        <v>32</v>
      </c>
      <c r="H108" s="3832" t="s">
        <v>3801</v>
      </c>
      <c r="I108" s="2504">
        <v>14.044444444444444</v>
      </c>
      <c r="J108" s="2356">
        <v>14.04</v>
      </c>
      <c r="K108" s="2356">
        <v>14.04</v>
      </c>
      <c r="L108" s="2356">
        <v>14.04</v>
      </c>
      <c r="M108" s="3836">
        <v>14.04</v>
      </c>
      <c r="N108" s="1318">
        <f t="shared" si="22"/>
        <v>0</v>
      </c>
      <c r="O108" s="1318">
        <f t="shared" si="23"/>
        <v>3.1655587211147716E-4</v>
      </c>
      <c r="P108" s="2356">
        <f t="shared" si="18"/>
        <v>17.549999999999997</v>
      </c>
      <c r="Q108" s="2356">
        <f t="shared" si="19"/>
        <v>14.778947368421052</v>
      </c>
      <c r="R108" s="1280">
        <v>0.8</v>
      </c>
      <c r="S108" s="1280">
        <v>0.95</v>
      </c>
      <c r="T108" s="1351"/>
      <c r="U108" s="142"/>
      <c r="V108" s="142"/>
      <c r="W108" s="142" t="s">
        <v>1104</v>
      </c>
      <c r="X108" s="142"/>
      <c r="Y108" s="142"/>
      <c r="Z108" s="142"/>
      <c r="AA108" s="751"/>
      <c r="AB108" s="142"/>
      <c r="AC108" s="142">
        <v>106205035</v>
      </c>
      <c r="AD108" s="1351"/>
    </row>
    <row r="109" spans="1:30" s="371" customFormat="1" ht="15.75" customHeight="1" x14ac:dyDescent="0.25">
      <c r="A109" s="2352"/>
      <c r="B109" s="2353">
        <v>106111993</v>
      </c>
      <c r="C109" s="2364" t="s">
        <v>2410</v>
      </c>
      <c r="D109" s="1358" t="s">
        <v>2326</v>
      </c>
      <c r="E109" s="2365" t="s">
        <v>2327</v>
      </c>
      <c r="F109" s="2355">
        <f t="shared" si="20"/>
        <v>40</v>
      </c>
      <c r="G109" s="2355">
        <f t="shared" si="21"/>
        <v>33</v>
      </c>
      <c r="H109" s="3832" t="s">
        <v>3801</v>
      </c>
      <c r="I109" s="2504">
        <v>52.077777777777776</v>
      </c>
      <c r="J109" s="2356">
        <v>52.08</v>
      </c>
      <c r="K109" s="2356">
        <v>52.09</v>
      </c>
      <c r="L109" s="2356">
        <v>52.09</v>
      </c>
      <c r="M109" s="3836">
        <v>52.08</v>
      </c>
      <c r="N109" s="1318">
        <f t="shared" si="22"/>
        <v>-1.919754271454236E-4</v>
      </c>
      <c r="O109" s="1318">
        <f t="shared" si="23"/>
        <v>-4.2669397508113856E-5</v>
      </c>
      <c r="P109" s="2356">
        <f t="shared" si="18"/>
        <v>65.099999999999994</v>
      </c>
      <c r="Q109" s="2356">
        <f t="shared" si="19"/>
        <v>54.821052631578951</v>
      </c>
      <c r="R109" s="1280">
        <v>0.8</v>
      </c>
      <c r="S109" s="1280">
        <v>0.95</v>
      </c>
      <c r="T109" s="1351"/>
      <c r="U109" s="142"/>
      <c r="V109" s="142"/>
      <c r="W109" s="142" t="s">
        <v>1104</v>
      </c>
      <c r="X109" s="142"/>
      <c r="Y109" s="142"/>
      <c r="Z109" s="142"/>
      <c r="AA109" s="751"/>
      <c r="AB109" s="142"/>
      <c r="AC109" s="142">
        <v>106205035</v>
      </c>
      <c r="AD109" s="1351"/>
    </row>
    <row r="110" spans="1:30" s="1806" customFormat="1" ht="15.75" customHeight="1" x14ac:dyDescent="0.25">
      <c r="A110" s="1082"/>
      <c r="B110" s="1848">
        <v>106112100</v>
      </c>
      <c r="C110" s="1287" t="s">
        <v>1850</v>
      </c>
      <c r="D110" s="1349" t="s">
        <v>1353</v>
      </c>
      <c r="E110" s="1337" t="s">
        <v>1229</v>
      </c>
      <c r="F110" s="1083">
        <f t="shared" si="20"/>
        <v>29</v>
      </c>
      <c r="G110" s="1083">
        <f t="shared" si="21"/>
        <v>20</v>
      </c>
      <c r="H110" s="3832" t="s">
        <v>3798</v>
      </c>
      <c r="I110" s="2504">
        <v>52.344444444444441</v>
      </c>
      <c r="J110" s="2356">
        <v>52.34</v>
      </c>
      <c r="K110" s="2356">
        <v>54.56</v>
      </c>
      <c r="L110" s="1281">
        <v>15.51</v>
      </c>
      <c r="M110" s="3836">
        <v>52.34</v>
      </c>
      <c r="N110" s="1318">
        <f t="shared" si="22"/>
        <v>2.3745970341715026</v>
      </c>
      <c r="O110" s="1318">
        <f t="shared" si="23"/>
        <v>8.491487283985544E-5</v>
      </c>
      <c r="P110" s="1281">
        <f t="shared" si="18"/>
        <v>65.424999999999997</v>
      </c>
      <c r="Q110" s="1281">
        <f t="shared" si="19"/>
        <v>55.09473684210527</v>
      </c>
      <c r="R110" s="1347">
        <v>0.8</v>
      </c>
      <c r="S110" s="1347">
        <v>0.95</v>
      </c>
      <c r="T110" s="1083"/>
      <c r="U110" s="1347" t="s">
        <v>1104</v>
      </c>
      <c r="V110" s="1083"/>
      <c r="W110" s="1083"/>
      <c r="X110" s="1083"/>
      <c r="Y110" s="1804"/>
      <c r="Z110" s="1804"/>
      <c r="AA110" s="2621"/>
      <c r="AB110" s="2118" t="s">
        <v>649</v>
      </c>
      <c r="AC110" s="1804"/>
      <c r="AD110" s="1383"/>
    </row>
    <row r="111" spans="1:30" s="1806" customFormat="1" ht="15.75" customHeight="1" x14ac:dyDescent="0.25">
      <c r="A111" s="1082" t="s">
        <v>119</v>
      </c>
      <c r="B111" s="1848">
        <v>106112169</v>
      </c>
      <c r="C111" s="1287" t="s">
        <v>1517</v>
      </c>
      <c r="D111" s="1349" t="s">
        <v>1515</v>
      </c>
      <c r="E111" s="1335" t="s">
        <v>1516</v>
      </c>
      <c r="F111" s="1083">
        <f t="shared" si="20"/>
        <v>37</v>
      </c>
      <c r="G111" s="1083">
        <f t="shared" si="21"/>
        <v>36</v>
      </c>
      <c r="H111" s="3832" t="s">
        <v>3798</v>
      </c>
      <c r="I111" s="2504">
        <v>39.955555555555556</v>
      </c>
      <c r="J111" s="2356">
        <v>39.96</v>
      </c>
      <c r="K111" s="2356">
        <v>39.96</v>
      </c>
      <c r="L111" s="1281">
        <v>39.979999999999997</v>
      </c>
      <c r="M111" s="3836">
        <v>39.979999999999997</v>
      </c>
      <c r="N111" s="1318">
        <f t="shared" si="22"/>
        <v>-5.0025012506243181E-4</v>
      </c>
      <c r="O111" s="1318">
        <f t="shared" si="23"/>
        <v>-1.1122233344457305E-4</v>
      </c>
      <c r="P111" s="1281">
        <f t="shared" si="18"/>
        <v>49.974999999999994</v>
      </c>
      <c r="Q111" s="1281">
        <f t="shared" si="19"/>
        <v>42.084210526315786</v>
      </c>
      <c r="R111" s="1347">
        <v>0.8</v>
      </c>
      <c r="S111" s="1347">
        <v>0.95</v>
      </c>
      <c r="T111" s="1347"/>
      <c r="U111" s="1347" t="s">
        <v>1104</v>
      </c>
      <c r="V111" s="1347" t="s">
        <v>1104</v>
      </c>
      <c r="W111" s="1347"/>
      <c r="X111" s="1347"/>
      <c r="Y111" s="2218"/>
      <c r="Z111" s="1804"/>
      <c r="AA111" s="2621"/>
      <c r="AB111" s="2118" t="s">
        <v>649</v>
      </c>
      <c r="AC111" s="1804"/>
      <c r="AD111" s="1383"/>
    </row>
    <row r="112" spans="1:30" s="1806" customFormat="1" ht="15.75" customHeight="1" x14ac:dyDescent="0.25">
      <c r="A112" s="1285" t="s">
        <v>1118</v>
      </c>
      <c r="B112" s="1848">
        <v>106112520</v>
      </c>
      <c r="C112" s="1287" t="s">
        <v>1120</v>
      </c>
      <c r="D112" s="1348" t="s">
        <v>1510</v>
      </c>
      <c r="E112" s="1335" t="s">
        <v>1509</v>
      </c>
      <c r="F112" s="1083">
        <f t="shared" si="20"/>
        <v>27</v>
      </c>
      <c r="G112" s="1083">
        <f t="shared" si="21"/>
        <v>25</v>
      </c>
      <c r="H112" s="3832" t="s">
        <v>3798</v>
      </c>
      <c r="I112" s="2504">
        <v>2.3777777777777778</v>
      </c>
      <c r="J112" s="2356">
        <v>2.38</v>
      </c>
      <c r="K112" s="2356">
        <v>2.38</v>
      </c>
      <c r="L112" s="1281">
        <v>2.44</v>
      </c>
      <c r="M112" s="3836">
        <v>2.38</v>
      </c>
      <c r="N112" s="1318">
        <f t="shared" si="22"/>
        <v>-2.4590163934426253E-2</v>
      </c>
      <c r="O112" s="1318">
        <f t="shared" si="23"/>
        <v>-9.3370681605971662E-4</v>
      </c>
      <c r="P112" s="1281">
        <f t="shared" si="18"/>
        <v>2.9749999999999996</v>
      </c>
      <c r="Q112" s="1281">
        <f t="shared" si="19"/>
        <v>2.5052631578947366</v>
      </c>
      <c r="R112" s="1347">
        <v>0.8</v>
      </c>
      <c r="S112" s="1347">
        <v>0.95</v>
      </c>
      <c r="T112" s="1280"/>
      <c r="U112" s="1280" t="s">
        <v>1104</v>
      </c>
      <c r="V112" s="1280" t="s">
        <v>1104</v>
      </c>
      <c r="W112" s="1280"/>
      <c r="X112" s="1280"/>
      <c r="Y112" s="2218" t="s">
        <v>1104</v>
      </c>
      <c r="Z112" s="1804" t="s">
        <v>1104</v>
      </c>
      <c r="AA112" s="2621"/>
      <c r="AB112" s="2118" t="s">
        <v>649</v>
      </c>
      <c r="AC112" s="1804"/>
      <c r="AD112" s="1383"/>
    </row>
    <row r="113" spans="1:30" s="1806" customFormat="1" ht="15.75" customHeight="1" x14ac:dyDescent="0.25">
      <c r="A113" s="1082" t="s">
        <v>323</v>
      </c>
      <c r="B113" s="1848">
        <v>106112525</v>
      </c>
      <c r="C113" s="1287" t="s">
        <v>300</v>
      </c>
      <c r="D113" s="1349" t="s">
        <v>1246</v>
      </c>
      <c r="E113" s="1335" t="s">
        <v>1247</v>
      </c>
      <c r="F113" s="1083">
        <f t="shared" si="20"/>
        <v>28</v>
      </c>
      <c r="G113" s="1083">
        <f t="shared" si="21"/>
        <v>21</v>
      </c>
      <c r="H113" s="3832" t="s">
        <v>3798</v>
      </c>
      <c r="I113" s="2504">
        <v>77.73333333333332</v>
      </c>
      <c r="J113" s="2356">
        <v>77.73</v>
      </c>
      <c r="K113" s="2356">
        <v>73.67</v>
      </c>
      <c r="L113" s="1281">
        <v>73.67</v>
      </c>
      <c r="M113" s="3836">
        <v>77.73</v>
      </c>
      <c r="N113" s="1318">
        <f t="shared" si="22"/>
        <v>5.5110628478349424E-2</v>
      </c>
      <c r="O113" s="1318">
        <f t="shared" si="23"/>
        <v>4.2883485569485278E-5</v>
      </c>
      <c r="P113" s="1281">
        <f t="shared" si="18"/>
        <v>97.162499999999994</v>
      </c>
      <c r="Q113" s="1281">
        <f t="shared" si="19"/>
        <v>81.821052631578951</v>
      </c>
      <c r="R113" s="1347">
        <v>0.8</v>
      </c>
      <c r="S113" s="1347">
        <v>0.95</v>
      </c>
      <c r="T113" s="1347"/>
      <c r="U113" s="1347" t="s">
        <v>1104</v>
      </c>
      <c r="V113" s="1347"/>
      <c r="W113" s="1347"/>
      <c r="X113" s="1347"/>
      <c r="Y113" s="2218"/>
      <c r="Z113" s="1804"/>
      <c r="AA113" s="2621"/>
      <c r="AB113" s="2633" t="s">
        <v>649</v>
      </c>
      <c r="AC113" s="1804"/>
      <c r="AD113" s="1383"/>
    </row>
    <row r="114" spans="1:30" x14ac:dyDescent="0.25">
      <c r="A114" s="1082" t="s">
        <v>222</v>
      </c>
      <c r="B114" s="1848">
        <v>106112565</v>
      </c>
      <c r="C114" s="1287" t="s">
        <v>1493</v>
      </c>
      <c r="D114" s="1287" t="s">
        <v>1851</v>
      </c>
      <c r="E114" s="1335" t="s">
        <v>1852</v>
      </c>
      <c r="F114" s="1083">
        <f t="shared" si="20"/>
        <v>18</v>
      </c>
      <c r="G114" s="1083">
        <f t="shared" si="21"/>
        <v>18</v>
      </c>
      <c r="H114" s="3832" t="s">
        <v>3798</v>
      </c>
      <c r="I114" s="2504">
        <v>48.433333333333337</v>
      </c>
      <c r="J114" s="2356">
        <v>48.43</v>
      </c>
      <c r="K114" s="2356">
        <v>48.43</v>
      </c>
      <c r="L114" s="1281">
        <v>48.43</v>
      </c>
      <c r="M114" s="3836">
        <v>48.43</v>
      </c>
      <c r="N114" s="1318">
        <f t="shared" si="22"/>
        <v>0</v>
      </c>
      <c r="O114" s="1318">
        <f t="shared" si="23"/>
        <v>6.8827861518426745E-5</v>
      </c>
      <c r="P114" s="1281">
        <f t="shared" si="18"/>
        <v>60.537499999999994</v>
      </c>
      <c r="Q114" s="1281">
        <f t="shared" si="19"/>
        <v>50.978947368421053</v>
      </c>
      <c r="R114" s="1347">
        <v>0.8</v>
      </c>
      <c r="S114" s="1347">
        <v>0.95</v>
      </c>
      <c r="T114" s="1280" t="s">
        <v>1104</v>
      </c>
      <c r="U114" s="1347"/>
      <c r="V114" s="1347"/>
      <c r="W114" s="1347"/>
      <c r="X114" s="1347"/>
      <c r="Y114" s="2218"/>
      <c r="AA114" s="2623"/>
      <c r="AB114" s="2219" t="s">
        <v>649</v>
      </c>
      <c r="AC114" s="2219"/>
      <c r="AD114" s="2221"/>
    </row>
    <row r="115" spans="1:30" x14ac:dyDescent="0.25">
      <c r="A115" s="1082" t="s">
        <v>263</v>
      </c>
      <c r="B115" s="1848">
        <v>106112685</v>
      </c>
      <c r="C115" s="1287" t="s">
        <v>1527</v>
      </c>
      <c r="D115" s="1349" t="s">
        <v>1853</v>
      </c>
      <c r="E115" s="1339" t="s">
        <v>1854</v>
      </c>
      <c r="F115" s="1083">
        <f t="shared" si="20"/>
        <v>35</v>
      </c>
      <c r="G115" s="1083">
        <f t="shared" si="21"/>
        <v>33</v>
      </c>
      <c r="H115" s="3832" t="s">
        <v>3797</v>
      </c>
      <c r="I115" s="2504">
        <v>119.38888888888889</v>
      </c>
      <c r="J115" s="2356">
        <v>119.39</v>
      </c>
      <c r="K115" s="2356">
        <v>119.39</v>
      </c>
      <c r="L115" s="1281">
        <v>119.39</v>
      </c>
      <c r="M115" s="3836">
        <v>119.39</v>
      </c>
      <c r="N115" s="1318">
        <f t="shared" si="22"/>
        <v>0</v>
      </c>
      <c r="O115" s="1318">
        <f t="shared" si="23"/>
        <v>-9.3065676448181389E-6</v>
      </c>
      <c r="P115" s="1281">
        <f t="shared" si="18"/>
        <v>149.23749999999998</v>
      </c>
      <c r="Q115" s="1281">
        <f t="shared" si="19"/>
        <v>125.67368421052632</v>
      </c>
      <c r="R115" s="1347">
        <v>0.8</v>
      </c>
      <c r="S115" s="1347">
        <v>0.95</v>
      </c>
      <c r="T115" s="1280" t="s">
        <v>1104</v>
      </c>
      <c r="U115" s="1347"/>
      <c r="V115" s="1347"/>
      <c r="W115" s="1347"/>
      <c r="X115" s="1347"/>
      <c r="Z115" s="2218"/>
      <c r="AA115" s="2625"/>
      <c r="AB115" s="378"/>
      <c r="AC115" s="378"/>
      <c r="AD115" s="411"/>
    </row>
    <row r="116" spans="1:30" x14ac:dyDescent="0.25">
      <c r="A116" s="1082" t="s">
        <v>263</v>
      </c>
      <c r="B116" s="1848">
        <v>106110287</v>
      </c>
      <c r="C116" s="1287" t="s">
        <v>2828</v>
      </c>
      <c r="D116" s="1349" t="s">
        <v>2829</v>
      </c>
      <c r="E116" s="1339" t="s">
        <v>2830</v>
      </c>
      <c r="F116" s="1083">
        <f t="shared" si="20"/>
        <v>36</v>
      </c>
      <c r="G116" s="1083">
        <f t="shared" si="21"/>
        <v>34</v>
      </c>
      <c r="H116" s="3832" t="s">
        <v>3797</v>
      </c>
      <c r="I116" s="2504">
        <v>110.12222222222222</v>
      </c>
      <c r="J116" s="2356">
        <v>110.12</v>
      </c>
      <c r="K116" s="2356">
        <v>110.12</v>
      </c>
      <c r="L116" s="1281"/>
      <c r="M116" s="3836">
        <v>110.12</v>
      </c>
      <c r="N116" s="1318" t="e">
        <f t="shared" si="22"/>
        <v>#DIV/0!</v>
      </c>
      <c r="O116" s="1318">
        <f t="shared" si="23"/>
        <v>2.0180005650340211E-5</v>
      </c>
      <c r="P116" s="1281">
        <f t="shared" si="18"/>
        <v>137.65</v>
      </c>
      <c r="Q116" s="1281">
        <f t="shared" si="19"/>
        <v>115.91578947368421</v>
      </c>
      <c r="R116" s="1347">
        <v>0.8</v>
      </c>
      <c r="S116" s="1347">
        <v>0.95</v>
      </c>
      <c r="T116" s="1280" t="s">
        <v>1104</v>
      </c>
      <c r="U116" s="1347"/>
      <c r="V116" s="1347"/>
      <c r="W116" s="1347"/>
      <c r="X116" s="1347"/>
      <c r="Y116" s="2633"/>
      <c r="Z116" s="2633"/>
      <c r="AA116" s="2625"/>
      <c r="AB116" s="378"/>
      <c r="AC116" s="378"/>
      <c r="AD116" s="411"/>
    </row>
    <row r="117" spans="1:30" x14ac:dyDescent="0.25">
      <c r="A117" s="1082" t="s">
        <v>1121</v>
      </c>
      <c r="B117" s="1848">
        <v>106112712</v>
      </c>
      <c r="C117" s="1287" t="s">
        <v>1855</v>
      </c>
      <c r="D117" s="1348" t="s">
        <v>1856</v>
      </c>
      <c r="E117" s="1335" t="s">
        <v>1519</v>
      </c>
      <c r="F117" s="1083">
        <f t="shared" si="20"/>
        <v>30</v>
      </c>
      <c r="G117" s="1083">
        <f t="shared" si="21"/>
        <v>27</v>
      </c>
      <c r="H117" s="3832" t="s">
        <v>3798</v>
      </c>
      <c r="I117" s="2504">
        <v>3.333333333333333</v>
      </c>
      <c r="J117" s="2356">
        <v>3.46</v>
      </c>
      <c r="K117" s="2356">
        <v>3.44</v>
      </c>
      <c r="L117" s="1281">
        <v>3.44</v>
      </c>
      <c r="M117" s="3836">
        <v>3.46</v>
      </c>
      <c r="N117" s="1318">
        <f t="shared" si="22"/>
        <v>5.8139534883720981E-3</v>
      </c>
      <c r="O117" s="1318">
        <f t="shared" si="23"/>
        <v>-3.6608863198458651E-2</v>
      </c>
      <c r="P117" s="1281">
        <f t="shared" si="18"/>
        <v>4.3249999999999993</v>
      </c>
      <c r="Q117" s="1281">
        <f t="shared" si="19"/>
        <v>3.642105263157895</v>
      </c>
      <c r="R117" s="1347">
        <v>0.8</v>
      </c>
      <c r="S117" s="1347">
        <v>0.95</v>
      </c>
      <c r="T117" s="1347" t="s">
        <v>1104</v>
      </c>
      <c r="U117" s="1347" t="s">
        <v>1104</v>
      </c>
      <c r="V117" s="1347"/>
      <c r="W117" s="1347"/>
      <c r="X117" s="1347"/>
      <c r="Y117" s="1804" t="s">
        <v>1104</v>
      </c>
      <c r="Z117" s="2217"/>
      <c r="AA117" s="2623"/>
      <c r="AB117" s="2219" t="s">
        <v>649</v>
      </c>
      <c r="AC117" s="2219"/>
      <c r="AD117" s="2221"/>
    </row>
    <row r="118" spans="1:30" x14ac:dyDescent="0.25">
      <c r="A118" s="1082"/>
      <c r="B118" s="1848">
        <v>106112784</v>
      </c>
      <c r="C118" s="291" t="s">
        <v>2411</v>
      </c>
      <c r="D118" s="1358" t="s">
        <v>2371</v>
      </c>
      <c r="E118" s="1356" t="s">
        <v>2230</v>
      </c>
      <c r="F118" s="1083">
        <f t="shared" si="20"/>
        <v>44</v>
      </c>
      <c r="G118" s="1083">
        <f t="shared" si="21"/>
        <v>44</v>
      </c>
      <c r="H118" s="3832" t="s">
        <v>3801</v>
      </c>
      <c r="I118" s="2504">
        <v>5.8999999999999995</v>
      </c>
      <c r="J118" s="2356">
        <v>5.9</v>
      </c>
      <c r="K118" s="2356">
        <v>5.9</v>
      </c>
      <c r="L118" s="1281">
        <v>5.9</v>
      </c>
      <c r="M118" s="3836">
        <v>5.9</v>
      </c>
      <c r="N118" s="1318">
        <f t="shared" si="22"/>
        <v>0</v>
      </c>
      <c r="O118" s="1318">
        <f t="shared" si="23"/>
        <v>-1.5053871520341105E-16</v>
      </c>
      <c r="P118" s="1281">
        <f t="shared" si="18"/>
        <v>7.375</v>
      </c>
      <c r="Q118" s="1281">
        <f t="shared" si="19"/>
        <v>6.2105263157894743</v>
      </c>
      <c r="R118" s="1347">
        <v>0.8</v>
      </c>
      <c r="S118" s="1347">
        <v>0.95</v>
      </c>
      <c r="T118" s="1383"/>
      <c r="U118" s="2218"/>
      <c r="V118" s="2218"/>
      <c r="W118" s="2633" t="s">
        <v>1104</v>
      </c>
      <c r="X118" s="2218"/>
    </row>
    <row r="119" spans="1:30" x14ac:dyDescent="0.25">
      <c r="A119" s="1082"/>
      <c r="B119" s="1848">
        <v>106112785</v>
      </c>
      <c r="C119" s="291" t="s">
        <v>2412</v>
      </c>
      <c r="D119" s="1358" t="s">
        <v>2228</v>
      </c>
      <c r="E119" s="1356" t="s">
        <v>2229</v>
      </c>
      <c r="F119" s="1083">
        <f t="shared" si="20"/>
        <v>25</v>
      </c>
      <c r="G119" s="1083">
        <f t="shared" si="21"/>
        <v>27</v>
      </c>
      <c r="H119" s="3832" t="s">
        <v>3801</v>
      </c>
      <c r="I119" s="2504">
        <v>27.988888888888891</v>
      </c>
      <c r="J119" s="2356">
        <v>27.99</v>
      </c>
      <c r="K119" s="2356">
        <v>27.99</v>
      </c>
      <c r="L119" s="1281">
        <v>27.99</v>
      </c>
      <c r="M119" s="3836">
        <v>27.99</v>
      </c>
      <c r="N119" s="1318">
        <f t="shared" si="22"/>
        <v>0</v>
      </c>
      <c r="O119" s="1318">
        <f t="shared" si="23"/>
        <v>-3.9696717081376639E-5</v>
      </c>
      <c r="P119" s="1281">
        <f t="shared" si="18"/>
        <v>34.987499999999997</v>
      </c>
      <c r="Q119" s="1281">
        <f t="shared" si="19"/>
        <v>29.463157894736842</v>
      </c>
      <c r="R119" s="1347">
        <v>0.8</v>
      </c>
      <c r="S119" s="1347">
        <v>0.95</v>
      </c>
      <c r="T119" s="1383"/>
      <c r="U119" s="2218"/>
      <c r="V119" s="2218"/>
      <c r="W119" s="2633" t="s">
        <v>1104</v>
      </c>
      <c r="X119" s="2218"/>
      <c r="Z119" s="2218"/>
      <c r="AB119" s="2218"/>
      <c r="AC119" s="2218"/>
    </row>
    <row r="120" spans="1:30" s="1351" customFormat="1" ht="15.75" customHeight="1" x14ac:dyDescent="0.25">
      <c r="A120" s="2352"/>
      <c r="B120" s="2353">
        <v>106112878</v>
      </c>
      <c r="C120" s="2354" t="s">
        <v>1557</v>
      </c>
      <c r="D120" s="1349" t="s">
        <v>1558</v>
      </c>
      <c r="E120" s="1336" t="s">
        <v>1559</v>
      </c>
      <c r="F120" s="2355">
        <f t="shared" si="20"/>
        <v>13</v>
      </c>
      <c r="G120" s="2355">
        <f t="shared" si="21"/>
        <v>14</v>
      </c>
      <c r="H120" s="3832" t="s">
        <v>3797</v>
      </c>
      <c r="I120" s="2504">
        <v>1.9444444444444444</v>
      </c>
      <c r="J120" s="2356">
        <v>1.7</v>
      </c>
      <c r="K120" s="2356">
        <v>1.07</v>
      </c>
      <c r="L120" s="2356">
        <v>0.89</v>
      </c>
      <c r="M120" s="3836">
        <v>1.94</v>
      </c>
      <c r="N120" s="1318">
        <f t="shared" si="22"/>
        <v>0.91011235955056169</v>
      </c>
      <c r="O120" s="1318">
        <f t="shared" si="23"/>
        <v>0.14379084967320263</v>
      </c>
      <c r="P120" s="2356">
        <f t="shared" si="18"/>
        <v>2.4249999999999998</v>
      </c>
      <c r="Q120" s="2356">
        <f t="shared" si="19"/>
        <v>2.0421052631578949</v>
      </c>
      <c r="R120" s="1280">
        <v>0.8</v>
      </c>
      <c r="S120" s="1280">
        <v>0.95</v>
      </c>
      <c r="T120" s="1280" t="s">
        <v>1104</v>
      </c>
      <c r="U120" s="1280" t="s">
        <v>1104</v>
      </c>
      <c r="V120" s="1280" t="s">
        <v>1104</v>
      </c>
      <c r="W120" s="1280"/>
      <c r="X120" s="1280"/>
      <c r="Y120" s="751"/>
      <c r="Z120" s="2122"/>
      <c r="AA120" s="751"/>
      <c r="AB120" s="142"/>
      <c r="AC120" s="142"/>
    </row>
    <row r="121" spans="1:30" s="1115" customFormat="1" ht="15.75" customHeight="1" x14ac:dyDescent="0.25">
      <c r="A121" s="1349" t="s">
        <v>1564</v>
      </c>
      <c r="B121" s="1848">
        <v>106113578</v>
      </c>
      <c r="C121" s="1287" t="s">
        <v>1257</v>
      </c>
      <c r="D121" s="1349" t="s">
        <v>1258</v>
      </c>
      <c r="E121" s="1335" t="s">
        <v>1258</v>
      </c>
      <c r="F121" s="1083">
        <f t="shared" si="20"/>
        <v>24</v>
      </c>
      <c r="G121" s="1083">
        <f t="shared" si="21"/>
        <v>24</v>
      </c>
      <c r="H121" s="3832" t="s">
        <v>3801</v>
      </c>
      <c r="I121" s="2504">
        <v>330.06666666666666</v>
      </c>
      <c r="J121" s="2356">
        <v>330.07</v>
      </c>
      <c r="K121" s="2356">
        <v>330.07</v>
      </c>
      <c r="L121" s="1281">
        <v>330.07</v>
      </c>
      <c r="M121" s="3836">
        <v>330.07</v>
      </c>
      <c r="N121" s="1318"/>
      <c r="O121" s="1318">
        <f t="shared" si="23"/>
        <v>-1.009886791689733E-5</v>
      </c>
      <c r="P121" s="1281">
        <f t="shared" si="18"/>
        <v>412.58749999999998</v>
      </c>
      <c r="Q121" s="1281">
        <f t="shared" si="19"/>
        <v>347.44210526315788</v>
      </c>
      <c r="R121" s="1280">
        <v>0.8</v>
      </c>
      <c r="S121" s="1280">
        <v>0.95</v>
      </c>
      <c r="T121" s="1347"/>
      <c r="U121" s="1347" t="s">
        <v>1104</v>
      </c>
      <c r="V121" s="1347"/>
      <c r="W121" s="1347"/>
      <c r="X121" s="1347"/>
      <c r="Y121" s="1804"/>
      <c r="Z121" s="2218"/>
      <c r="AA121" s="2621"/>
      <c r="AB121" s="2118"/>
      <c r="AC121" s="1804"/>
      <c r="AD121" s="1383"/>
    </row>
    <row r="122" spans="1:30" s="1351" customFormat="1" ht="15.75" customHeight="1" x14ac:dyDescent="0.25">
      <c r="A122" s="2352" t="s">
        <v>97</v>
      </c>
      <c r="B122" s="2353">
        <v>106113580</v>
      </c>
      <c r="C122" s="2354" t="s">
        <v>1426</v>
      </c>
      <c r="D122" s="1349" t="s">
        <v>1476</v>
      </c>
      <c r="E122" s="1336" t="s">
        <v>1477</v>
      </c>
      <c r="F122" s="2355">
        <f t="shared" si="20"/>
        <v>30</v>
      </c>
      <c r="G122" s="2355">
        <f t="shared" si="21"/>
        <v>25</v>
      </c>
      <c r="H122" s="3832" t="s">
        <v>3798</v>
      </c>
      <c r="I122" s="2504">
        <v>354.62222222222226</v>
      </c>
      <c r="J122" s="2356">
        <v>354.67</v>
      </c>
      <c r="K122" s="2356">
        <v>588.08000000000004</v>
      </c>
      <c r="L122" s="2356">
        <v>711.88</v>
      </c>
      <c r="M122" s="3836">
        <v>354.67</v>
      </c>
      <c r="N122" s="1318">
        <f t="shared" ref="N122:N141" si="24">(J122-L122)/L122</f>
        <v>-0.50178400854076533</v>
      </c>
      <c r="O122" s="1318">
        <f t="shared" si="23"/>
        <v>-1.3471051337229895E-4</v>
      </c>
      <c r="P122" s="2356">
        <f t="shared" si="18"/>
        <v>443.33749999999998</v>
      </c>
      <c r="Q122" s="2356">
        <f t="shared" si="19"/>
        <v>373.3368421052632</v>
      </c>
      <c r="R122" s="1280">
        <v>0.8</v>
      </c>
      <c r="S122" s="1280">
        <v>0.95</v>
      </c>
      <c r="T122" s="1280"/>
      <c r="U122" s="1280" t="s">
        <v>1104</v>
      </c>
      <c r="V122" s="1280" t="s">
        <v>1104</v>
      </c>
      <c r="W122" s="1280"/>
      <c r="X122" s="1280"/>
      <c r="Y122" s="2122"/>
      <c r="Z122" s="142"/>
      <c r="AA122" s="751"/>
      <c r="AB122" s="142" t="s">
        <v>649</v>
      </c>
      <c r="AC122" s="142"/>
    </row>
    <row r="123" spans="1:30" ht="15.75" customHeight="1" x14ac:dyDescent="0.25">
      <c r="A123" s="1084" t="s">
        <v>65</v>
      </c>
      <c r="B123" s="1848">
        <v>106113582</v>
      </c>
      <c r="C123" s="1287" t="s">
        <v>1857</v>
      </c>
      <c r="D123" s="1349" t="s">
        <v>1858</v>
      </c>
      <c r="E123" s="1335" t="s">
        <v>1859</v>
      </c>
      <c r="F123" s="1083">
        <f t="shared" si="20"/>
        <v>36</v>
      </c>
      <c r="G123" s="1083">
        <f t="shared" si="21"/>
        <v>37</v>
      </c>
      <c r="H123" s="3832" t="s">
        <v>3797</v>
      </c>
      <c r="I123" s="2504">
        <v>36.577777777777776</v>
      </c>
      <c r="J123" s="2356">
        <v>36.58</v>
      </c>
      <c r="K123" s="2356">
        <v>36.58</v>
      </c>
      <c r="L123" s="1281">
        <v>36.58</v>
      </c>
      <c r="M123" s="3836">
        <f>M48</f>
        <v>44.96</v>
      </c>
      <c r="N123" s="1318">
        <f t="shared" si="24"/>
        <v>0</v>
      </c>
      <c r="O123" s="1318">
        <f t="shared" si="23"/>
        <v>-6.0749650689518032E-5</v>
      </c>
      <c r="P123" s="1281">
        <f t="shared" si="18"/>
        <v>56.199999999999996</v>
      </c>
      <c r="Q123" s="1281">
        <f t="shared" si="19"/>
        <v>47.326315789473689</v>
      </c>
      <c r="R123" s="1280">
        <v>0.8</v>
      </c>
      <c r="S123" s="1280">
        <v>0.95</v>
      </c>
      <c r="T123" s="1347"/>
      <c r="U123" s="1347" t="s">
        <v>1104</v>
      </c>
      <c r="V123" s="1347"/>
      <c r="W123" s="1347"/>
      <c r="X123" s="1347"/>
      <c r="Y123" s="1347"/>
      <c r="Z123" s="2218"/>
      <c r="AC123" s="1804">
        <v>106202874</v>
      </c>
    </row>
    <row r="124" spans="1:30" ht="15.75" customHeight="1" x14ac:dyDescent="0.25">
      <c r="A124" s="1084" t="s">
        <v>285</v>
      </c>
      <c r="B124" s="1848">
        <v>106113584</v>
      </c>
      <c r="C124" s="1287" t="s">
        <v>1860</v>
      </c>
      <c r="D124" s="1349" t="s">
        <v>1861</v>
      </c>
      <c r="E124" s="1335" t="s">
        <v>1862</v>
      </c>
      <c r="F124" s="1083">
        <f t="shared" si="20"/>
        <v>39</v>
      </c>
      <c r="G124" s="1083">
        <f t="shared" si="21"/>
        <v>40</v>
      </c>
      <c r="H124" s="3832" t="s">
        <v>3797</v>
      </c>
      <c r="I124" s="2504">
        <v>12.255555555555555</v>
      </c>
      <c r="J124" s="2356">
        <v>12.26</v>
      </c>
      <c r="K124" s="2356">
        <v>12.26</v>
      </c>
      <c r="L124" s="1281">
        <v>12.26</v>
      </c>
      <c r="M124" s="3836">
        <v>12.26</v>
      </c>
      <c r="N124" s="1318">
        <f t="shared" si="24"/>
        <v>0</v>
      </c>
      <c r="O124" s="1318">
        <f t="shared" si="23"/>
        <v>-3.6251586006893469E-4</v>
      </c>
      <c r="P124" s="1281">
        <f t="shared" si="18"/>
        <v>15.324999999999999</v>
      </c>
      <c r="Q124" s="1281">
        <f t="shared" si="19"/>
        <v>12.905263157894737</v>
      </c>
      <c r="R124" s="1280">
        <v>0.8</v>
      </c>
      <c r="S124" s="1280">
        <v>0.95</v>
      </c>
      <c r="T124" s="1347"/>
      <c r="U124" s="1347" t="s">
        <v>1104</v>
      </c>
      <c r="V124" s="1347"/>
      <c r="W124" s="1347"/>
      <c r="X124" s="1347"/>
      <c r="Y124" s="1347"/>
      <c r="AC124" s="1804">
        <v>106202875</v>
      </c>
    </row>
    <row r="125" spans="1:30" ht="15.75" customHeight="1" x14ac:dyDescent="0.25">
      <c r="A125" s="1285" t="s">
        <v>286</v>
      </c>
      <c r="B125" s="1848">
        <v>106113585</v>
      </c>
      <c r="C125" s="1288" t="s">
        <v>1863</v>
      </c>
      <c r="D125" s="1349" t="s">
        <v>1864</v>
      </c>
      <c r="E125" s="1335" t="s">
        <v>1865</v>
      </c>
      <c r="F125" s="1347">
        <f t="shared" si="20"/>
        <v>35</v>
      </c>
      <c r="G125" s="1347">
        <f t="shared" si="21"/>
        <v>36</v>
      </c>
      <c r="H125" s="3832" t="s">
        <v>3797</v>
      </c>
      <c r="I125" s="2504">
        <v>17.333333333333332</v>
      </c>
      <c r="J125" s="2356">
        <v>17.329999999999998</v>
      </c>
      <c r="K125" s="2356">
        <v>17.329999999999998</v>
      </c>
      <c r="L125" s="1281">
        <v>17.329999999999998</v>
      </c>
      <c r="M125" s="3836">
        <v>17.329999999999998</v>
      </c>
      <c r="N125" s="1318">
        <f t="shared" si="24"/>
        <v>0</v>
      </c>
      <c r="O125" s="1318">
        <f t="shared" si="23"/>
        <v>1.9234468166958192E-4</v>
      </c>
      <c r="P125" s="1281">
        <f t="shared" si="18"/>
        <v>21.662499999999998</v>
      </c>
      <c r="Q125" s="1281">
        <f t="shared" si="19"/>
        <v>18.242105263157892</v>
      </c>
      <c r="R125" s="1280">
        <v>0.8</v>
      </c>
      <c r="S125" s="1280">
        <v>0.95</v>
      </c>
      <c r="T125" s="1347"/>
      <c r="U125" s="1347" t="s">
        <v>1104</v>
      </c>
      <c r="V125" s="1347"/>
      <c r="W125" s="1347"/>
      <c r="X125" s="1347"/>
      <c r="AC125" s="1804">
        <v>106202876</v>
      </c>
    </row>
    <row r="126" spans="1:30" s="1351" customFormat="1" ht="15.75" customHeight="1" x14ac:dyDescent="0.25">
      <c r="A126" s="2360" t="s">
        <v>67</v>
      </c>
      <c r="B126" s="2353">
        <v>106113588</v>
      </c>
      <c r="C126" s="2354" t="s">
        <v>1261</v>
      </c>
      <c r="D126" s="1348" t="s">
        <v>1710</v>
      </c>
      <c r="E126" s="1336" t="s">
        <v>1711</v>
      </c>
      <c r="F126" s="2355">
        <f t="shared" si="20"/>
        <v>40</v>
      </c>
      <c r="G126" s="2355">
        <f t="shared" si="21"/>
        <v>31</v>
      </c>
      <c r="H126" s="3832" t="s">
        <v>3801</v>
      </c>
      <c r="I126" s="2504">
        <v>1.7777777777777779</v>
      </c>
      <c r="J126" s="2356">
        <v>1.78</v>
      </c>
      <c r="K126" s="2356">
        <v>1.78</v>
      </c>
      <c r="L126" s="2356"/>
      <c r="M126" s="3836">
        <v>1.78</v>
      </c>
      <c r="N126" s="1318" t="e">
        <f t="shared" si="24"/>
        <v>#DIV/0!</v>
      </c>
      <c r="O126" s="1318">
        <f t="shared" si="23"/>
        <v>-1.2484394506865873E-3</v>
      </c>
      <c r="P126" s="2356">
        <f t="shared" si="18"/>
        <v>2.2250000000000001</v>
      </c>
      <c r="Q126" s="2356">
        <f t="shared" si="19"/>
        <v>1.8736842105263158</v>
      </c>
      <c r="R126" s="1280">
        <v>0.8</v>
      </c>
      <c r="S126" s="1280">
        <v>0.95</v>
      </c>
      <c r="T126" s="1280"/>
      <c r="U126" s="1280" t="s">
        <v>1104</v>
      </c>
      <c r="V126" s="1280"/>
      <c r="W126" s="1280"/>
      <c r="X126" s="1280"/>
      <c r="Y126" s="1280"/>
      <c r="Z126" s="142"/>
      <c r="AA126" s="751"/>
      <c r="AB126" s="142"/>
      <c r="AC126" s="142" t="s">
        <v>1550</v>
      </c>
    </row>
    <row r="127" spans="1:30" s="1351" customFormat="1" ht="15.75" customHeight="1" x14ac:dyDescent="0.25">
      <c r="A127" s="2360" t="s">
        <v>71</v>
      </c>
      <c r="B127" s="2353">
        <v>106113605</v>
      </c>
      <c r="C127" s="2354" t="s">
        <v>1866</v>
      </c>
      <c r="D127" s="1349" t="s">
        <v>1265</v>
      </c>
      <c r="E127" s="1336" t="s">
        <v>1266</v>
      </c>
      <c r="F127" s="2355">
        <f t="shared" si="20"/>
        <v>32</v>
      </c>
      <c r="G127" s="2355">
        <f t="shared" si="21"/>
        <v>32</v>
      </c>
      <c r="H127" s="3832" t="s">
        <v>3797</v>
      </c>
      <c r="I127" s="2504">
        <v>424.28888888888889</v>
      </c>
      <c r="J127" s="2356">
        <v>424.29</v>
      </c>
      <c r="K127" s="2356">
        <v>481.39</v>
      </c>
      <c r="L127" s="2356">
        <v>435.71</v>
      </c>
      <c r="M127" s="3836">
        <f>M89</f>
        <v>593.86</v>
      </c>
      <c r="N127" s="1318">
        <f t="shared" si="24"/>
        <v>-2.6210093869775675E-2</v>
      </c>
      <c r="O127" s="1318">
        <f t="shared" si="23"/>
        <v>-2.6187539445404045E-6</v>
      </c>
      <c r="P127" s="2356">
        <f t="shared" si="18"/>
        <v>742.32499999999993</v>
      </c>
      <c r="Q127" s="2356">
        <f t="shared" si="19"/>
        <v>625.11578947368423</v>
      </c>
      <c r="R127" s="1280">
        <v>0.8</v>
      </c>
      <c r="S127" s="1280">
        <v>0.95</v>
      </c>
      <c r="T127" s="1280"/>
      <c r="U127" s="1766" t="s">
        <v>1104</v>
      </c>
      <c r="V127" s="1280"/>
      <c r="W127" s="1280"/>
      <c r="X127" s="1280"/>
      <c r="Y127" s="142"/>
      <c r="Z127" s="2121"/>
      <c r="AA127" s="751"/>
      <c r="AB127" s="142"/>
      <c r="AC127" s="142">
        <v>106113623</v>
      </c>
    </row>
    <row r="128" spans="1:30" s="1351" customFormat="1" ht="15.75" customHeight="1" x14ac:dyDescent="0.25">
      <c r="A128" s="2360" t="s">
        <v>71</v>
      </c>
      <c r="B128" s="2353">
        <v>106113621</v>
      </c>
      <c r="C128" s="2354" t="s">
        <v>1867</v>
      </c>
      <c r="D128" s="1349" t="s">
        <v>1359</v>
      </c>
      <c r="E128" s="1336" t="s">
        <v>1360</v>
      </c>
      <c r="F128" s="2355">
        <f t="shared" si="20"/>
        <v>48</v>
      </c>
      <c r="G128" s="2355">
        <f t="shared" si="21"/>
        <v>43</v>
      </c>
      <c r="H128" s="3832" t="s">
        <v>3800</v>
      </c>
      <c r="I128" s="3840">
        <v>713.15555555555557</v>
      </c>
      <c r="J128" s="2356">
        <v>914.87</v>
      </c>
      <c r="K128" s="2356">
        <v>917.77</v>
      </c>
      <c r="L128" s="2356">
        <v>921.01</v>
      </c>
      <c r="M128" s="3836">
        <f>M130</f>
        <v>713.16</v>
      </c>
      <c r="N128" s="1318">
        <f t="shared" si="24"/>
        <v>-6.6665942823639114E-3</v>
      </c>
      <c r="O128" s="1318">
        <f t="shared" si="23"/>
        <v>-0.22048427038207005</v>
      </c>
      <c r="P128" s="2356">
        <f t="shared" si="18"/>
        <v>891.44999999999993</v>
      </c>
      <c r="Q128" s="2356">
        <f t="shared" si="19"/>
        <v>750.69473684210527</v>
      </c>
      <c r="R128" s="1280">
        <v>0.8</v>
      </c>
      <c r="S128" s="1280">
        <v>0.95</v>
      </c>
      <c r="T128" s="1280"/>
      <c r="U128" s="1766" t="s">
        <v>1104</v>
      </c>
      <c r="V128" s="1280"/>
      <c r="W128" s="1280"/>
      <c r="X128" s="1280"/>
      <c r="Y128" s="142"/>
      <c r="Z128" s="2121"/>
      <c r="AA128" s="751"/>
      <c r="AB128" s="1564">
        <v>106113624</v>
      </c>
      <c r="AC128" s="142" t="s">
        <v>1549</v>
      </c>
      <c r="AD128" s="1286"/>
    </row>
    <row r="129" spans="1:30" s="751" customFormat="1" ht="15" customHeight="1" x14ac:dyDescent="0.25">
      <c r="A129" s="2360" t="s">
        <v>71</v>
      </c>
      <c r="B129" s="2353">
        <v>106113623</v>
      </c>
      <c r="C129" s="2354" t="s">
        <v>1868</v>
      </c>
      <c r="D129" s="1349" t="s">
        <v>1263</v>
      </c>
      <c r="E129" s="1336" t="s">
        <v>1264</v>
      </c>
      <c r="F129" s="2355">
        <f t="shared" si="20"/>
        <v>41</v>
      </c>
      <c r="G129" s="2355">
        <f t="shared" si="21"/>
        <v>36</v>
      </c>
      <c r="H129" s="3832" t="s">
        <v>3800</v>
      </c>
      <c r="I129" s="3840">
        <v>544.35555555555561</v>
      </c>
      <c r="J129" s="2356">
        <v>546.38</v>
      </c>
      <c r="K129" s="2356">
        <v>609.29999999999995</v>
      </c>
      <c r="L129" s="2356">
        <v>562.03</v>
      </c>
      <c r="M129" s="3836">
        <f>M130</f>
        <v>713.16</v>
      </c>
      <c r="N129" s="1318">
        <f t="shared" si="24"/>
        <v>-2.7845488674981725E-2</v>
      </c>
      <c r="O129" s="1318">
        <f t="shared" si="23"/>
        <v>-3.7051950006303019E-3</v>
      </c>
      <c r="P129" s="2356">
        <f t="shared" ref="P129:P160" si="25">M129/R129</f>
        <v>891.44999999999993</v>
      </c>
      <c r="Q129" s="2356">
        <f t="shared" ref="Q129:Q160" si="26">M129/S129</f>
        <v>750.69473684210527</v>
      </c>
      <c r="R129" s="1280">
        <v>0.8</v>
      </c>
      <c r="S129" s="1280">
        <v>0.95</v>
      </c>
      <c r="T129" s="1280"/>
      <c r="U129" s="1766" t="s">
        <v>1104</v>
      </c>
      <c r="V129" s="1280"/>
      <c r="W129" s="1280"/>
      <c r="X129" s="1280"/>
      <c r="Y129" s="142"/>
      <c r="Z129" s="2121"/>
      <c r="AB129" s="1564">
        <v>106113624</v>
      </c>
      <c r="AC129" s="142" t="s">
        <v>1549</v>
      </c>
      <c r="AD129" s="1286"/>
    </row>
    <row r="130" spans="1:30" s="176" customFormat="1" ht="15.75" customHeight="1" x14ac:dyDescent="0.25">
      <c r="A130" s="2352" t="s">
        <v>71</v>
      </c>
      <c r="B130" s="2353">
        <v>106113624</v>
      </c>
      <c r="C130" s="2354" t="s">
        <v>1869</v>
      </c>
      <c r="D130" s="1349" t="s">
        <v>1870</v>
      </c>
      <c r="E130" s="1336" t="s">
        <v>1871</v>
      </c>
      <c r="F130" s="2355">
        <f t="shared" ref="F130:F161" si="27">LEN(D130)</f>
        <v>38</v>
      </c>
      <c r="G130" s="2355">
        <f t="shared" ref="G130:G161" si="28">LEN(E130)</f>
        <v>33</v>
      </c>
      <c r="H130" s="3832" t="s">
        <v>3798</v>
      </c>
      <c r="I130" s="3840">
        <v>713.15555555555557</v>
      </c>
      <c r="J130" s="2356">
        <v>914.87</v>
      </c>
      <c r="K130" s="2356">
        <v>917.77</v>
      </c>
      <c r="L130" s="2356">
        <v>921.01</v>
      </c>
      <c r="M130" s="3836">
        <v>713.16</v>
      </c>
      <c r="N130" s="1318">
        <f t="shared" si="24"/>
        <v>-6.6665942823639114E-3</v>
      </c>
      <c r="O130" s="1318">
        <f t="shared" ref="O130:O161" si="29">(I130-J130)/J130</f>
        <v>-0.22048427038207005</v>
      </c>
      <c r="P130" s="2356">
        <f t="shared" si="25"/>
        <v>891.44999999999993</v>
      </c>
      <c r="Q130" s="2356">
        <f t="shared" si="26"/>
        <v>750.69473684210527</v>
      </c>
      <c r="R130" s="1280">
        <v>0.8</v>
      </c>
      <c r="S130" s="1280">
        <v>0.95</v>
      </c>
      <c r="T130" s="1280"/>
      <c r="U130" s="1280" t="s">
        <v>1104</v>
      </c>
      <c r="V130" s="1280"/>
      <c r="W130" s="1280"/>
      <c r="X130" s="1280"/>
      <c r="Y130" s="142"/>
      <c r="Z130" s="142"/>
      <c r="AA130" s="751"/>
      <c r="AB130" s="142" t="s">
        <v>649</v>
      </c>
      <c r="AC130" s="142"/>
      <c r="AD130" s="1286"/>
    </row>
    <row r="131" spans="1:30" s="1351" customFormat="1" ht="15.75" customHeight="1" x14ac:dyDescent="0.25">
      <c r="A131" s="2360" t="s">
        <v>1267</v>
      </c>
      <c r="B131" s="2353">
        <v>106113632</v>
      </c>
      <c r="C131" s="2354" t="s">
        <v>1872</v>
      </c>
      <c r="D131" s="1348" t="s">
        <v>1268</v>
      </c>
      <c r="E131" s="1336" t="s">
        <v>1269</v>
      </c>
      <c r="F131" s="2355">
        <f t="shared" si="27"/>
        <v>35</v>
      </c>
      <c r="G131" s="2355">
        <f t="shared" si="28"/>
        <v>28</v>
      </c>
      <c r="H131" s="3832" t="s">
        <v>3801</v>
      </c>
      <c r="I131" s="2504">
        <v>20.011111111111113</v>
      </c>
      <c r="J131" s="2356">
        <v>20.010000000000002</v>
      </c>
      <c r="K131" s="2356">
        <v>20.56</v>
      </c>
      <c r="L131" s="2356">
        <v>20.56</v>
      </c>
      <c r="M131" s="3836">
        <v>20.010000000000002</v>
      </c>
      <c r="N131" s="1318">
        <f t="shared" si="24"/>
        <v>-2.6750972762645778E-2</v>
      </c>
      <c r="O131" s="1318">
        <f t="shared" si="29"/>
        <v>5.5527791659734368E-5</v>
      </c>
      <c r="P131" s="2356">
        <f t="shared" si="25"/>
        <v>25.012499999999999</v>
      </c>
      <c r="Q131" s="2356">
        <f t="shared" si="26"/>
        <v>21.063157894736843</v>
      </c>
      <c r="R131" s="1280">
        <v>0.8</v>
      </c>
      <c r="S131" s="1280">
        <v>0.95</v>
      </c>
      <c r="T131" s="1280"/>
      <c r="U131" s="1280" t="s">
        <v>1104</v>
      </c>
      <c r="V131" s="1280"/>
      <c r="W131" s="1280"/>
      <c r="X131" s="1280"/>
      <c r="Y131" s="142"/>
      <c r="Z131" s="2121"/>
      <c r="AA131" s="751"/>
      <c r="AB131" s="142"/>
      <c r="AC131" s="142">
        <v>106113623</v>
      </c>
    </row>
    <row r="132" spans="1:30" s="1351" customFormat="1" ht="15.75" customHeight="1" x14ac:dyDescent="0.25">
      <c r="A132" s="2360" t="s">
        <v>1271</v>
      </c>
      <c r="B132" s="2353">
        <v>106113634</v>
      </c>
      <c r="C132" s="2354" t="s">
        <v>1873</v>
      </c>
      <c r="D132" s="1349" t="s">
        <v>1368</v>
      </c>
      <c r="E132" s="1336" t="s">
        <v>2578</v>
      </c>
      <c r="F132" s="2355">
        <f t="shared" si="27"/>
        <v>45</v>
      </c>
      <c r="G132" s="2355">
        <f t="shared" si="28"/>
        <v>51</v>
      </c>
      <c r="H132" s="3832" t="s">
        <v>3801</v>
      </c>
      <c r="I132" s="2504">
        <v>9.9666666666666668</v>
      </c>
      <c r="J132" s="2356">
        <v>9.9700000000000006</v>
      </c>
      <c r="K132" s="2356">
        <v>11.31</v>
      </c>
      <c r="L132" s="2356">
        <v>11.31</v>
      </c>
      <c r="M132" s="3836">
        <v>9.9700000000000006</v>
      </c>
      <c r="N132" s="1318">
        <f t="shared" si="24"/>
        <v>-0.11847922192749777</v>
      </c>
      <c r="O132" s="1318">
        <f t="shared" si="29"/>
        <v>-3.3433634236046682E-4</v>
      </c>
      <c r="P132" s="2356">
        <f t="shared" si="25"/>
        <v>12.4625</v>
      </c>
      <c r="Q132" s="2356">
        <f t="shared" si="26"/>
        <v>10.494736842105265</v>
      </c>
      <c r="R132" s="1280">
        <v>0.8</v>
      </c>
      <c r="S132" s="1280">
        <v>0.95</v>
      </c>
      <c r="T132" s="1280"/>
      <c r="U132" s="1280" t="s">
        <v>1104</v>
      </c>
      <c r="V132" s="1280"/>
      <c r="W132" s="1280"/>
      <c r="X132" s="1280"/>
      <c r="Y132" s="142"/>
      <c r="Z132" s="2121"/>
      <c r="AA132" s="751"/>
      <c r="AB132" s="142"/>
      <c r="AC132" s="142">
        <v>106113623</v>
      </c>
    </row>
    <row r="133" spans="1:30" s="1351" customFormat="1" ht="15.75" customHeight="1" x14ac:dyDescent="0.25">
      <c r="A133" s="2360" t="s">
        <v>340</v>
      </c>
      <c r="B133" s="2353">
        <v>106113636</v>
      </c>
      <c r="C133" s="2354" t="s">
        <v>1874</v>
      </c>
      <c r="D133" s="1349" t="s">
        <v>1273</v>
      </c>
      <c r="E133" s="1336" t="s">
        <v>1274</v>
      </c>
      <c r="F133" s="2355">
        <f t="shared" si="27"/>
        <v>49</v>
      </c>
      <c r="G133" s="2355">
        <f t="shared" si="28"/>
        <v>36</v>
      </c>
      <c r="H133" s="3832" t="s">
        <v>3801</v>
      </c>
      <c r="I133" s="2504">
        <v>8.7666666666666657</v>
      </c>
      <c r="J133" s="2356">
        <v>8.77</v>
      </c>
      <c r="K133" s="2356">
        <v>7.88</v>
      </c>
      <c r="L133" s="2356">
        <v>7.88</v>
      </c>
      <c r="M133" s="3836">
        <v>8.77</v>
      </c>
      <c r="N133" s="1318">
        <f t="shared" si="24"/>
        <v>0.11294416243654819</v>
      </c>
      <c r="O133" s="1318">
        <f t="shared" si="29"/>
        <v>-3.8008361839610654E-4</v>
      </c>
      <c r="P133" s="2356">
        <f t="shared" si="25"/>
        <v>10.962499999999999</v>
      </c>
      <c r="Q133" s="2356">
        <f t="shared" si="26"/>
        <v>9.2315789473684209</v>
      </c>
      <c r="R133" s="1280">
        <v>0.8</v>
      </c>
      <c r="S133" s="1280">
        <v>0.95</v>
      </c>
      <c r="T133" s="1280"/>
      <c r="U133" s="1280" t="s">
        <v>1104</v>
      </c>
      <c r="V133" s="1280"/>
      <c r="W133" s="1280"/>
      <c r="X133" s="1280"/>
      <c r="Y133" s="142"/>
      <c r="Z133" s="2121"/>
      <c r="AA133" s="751"/>
      <c r="AB133" s="142"/>
      <c r="AC133" s="142">
        <v>106113623</v>
      </c>
    </row>
    <row r="134" spans="1:30" s="1351" customFormat="1" x14ac:dyDescent="0.25">
      <c r="A134" s="2360" t="s">
        <v>1270</v>
      </c>
      <c r="B134" s="2353">
        <v>106113637</v>
      </c>
      <c r="C134" s="2354" t="s">
        <v>1875</v>
      </c>
      <c r="D134" s="1349" t="s">
        <v>1617</v>
      </c>
      <c r="E134" s="1336" t="s">
        <v>1618</v>
      </c>
      <c r="F134" s="2355">
        <f t="shared" si="27"/>
        <v>53</v>
      </c>
      <c r="G134" s="2355">
        <f t="shared" si="28"/>
        <v>47</v>
      </c>
      <c r="H134" s="3832" t="s">
        <v>3801</v>
      </c>
      <c r="I134" s="2504">
        <v>30.366666666666664</v>
      </c>
      <c r="J134" s="2356">
        <v>30.37</v>
      </c>
      <c r="K134" s="2356">
        <v>34.46</v>
      </c>
      <c r="L134" s="2356">
        <v>31.19</v>
      </c>
      <c r="M134" s="3836">
        <v>30.37</v>
      </c>
      <c r="N134" s="1318">
        <f t="shared" si="24"/>
        <v>-2.6290477717217063E-2</v>
      </c>
      <c r="O134" s="1318">
        <f t="shared" si="29"/>
        <v>-1.0975743606642762E-4</v>
      </c>
      <c r="P134" s="2356">
        <f t="shared" si="25"/>
        <v>37.962499999999999</v>
      </c>
      <c r="Q134" s="2356">
        <f t="shared" si="26"/>
        <v>31.96842105263158</v>
      </c>
      <c r="R134" s="1280">
        <v>0.8</v>
      </c>
      <c r="S134" s="1280">
        <v>0.95</v>
      </c>
      <c r="T134" s="1280"/>
      <c r="U134" s="1280" t="s">
        <v>1104</v>
      </c>
      <c r="V134" s="1280"/>
      <c r="W134" s="1280"/>
      <c r="X134" s="1280"/>
      <c r="Y134" s="142"/>
      <c r="Z134" s="2121"/>
      <c r="AA134" s="751"/>
      <c r="AB134" s="751"/>
      <c r="AC134" s="751">
        <v>106113623</v>
      </c>
      <c r="AD134" s="2227"/>
    </row>
    <row r="135" spans="1:30" x14ac:dyDescent="0.25">
      <c r="A135" s="1082" t="s">
        <v>21</v>
      </c>
      <c r="B135" s="1848">
        <v>106113689</v>
      </c>
      <c r="C135" s="1287" t="s">
        <v>1483</v>
      </c>
      <c r="D135" s="1349" t="s">
        <v>1876</v>
      </c>
      <c r="E135" s="1335" t="s">
        <v>1876</v>
      </c>
      <c r="F135" s="1083">
        <f t="shared" si="27"/>
        <v>30</v>
      </c>
      <c r="G135" s="1083">
        <f t="shared" si="28"/>
        <v>30</v>
      </c>
      <c r="H135" s="3832" t="s">
        <v>3801</v>
      </c>
      <c r="I135" s="2504">
        <v>72.155555555555551</v>
      </c>
      <c r="J135" s="2356">
        <v>72.16</v>
      </c>
      <c r="K135" s="2356">
        <v>72.16</v>
      </c>
      <c r="L135" s="1281">
        <v>72.16</v>
      </c>
      <c r="M135" s="3836">
        <v>72.16</v>
      </c>
      <c r="N135" s="1318">
        <f t="shared" si="24"/>
        <v>0</v>
      </c>
      <c r="O135" s="1318">
        <f t="shared" si="29"/>
        <v>-6.1591525006168788E-5</v>
      </c>
      <c r="P135" s="1281">
        <f t="shared" si="25"/>
        <v>90.199999999999989</v>
      </c>
      <c r="Q135" s="1281">
        <f t="shared" si="26"/>
        <v>75.957894736842107</v>
      </c>
      <c r="R135" s="1280">
        <v>0.8</v>
      </c>
      <c r="S135" s="1280">
        <v>0.95</v>
      </c>
      <c r="T135" s="1347" t="s">
        <v>1104</v>
      </c>
      <c r="U135" s="1347"/>
      <c r="V135" s="1347"/>
      <c r="W135" s="1347"/>
      <c r="X135" s="1347"/>
    </row>
    <row r="136" spans="1:30" x14ac:dyDescent="0.25">
      <c r="A136" s="1082" t="s">
        <v>64</v>
      </c>
      <c r="B136" s="1848">
        <v>106113691</v>
      </c>
      <c r="C136" s="1287" t="s">
        <v>1877</v>
      </c>
      <c r="D136" s="1349" t="s">
        <v>1878</v>
      </c>
      <c r="E136" s="1335" t="s">
        <v>1879</v>
      </c>
      <c r="F136" s="1083">
        <f t="shared" si="27"/>
        <v>50</v>
      </c>
      <c r="G136" s="1083">
        <f t="shared" si="28"/>
        <v>47</v>
      </c>
      <c r="H136" s="3832" t="s">
        <v>3801</v>
      </c>
      <c r="I136" s="2504">
        <v>3.7333333333333329</v>
      </c>
      <c r="J136" s="2356">
        <v>3.73</v>
      </c>
      <c r="K136" s="2356">
        <v>3.73</v>
      </c>
      <c r="L136" s="1281">
        <v>3.73</v>
      </c>
      <c r="M136" s="3836">
        <v>3.73</v>
      </c>
      <c r="N136" s="1318">
        <f t="shared" si="24"/>
        <v>0</v>
      </c>
      <c r="O136" s="1318">
        <f t="shared" si="29"/>
        <v>8.9365504915092924E-4</v>
      </c>
      <c r="P136" s="1281">
        <f t="shared" si="25"/>
        <v>4.6624999999999996</v>
      </c>
      <c r="Q136" s="1281">
        <f t="shared" si="26"/>
        <v>3.9263157894736844</v>
      </c>
      <c r="R136" s="1280">
        <v>0.8</v>
      </c>
      <c r="S136" s="1280">
        <v>0.95</v>
      </c>
      <c r="T136" s="1347" t="s">
        <v>1104</v>
      </c>
      <c r="U136" s="1347"/>
      <c r="V136" s="1347"/>
      <c r="W136" s="1347"/>
      <c r="X136" s="1347"/>
      <c r="Z136" s="142"/>
    </row>
    <row r="137" spans="1:30" x14ac:dyDescent="0.25">
      <c r="A137" s="1082" t="s">
        <v>341</v>
      </c>
      <c r="B137" s="1848">
        <v>106113993</v>
      </c>
      <c r="C137" s="1287" t="s">
        <v>2431</v>
      </c>
      <c r="D137" s="1358" t="s">
        <v>2315</v>
      </c>
      <c r="E137" s="1356" t="s">
        <v>2316</v>
      </c>
      <c r="F137" s="1083">
        <f t="shared" si="27"/>
        <v>43</v>
      </c>
      <c r="G137" s="1083">
        <f t="shared" si="28"/>
        <v>31</v>
      </c>
      <c r="H137" s="3832" t="s">
        <v>3797</v>
      </c>
      <c r="I137" s="2504">
        <v>106.66666666666666</v>
      </c>
      <c r="J137" s="2356">
        <v>106.44</v>
      </c>
      <c r="K137" s="2356">
        <v>116.67</v>
      </c>
      <c r="L137" s="1281">
        <v>116.67</v>
      </c>
      <c r="M137" s="3836">
        <v>106.67</v>
      </c>
      <c r="N137" s="1318">
        <f t="shared" si="24"/>
        <v>-8.7683209051169997E-2</v>
      </c>
      <c r="O137" s="1318">
        <f t="shared" si="29"/>
        <v>2.1295252411373494E-3</v>
      </c>
      <c r="P137" s="1281">
        <f t="shared" si="25"/>
        <v>133.33750000000001</v>
      </c>
      <c r="Q137" s="1281">
        <f t="shared" si="26"/>
        <v>112.2842105263158</v>
      </c>
      <c r="R137" s="1280">
        <v>0.8</v>
      </c>
      <c r="S137" s="1280">
        <v>0.95</v>
      </c>
      <c r="T137" s="1383"/>
      <c r="W137" s="2633" t="s">
        <v>1104</v>
      </c>
    </row>
    <row r="138" spans="1:30" x14ac:dyDescent="0.25">
      <c r="A138" s="1082" t="s">
        <v>341</v>
      </c>
      <c r="B138" s="1848">
        <v>106127312</v>
      </c>
      <c r="C138" s="1287" t="s">
        <v>3636</v>
      </c>
      <c r="D138" s="1358" t="s">
        <v>3637</v>
      </c>
      <c r="E138" s="1356" t="s">
        <v>3638</v>
      </c>
      <c r="F138" s="1083">
        <f t="shared" si="27"/>
        <v>44</v>
      </c>
      <c r="G138" s="1083">
        <f t="shared" si="28"/>
        <v>32</v>
      </c>
      <c r="H138" s="3832" t="s">
        <v>3797</v>
      </c>
      <c r="I138" s="2504">
        <v>171.11111111111111</v>
      </c>
      <c r="J138" s="2356">
        <v>171.11</v>
      </c>
      <c r="K138" s="2356" t="s">
        <v>0</v>
      </c>
      <c r="L138" s="1281">
        <v>116.67</v>
      </c>
      <c r="M138" s="3836">
        <v>171.11</v>
      </c>
      <c r="N138" s="1318">
        <f t="shared" si="24"/>
        <v>0.46661523956458395</v>
      </c>
      <c r="O138" s="1318">
        <f t="shared" si="29"/>
        <v>6.4935486593456057E-6</v>
      </c>
      <c r="P138" s="1281">
        <f t="shared" si="25"/>
        <v>213.88750000000002</v>
      </c>
      <c r="Q138" s="1281">
        <f t="shared" si="26"/>
        <v>180.11578947368423</v>
      </c>
      <c r="R138" s="1280">
        <v>0.8</v>
      </c>
      <c r="S138" s="1280">
        <v>0.95</v>
      </c>
      <c r="T138" s="1383"/>
      <c r="U138" s="2633"/>
      <c r="V138" s="2633" t="s">
        <v>1104</v>
      </c>
      <c r="X138" s="2633"/>
      <c r="Y138" s="2633"/>
      <c r="Z138" s="2633"/>
      <c r="AA138" s="3730"/>
      <c r="AB138" s="2633"/>
      <c r="AC138" s="2633"/>
    </row>
    <row r="139" spans="1:30" x14ac:dyDescent="0.25">
      <c r="A139" s="1082"/>
      <c r="B139" s="1848">
        <v>106114079</v>
      </c>
      <c r="C139" s="1287" t="s">
        <v>1880</v>
      </c>
      <c r="D139" s="1348" t="s">
        <v>1437</v>
      </c>
      <c r="E139" s="1336" t="s">
        <v>1438</v>
      </c>
      <c r="F139" s="1083">
        <f t="shared" si="27"/>
        <v>30</v>
      </c>
      <c r="G139" s="1083">
        <f t="shared" si="28"/>
        <v>29</v>
      </c>
      <c r="H139" s="3832" t="s">
        <v>3798</v>
      </c>
      <c r="I139" s="2504">
        <v>94.12222222222222</v>
      </c>
      <c r="J139" s="2356">
        <v>88.42</v>
      </c>
      <c r="K139" s="2356">
        <v>94.12</v>
      </c>
      <c r="L139" s="1281">
        <v>88.42</v>
      </c>
      <c r="M139" s="3836">
        <v>94.12</v>
      </c>
      <c r="N139" s="1318">
        <f t="shared" si="24"/>
        <v>0</v>
      </c>
      <c r="O139" s="1318">
        <f t="shared" si="29"/>
        <v>6.4490185729724245E-2</v>
      </c>
      <c r="P139" s="1281">
        <f t="shared" si="25"/>
        <v>235.3</v>
      </c>
      <c r="Q139" s="1281">
        <f t="shared" si="26"/>
        <v>156.86666666666667</v>
      </c>
      <c r="R139" s="1347">
        <v>0.4</v>
      </c>
      <c r="S139" s="1347">
        <v>0.6</v>
      </c>
      <c r="T139" s="1347"/>
      <c r="U139" s="1347" t="s">
        <v>1104</v>
      </c>
      <c r="V139" s="1347" t="s">
        <v>1104</v>
      </c>
      <c r="W139" s="1347"/>
      <c r="X139" s="1347"/>
      <c r="Z139" s="1350"/>
      <c r="AA139" s="275"/>
      <c r="AB139" s="1347" t="s">
        <v>649</v>
      </c>
      <c r="AC139" s="1347"/>
      <c r="AD139" s="99"/>
    </row>
    <row r="140" spans="1:30" s="86" customFormat="1" ht="15" customHeight="1" x14ac:dyDescent="0.25">
      <c r="A140" s="1082" t="s">
        <v>21</v>
      </c>
      <c r="B140" s="1848">
        <v>106114215</v>
      </c>
      <c r="C140" s="1287" t="s">
        <v>1481</v>
      </c>
      <c r="D140" s="1349" t="s">
        <v>1881</v>
      </c>
      <c r="E140" s="1335" t="s">
        <v>1881</v>
      </c>
      <c r="F140" s="1083">
        <f t="shared" si="27"/>
        <v>29</v>
      </c>
      <c r="G140" s="1083">
        <f t="shared" si="28"/>
        <v>29</v>
      </c>
      <c r="H140" s="3832" t="s">
        <v>3801</v>
      </c>
      <c r="I140" s="2504">
        <v>35.81111111111111</v>
      </c>
      <c r="J140" s="2356">
        <v>35.81</v>
      </c>
      <c r="K140" s="2356">
        <v>35.28</v>
      </c>
      <c r="L140" s="1281">
        <v>35.28</v>
      </c>
      <c r="M140" s="3836">
        <v>35.81</v>
      </c>
      <c r="N140" s="1318">
        <f t="shared" si="24"/>
        <v>1.5022675736961482E-2</v>
      </c>
      <c r="O140" s="1318">
        <f t="shared" si="29"/>
        <v>3.10279561884315E-5</v>
      </c>
      <c r="P140" s="1281">
        <f t="shared" si="25"/>
        <v>44.762500000000003</v>
      </c>
      <c r="Q140" s="1281">
        <f t="shared" si="26"/>
        <v>37.694736842105264</v>
      </c>
      <c r="R140" s="1280">
        <v>0.8</v>
      </c>
      <c r="S140" s="1280">
        <v>0.95</v>
      </c>
      <c r="T140" s="1347" t="s">
        <v>1104</v>
      </c>
      <c r="U140" s="1347"/>
      <c r="V140" s="1347"/>
      <c r="W140" s="1347"/>
      <c r="X140" s="1347"/>
      <c r="Y140" s="2098"/>
      <c r="Z140" s="1350"/>
      <c r="AA140" s="2621"/>
      <c r="AB140" s="2218"/>
      <c r="AC140" s="2218"/>
      <c r="AD140" s="1383"/>
    </row>
    <row r="141" spans="1:30" x14ac:dyDescent="0.25">
      <c r="A141" s="1082" t="s">
        <v>21</v>
      </c>
      <c r="B141" s="1848">
        <v>106114255</v>
      </c>
      <c r="C141" s="1287" t="s">
        <v>1484</v>
      </c>
      <c r="D141" s="1349" t="s">
        <v>1882</v>
      </c>
      <c r="E141" s="1335" t="s">
        <v>1882</v>
      </c>
      <c r="F141" s="1083">
        <f t="shared" si="27"/>
        <v>29</v>
      </c>
      <c r="G141" s="1083">
        <f t="shared" si="28"/>
        <v>29</v>
      </c>
      <c r="H141" s="3832" t="s">
        <v>3801</v>
      </c>
      <c r="I141" s="2504">
        <v>35.688888888888883</v>
      </c>
      <c r="J141" s="2356">
        <v>35.69</v>
      </c>
      <c r="K141" s="2356">
        <v>32.54</v>
      </c>
      <c r="L141" s="1281">
        <v>42.12</v>
      </c>
      <c r="M141" s="3836">
        <v>35.69</v>
      </c>
      <c r="N141" s="1318">
        <f t="shared" si="24"/>
        <v>-0.152659069325736</v>
      </c>
      <c r="O141" s="1318">
        <f t="shared" si="29"/>
        <v>-3.1132281062337845E-5</v>
      </c>
      <c r="P141" s="1281">
        <f t="shared" si="25"/>
        <v>44.612499999999997</v>
      </c>
      <c r="Q141" s="1281">
        <f t="shared" si="26"/>
        <v>37.568421052631578</v>
      </c>
      <c r="R141" s="1280">
        <v>0.8</v>
      </c>
      <c r="S141" s="1280">
        <v>0.95</v>
      </c>
      <c r="T141" s="1347" t="s">
        <v>1104</v>
      </c>
      <c r="U141" s="1273"/>
      <c r="V141" s="1274"/>
      <c r="W141" s="1274"/>
      <c r="X141" s="1274"/>
      <c r="Y141" s="142"/>
    </row>
    <row r="142" spans="1:30" s="1351" customFormat="1" x14ac:dyDescent="0.25">
      <c r="A142" s="2352"/>
      <c r="B142" s="2353">
        <v>106114314</v>
      </c>
      <c r="C142" s="2354" t="s">
        <v>1251</v>
      </c>
      <c r="D142" s="1349" t="s">
        <v>1356</v>
      </c>
      <c r="E142" s="1336" t="s">
        <v>2579</v>
      </c>
      <c r="F142" s="2355">
        <f t="shared" si="27"/>
        <v>51</v>
      </c>
      <c r="G142" s="2355">
        <f t="shared" si="28"/>
        <v>56</v>
      </c>
      <c r="H142" s="3832" t="s">
        <v>3801</v>
      </c>
      <c r="I142" s="2504">
        <v>3.6777777777777776</v>
      </c>
      <c r="J142" s="2356">
        <v>3.47</v>
      </c>
      <c r="K142" s="2356">
        <v>32.68</v>
      </c>
      <c r="L142" s="2356">
        <v>32.68</v>
      </c>
      <c r="M142" s="3836">
        <v>3.68</v>
      </c>
      <c r="N142" s="1318"/>
      <c r="O142" s="1318">
        <f t="shared" si="29"/>
        <v>5.9878322126160628E-2</v>
      </c>
      <c r="P142" s="2356">
        <f t="shared" si="25"/>
        <v>4.5999999999999996</v>
      </c>
      <c r="Q142" s="2356">
        <f t="shared" si="26"/>
        <v>3.8736842105263163</v>
      </c>
      <c r="R142" s="1280">
        <v>0.8</v>
      </c>
      <c r="S142" s="1280">
        <v>0.95</v>
      </c>
      <c r="T142" s="1280"/>
      <c r="U142" s="1280" t="s">
        <v>1104</v>
      </c>
      <c r="V142" s="1280"/>
      <c r="W142" s="1280"/>
      <c r="X142" s="1280"/>
      <c r="Y142" s="142"/>
      <c r="Z142" s="142"/>
      <c r="AA142" s="751"/>
      <c r="AB142" s="142"/>
      <c r="AC142" s="142">
        <v>106204083</v>
      </c>
      <c r="AD142" s="1351">
        <v>76.31</v>
      </c>
    </row>
    <row r="143" spans="1:30" ht="15.75" customHeight="1" x14ac:dyDescent="0.25">
      <c r="A143" s="1082" t="s">
        <v>127</v>
      </c>
      <c r="B143" s="1848">
        <v>106114372</v>
      </c>
      <c r="C143" s="1287" t="s">
        <v>1883</v>
      </c>
      <c r="D143" s="1349" t="s">
        <v>1884</v>
      </c>
      <c r="E143" s="1335" t="s">
        <v>1885</v>
      </c>
      <c r="F143" s="1083">
        <f t="shared" si="27"/>
        <v>42</v>
      </c>
      <c r="G143" s="1083">
        <f t="shared" si="28"/>
        <v>38</v>
      </c>
      <c r="H143" s="3832" t="s">
        <v>3798</v>
      </c>
      <c r="I143" s="2504">
        <v>49.866666666666667</v>
      </c>
      <c r="J143" s="2356">
        <v>49.49</v>
      </c>
      <c r="K143" s="2356">
        <v>53.26</v>
      </c>
      <c r="L143" s="1281">
        <v>36.22</v>
      </c>
      <c r="M143" s="3836">
        <v>49.87</v>
      </c>
      <c r="N143" s="1318">
        <f t="shared" ref="N143:N150" si="30">(J143-L143)/L143</f>
        <v>0.36637217007178363</v>
      </c>
      <c r="O143" s="1318">
        <f t="shared" si="29"/>
        <v>7.610965178150437E-3</v>
      </c>
      <c r="P143" s="1281">
        <f t="shared" si="25"/>
        <v>62.337499999999991</v>
      </c>
      <c r="Q143" s="1281">
        <f t="shared" si="26"/>
        <v>52.494736842105262</v>
      </c>
      <c r="R143" s="1280">
        <v>0.8</v>
      </c>
      <c r="S143" s="1280">
        <v>0.95</v>
      </c>
      <c r="T143" s="1347"/>
      <c r="U143" s="1347"/>
      <c r="V143" s="1347" t="s">
        <v>1104</v>
      </c>
      <c r="W143" s="1347"/>
      <c r="X143" s="1347"/>
      <c r="Y143" s="2218"/>
      <c r="AB143" s="2118" t="s">
        <v>649</v>
      </c>
    </row>
    <row r="144" spans="1:30" ht="15.75" customHeight="1" x14ac:dyDescent="0.25">
      <c r="A144" s="1082" t="s">
        <v>298</v>
      </c>
      <c r="B144" s="1848">
        <v>106114697</v>
      </c>
      <c r="C144" s="1287" t="s">
        <v>1886</v>
      </c>
      <c r="D144" s="1349" t="s">
        <v>1248</v>
      </c>
      <c r="E144" s="1335" t="s">
        <v>1249</v>
      </c>
      <c r="F144" s="1083">
        <f t="shared" si="27"/>
        <v>37</v>
      </c>
      <c r="G144" s="1083">
        <f t="shared" si="28"/>
        <v>27</v>
      </c>
      <c r="H144" s="3832" t="s">
        <v>3798</v>
      </c>
      <c r="I144" s="2504">
        <v>1.0666666666666667</v>
      </c>
      <c r="J144" s="2356">
        <v>1.08</v>
      </c>
      <c r="K144" s="2356">
        <v>1.08</v>
      </c>
      <c r="L144" s="1281">
        <v>1.1299999999999999</v>
      </c>
      <c r="M144" s="3836">
        <v>1.08</v>
      </c>
      <c r="N144" s="1318">
        <f t="shared" si="30"/>
        <v>-4.4247787610619316E-2</v>
      </c>
      <c r="O144" s="1318">
        <f t="shared" si="29"/>
        <v>-1.2345679012345758E-2</v>
      </c>
      <c r="P144" s="1281">
        <f t="shared" si="25"/>
        <v>1.35</v>
      </c>
      <c r="Q144" s="1281">
        <f t="shared" si="26"/>
        <v>1.1368421052631581</v>
      </c>
      <c r="R144" s="1280">
        <v>0.8</v>
      </c>
      <c r="S144" s="1280">
        <v>0.95</v>
      </c>
      <c r="T144" s="1083"/>
      <c r="U144" s="1347" t="s">
        <v>1104</v>
      </c>
      <c r="V144" s="1083"/>
      <c r="W144" s="1083"/>
      <c r="X144" s="1083"/>
      <c r="Y144" s="1350"/>
      <c r="AB144" s="2118" t="s">
        <v>649</v>
      </c>
    </row>
    <row r="145" spans="1:30" ht="15.75" customHeight="1" x14ac:dyDescent="0.25">
      <c r="A145" s="1082" t="s">
        <v>261</v>
      </c>
      <c r="B145" s="1848">
        <v>106114700</v>
      </c>
      <c r="C145" s="1287" t="s">
        <v>1887</v>
      </c>
      <c r="D145" s="1348" t="s">
        <v>1770</v>
      </c>
      <c r="E145" s="1335" t="s">
        <v>1771</v>
      </c>
      <c r="F145" s="1083">
        <f t="shared" si="27"/>
        <v>40</v>
      </c>
      <c r="G145" s="1083">
        <f t="shared" si="28"/>
        <v>28</v>
      </c>
      <c r="H145" s="3832" t="s">
        <v>3797</v>
      </c>
      <c r="I145" s="2504">
        <v>74.277777777777771</v>
      </c>
      <c r="J145" s="2356">
        <v>74.28</v>
      </c>
      <c r="K145" s="2356">
        <v>75.739999999999995</v>
      </c>
      <c r="L145" s="1281"/>
      <c r="M145" s="3836">
        <v>74.28</v>
      </c>
      <c r="N145" s="1318" t="e">
        <f t="shared" si="30"/>
        <v>#DIV/0!</v>
      </c>
      <c r="O145" s="1318">
        <f t="shared" si="29"/>
        <v>-2.9916831209338649E-5</v>
      </c>
      <c r="P145" s="1281">
        <f t="shared" si="25"/>
        <v>92.85</v>
      </c>
      <c r="Q145" s="1281">
        <f t="shared" si="26"/>
        <v>78.189473684210526</v>
      </c>
      <c r="R145" s="1280">
        <v>0.8</v>
      </c>
      <c r="S145" s="1280">
        <v>0.95</v>
      </c>
      <c r="T145" s="1280"/>
      <c r="U145" s="1347" t="s">
        <v>1104</v>
      </c>
      <c r="V145" s="1347" t="s">
        <v>1104</v>
      </c>
      <c r="W145" s="1347"/>
      <c r="X145" s="1347"/>
      <c r="Y145" s="1804" t="s">
        <v>1104</v>
      </c>
      <c r="Z145" s="1804" t="s">
        <v>1104</v>
      </c>
      <c r="AB145" s="1565" t="s">
        <v>1489</v>
      </c>
      <c r="AC145" s="1565"/>
    </row>
    <row r="146" spans="1:30" ht="15.75" customHeight="1" x14ac:dyDescent="0.25">
      <c r="A146" s="1082" t="s">
        <v>122</v>
      </c>
      <c r="B146" s="1848">
        <v>106114701</v>
      </c>
      <c r="C146" s="1287" t="s">
        <v>1888</v>
      </c>
      <c r="D146" s="1348" t="s">
        <v>1243</v>
      </c>
      <c r="E146" s="1335" t="s">
        <v>1244</v>
      </c>
      <c r="F146" s="1083">
        <f t="shared" si="27"/>
        <v>34</v>
      </c>
      <c r="G146" s="1083">
        <f t="shared" si="28"/>
        <v>22</v>
      </c>
      <c r="H146" s="3832" t="s">
        <v>3798</v>
      </c>
      <c r="I146" s="2504">
        <v>74.277777777777771</v>
      </c>
      <c r="J146" s="2356">
        <v>74.28</v>
      </c>
      <c r="K146" s="2356">
        <v>92.97</v>
      </c>
      <c r="L146" s="1281">
        <v>95.44</v>
      </c>
      <c r="M146" s="3836">
        <f>M145</f>
        <v>74.28</v>
      </c>
      <c r="N146" s="1318">
        <f t="shared" si="30"/>
        <v>-0.22170997485331095</v>
      </c>
      <c r="O146" s="1318">
        <f t="shared" si="29"/>
        <v>-2.9916831209338649E-5</v>
      </c>
      <c r="P146" s="1281">
        <f t="shared" si="25"/>
        <v>92.85</v>
      </c>
      <c r="Q146" s="1281">
        <f t="shared" si="26"/>
        <v>78.189473684210526</v>
      </c>
      <c r="R146" s="1280">
        <v>0.8</v>
      </c>
      <c r="S146" s="1280">
        <v>0.95</v>
      </c>
      <c r="T146" s="1347"/>
      <c r="U146" s="1347" t="s">
        <v>1104</v>
      </c>
      <c r="V146" s="1347" t="s">
        <v>1104</v>
      </c>
      <c r="W146" s="1347" t="s">
        <v>1104</v>
      </c>
      <c r="X146" s="1347"/>
      <c r="Y146" s="142"/>
      <c r="AB146" s="2118" t="s">
        <v>649</v>
      </c>
    </row>
    <row r="147" spans="1:30" s="1351" customFormat="1" ht="15.75" customHeight="1" x14ac:dyDescent="0.25">
      <c r="A147" s="2360" t="s">
        <v>1272</v>
      </c>
      <c r="B147" s="2353">
        <v>106114790</v>
      </c>
      <c r="C147" s="2354" t="s">
        <v>1889</v>
      </c>
      <c r="D147" s="1349" t="s">
        <v>1369</v>
      </c>
      <c r="E147" s="1336" t="s">
        <v>2580</v>
      </c>
      <c r="F147" s="2355">
        <f t="shared" si="27"/>
        <v>45</v>
      </c>
      <c r="G147" s="2355">
        <f t="shared" si="28"/>
        <v>50</v>
      </c>
      <c r="H147" s="3832" t="s">
        <v>3801</v>
      </c>
      <c r="I147" s="2504">
        <v>21.044444444444444</v>
      </c>
      <c r="J147" s="2356">
        <v>21.04</v>
      </c>
      <c r="K147" s="2356">
        <v>21.73</v>
      </c>
      <c r="L147" s="2356">
        <v>21.73</v>
      </c>
      <c r="M147" s="3836">
        <v>21.04</v>
      </c>
      <c r="N147" s="1318">
        <f t="shared" si="30"/>
        <v>-3.17533364012886E-2</v>
      </c>
      <c r="O147" s="1318">
        <f t="shared" si="29"/>
        <v>2.1123785382343819E-4</v>
      </c>
      <c r="P147" s="2356">
        <f t="shared" si="25"/>
        <v>26.299999999999997</v>
      </c>
      <c r="Q147" s="2356">
        <f t="shared" si="26"/>
        <v>22.147368421052633</v>
      </c>
      <c r="R147" s="1280">
        <v>0.8</v>
      </c>
      <c r="S147" s="1280">
        <v>0.95</v>
      </c>
      <c r="T147" s="1280"/>
      <c r="U147" s="1280" t="s">
        <v>1104</v>
      </c>
      <c r="V147" s="1280"/>
      <c r="W147" s="1280"/>
      <c r="X147" s="1280"/>
      <c r="Y147" s="142"/>
      <c r="Z147" s="2121"/>
      <c r="AA147" s="751"/>
      <c r="AB147" s="142"/>
      <c r="AC147" s="142">
        <v>106113623</v>
      </c>
    </row>
    <row r="148" spans="1:30" ht="15.75" customHeight="1" x14ac:dyDescent="0.25">
      <c r="A148" s="1082" t="s">
        <v>71</v>
      </c>
      <c r="B148" s="1848">
        <v>106114829</v>
      </c>
      <c r="C148" s="1287" t="s">
        <v>1890</v>
      </c>
      <c r="D148" s="1349" t="s">
        <v>1821</v>
      </c>
      <c r="E148" s="1337" t="s">
        <v>1822</v>
      </c>
      <c r="F148" s="1083">
        <f t="shared" si="27"/>
        <v>29</v>
      </c>
      <c r="G148" s="1083">
        <f t="shared" si="28"/>
        <v>35</v>
      </c>
      <c r="H148" s="3832" t="s">
        <v>3798</v>
      </c>
      <c r="I148" s="2504">
        <v>31.022222222222222</v>
      </c>
      <c r="J148" s="2356">
        <v>31.02</v>
      </c>
      <c r="K148" s="2356">
        <v>31.02</v>
      </c>
      <c r="L148" s="1281">
        <v>31.02</v>
      </c>
      <c r="M148" s="3836">
        <v>31.02</v>
      </c>
      <c r="N148" s="1318">
        <f t="shared" si="30"/>
        <v>0</v>
      </c>
      <c r="O148" s="1318">
        <f t="shared" si="29"/>
        <v>7.1638369510721142E-5</v>
      </c>
      <c r="P148" s="1281">
        <f t="shared" si="25"/>
        <v>38.774999999999999</v>
      </c>
      <c r="Q148" s="1281">
        <f t="shared" si="26"/>
        <v>32.652631578947371</v>
      </c>
      <c r="R148" s="1280">
        <v>0.8</v>
      </c>
      <c r="S148" s="1280">
        <v>0.95</v>
      </c>
      <c r="T148" s="1347" t="s">
        <v>1104</v>
      </c>
      <c r="U148" s="1273"/>
      <c r="V148" s="1347"/>
      <c r="W148" s="1347"/>
      <c r="X148" s="1347"/>
      <c r="Y148" s="1350"/>
      <c r="AB148" s="2218" t="s">
        <v>649</v>
      </c>
      <c r="AC148" s="2218"/>
    </row>
    <row r="149" spans="1:30" ht="15.75" customHeight="1" x14ac:dyDescent="0.25">
      <c r="A149" s="1082" t="s">
        <v>287</v>
      </c>
      <c r="B149" s="1848">
        <v>106115185</v>
      </c>
      <c r="C149" s="1287" t="s">
        <v>1891</v>
      </c>
      <c r="D149" s="1349" t="s">
        <v>1225</v>
      </c>
      <c r="E149" s="1335" t="s">
        <v>1226</v>
      </c>
      <c r="F149" s="1083">
        <f t="shared" si="27"/>
        <v>27</v>
      </c>
      <c r="G149" s="1083">
        <f t="shared" si="28"/>
        <v>24</v>
      </c>
      <c r="H149" s="3832" t="s">
        <v>3798</v>
      </c>
      <c r="I149" s="2504">
        <v>1.0777777777777777</v>
      </c>
      <c r="J149" s="2356">
        <v>1.0900000000000001</v>
      </c>
      <c r="K149" s="2356">
        <v>1.0900000000000001</v>
      </c>
      <c r="L149" s="1281">
        <v>1.08</v>
      </c>
      <c r="M149" s="3836">
        <v>1.0900000000000001</v>
      </c>
      <c r="N149" s="1318">
        <f t="shared" si="30"/>
        <v>9.2592592592592674E-3</v>
      </c>
      <c r="O149" s="1318">
        <f t="shared" si="29"/>
        <v>-1.1213047910295738E-2</v>
      </c>
      <c r="P149" s="1281">
        <f t="shared" si="25"/>
        <v>1.3625</v>
      </c>
      <c r="Q149" s="1281">
        <f t="shared" si="26"/>
        <v>1.1473684210526318</v>
      </c>
      <c r="R149" s="1280">
        <v>0.8</v>
      </c>
      <c r="S149" s="1280">
        <v>0.95</v>
      </c>
      <c r="T149" s="1347"/>
      <c r="U149" s="1347" t="s">
        <v>1104</v>
      </c>
      <c r="V149" s="1347"/>
      <c r="W149" s="1347"/>
      <c r="X149" s="1347"/>
      <c r="AA149" s="2623"/>
      <c r="AB149" s="2219" t="s">
        <v>649</v>
      </c>
      <c r="AC149" s="2219"/>
      <c r="AD149" s="2221"/>
    </row>
    <row r="150" spans="1:30" x14ac:dyDescent="0.25">
      <c r="A150" s="1287" t="s">
        <v>1116</v>
      </c>
      <c r="B150" s="1848">
        <v>106116005</v>
      </c>
      <c r="C150" s="1287" t="s">
        <v>1892</v>
      </c>
      <c r="D150" s="1549" t="s">
        <v>1498</v>
      </c>
      <c r="E150" s="1550" t="s">
        <v>1499</v>
      </c>
      <c r="F150" s="1044">
        <f t="shared" si="27"/>
        <v>26</v>
      </c>
      <c r="G150" s="1044">
        <f t="shared" si="28"/>
        <v>23</v>
      </c>
      <c r="H150" s="3832" t="s">
        <v>3798</v>
      </c>
      <c r="I150" s="2504">
        <v>3.1111111111111107</v>
      </c>
      <c r="J150" s="2358">
        <v>3.11</v>
      </c>
      <c r="K150" s="2358">
        <v>3.11</v>
      </c>
      <c r="L150" s="1542">
        <v>3.11</v>
      </c>
      <c r="M150" s="3837">
        <v>3.11</v>
      </c>
      <c r="N150" s="1318">
        <f t="shared" si="30"/>
        <v>0</v>
      </c>
      <c r="O150" s="1318">
        <f t="shared" si="29"/>
        <v>3.5727045373338932E-4</v>
      </c>
      <c r="P150" s="1542">
        <f t="shared" si="25"/>
        <v>3.8874999999999997</v>
      </c>
      <c r="Q150" s="1542">
        <f t="shared" si="26"/>
        <v>3.2736842105263158</v>
      </c>
      <c r="R150" s="1280">
        <v>0.8</v>
      </c>
      <c r="S150" s="1280">
        <v>0.95</v>
      </c>
      <c r="T150" s="274"/>
      <c r="U150" s="274" t="s">
        <v>1104</v>
      </c>
      <c r="V150" s="274" t="s">
        <v>1104</v>
      </c>
      <c r="W150" s="274"/>
      <c r="X150" s="274"/>
      <c r="Y150" s="2217"/>
      <c r="Z150" s="1804" t="s">
        <v>1104</v>
      </c>
      <c r="AB150" s="2217" t="s">
        <v>649</v>
      </c>
      <c r="AC150" s="2217"/>
      <c r="AD150" s="794"/>
    </row>
    <row r="151" spans="1:30" s="1351" customFormat="1" x14ac:dyDescent="0.25">
      <c r="A151" s="2352"/>
      <c r="B151" s="2353">
        <v>106116202</v>
      </c>
      <c r="C151" s="2354" t="s">
        <v>1260</v>
      </c>
      <c r="D151" s="1349" t="s">
        <v>1259</v>
      </c>
      <c r="E151" s="1336" t="s">
        <v>2581</v>
      </c>
      <c r="F151" s="2355">
        <f t="shared" si="27"/>
        <v>42</v>
      </c>
      <c r="G151" s="2355">
        <f t="shared" si="28"/>
        <v>46</v>
      </c>
      <c r="H151" s="3832" t="s">
        <v>3801</v>
      </c>
      <c r="I151" s="2504">
        <v>3.8111111111111113</v>
      </c>
      <c r="J151" s="2356">
        <v>3.8</v>
      </c>
      <c r="K151" s="2356">
        <v>3.81</v>
      </c>
      <c r="L151" s="2356">
        <v>3.81</v>
      </c>
      <c r="M151" s="3836">
        <v>3.81</v>
      </c>
      <c r="N151" s="1318"/>
      <c r="O151" s="1318">
        <f t="shared" si="29"/>
        <v>2.923976608187241E-3</v>
      </c>
      <c r="P151" s="2356">
        <f t="shared" si="25"/>
        <v>4.7625000000000002</v>
      </c>
      <c r="Q151" s="2356">
        <f t="shared" si="26"/>
        <v>4.0105263157894742</v>
      </c>
      <c r="R151" s="1280">
        <v>0.8</v>
      </c>
      <c r="S151" s="1280">
        <v>0.95</v>
      </c>
      <c r="T151" s="1280"/>
      <c r="U151" s="1280" t="s">
        <v>1104</v>
      </c>
      <c r="V151" s="1280"/>
      <c r="W151" s="1280"/>
      <c r="X151" s="1280"/>
      <c r="Y151" s="142"/>
      <c r="Z151" s="142"/>
      <c r="AA151" s="751"/>
      <c r="AB151" s="142"/>
      <c r="AC151" s="142"/>
    </row>
    <row r="152" spans="1:30" x14ac:dyDescent="0.25">
      <c r="A152" s="1082" t="s">
        <v>1046</v>
      </c>
      <c r="B152" s="1848">
        <v>106117401</v>
      </c>
      <c r="C152" s="1287" t="s">
        <v>1893</v>
      </c>
      <c r="D152" s="1549" t="s">
        <v>1894</v>
      </c>
      <c r="E152" s="1550" t="s">
        <v>1518</v>
      </c>
      <c r="F152" s="1083">
        <f t="shared" si="27"/>
        <v>25</v>
      </c>
      <c r="G152" s="1083">
        <f t="shared" si="28"/>
        <v>22</v>
      </c>
      <c r="H152" s="3832" t="s">
        <v>3798</v>
      </c>
      <c r="I152" s="2504">
        <v>0.93333333333333324</v>
      </c>
      <c r="J152" s="2356">
        <v>0.33</v>
      </c>
      <c r="K152" s="2356">
        <v>0.33</v>
      </c>
      <c r="L152" s="1281">
        <v>0.33</v>
      </c>
      <c r="M152" s="3836">
        <v>0.93</v>
      </c>
      <c r="N152" s="1318">
        <f t="shared" ref="N152:N192" si="31">(J152-L152)/L152</f>
        <v>0</v>
      </c>
      <c r="O152" s="1318">
        <f t="shared" si="29"/>
        <v>1.8282828282828281</v>
      </c>
      <c r="P152" s="1281">
        <f t="shared" si="25"/>
        <v>1.1625000000000001</v>
      </c>
      <c r="Q152" s="1281">
        <f t="shared" si="26"/>
        <v>0.97894736842105268</v>
      </c>
      <c r="R152" s="1280">
        <v>0.8</v>
      </c>
      <c r="S152" s="1280">
        <v>0.95</v>
      </c>
      <c r="T152" s="1347"/>
      <c r="U152" s="1347" t="s">
        <v>1104</v>
      </c>
      <c r="V152" s="1347"/>
      <c r="W152" s="1347"/>
      <c r="X152" s="1347"/>
      <c r="AB152" s="2118" t="s">
        <v>649</v>
      </c>
    </row>
    <row r="153" spans="1:30" x14ac:dyDescent="0.25">
      <c r="A153" s="1082" t="s">
        <v>1119</v>
      </c>
      <c r="B153" s="1848">
        <v>106117953</v>
      </c>
      <c r="C153" s="1287" t="s">
        <v>1895</v>
      </c>
      <c r="D153" s="1348" t="s">
        <v>1896</v>
      </c>
      <c r="E153" s="1335" t="s">
        <v>1511</v>
      </c>
      <c r="F153" s="1083">
        <f t="shared" si="27"/>
        <v>26</v>
      </c>
      <c r="G153" s="1083">
        <f t="shared" si="28"/>
        <v>24</v>
      </c>
      <c r="H153" s="3832" t="s">
        <v>3798</v>
      </c>
      <c r="I153" s="2504">
        <v>2.1444444444444444</v>
      </c>
      <c r="J153" s="2356">
        <v>2.14</v>
      </c>
      <c r="K153" s="2356">
        <v>2.14</v>
      </c>
      <c r="L153" s="1281">
        <v>2.14</v>
      </c>
      <c r="M153" s="3836">
        <v>2.14</v>
      </c>
      <c r="N153" s="1318">
        <f t="shared" si="31"/>
        <v>0</v>
      </c>
      <c r="O153" s="1318">
        <f t="shared" si="29"/>
        <v>2.0768431983384347E-3</v>
      </c>
      <c r="P153" s="1281">
        <f t="shared" si="25"/>
        <v>2.6749999999999998</v>
      </c>
      <c r="Q153" s="1281">
        <f t="shared" si="26"/>
        <v>2.2526315789473688</v>
      </c>
      <c r="R153" s="1280">
        <v>0.8</v>
      </c>
      <c r="S153" s="1280">
        <v>0.95</v>
      </c>
      <c r="T153" s="1280"/>
      <c r="U153" s="1280"/>
      <c r="V153" s="1280"/>
      <c r="W153" s="1280"/>
      <c r="X153" s="1280"/>
      <c r="Y153" s="1804" t="s">
        <v>1104</v>
      </c>
      <c r="Z153" s="1804" t="s">
        <v>1104</v>
      </c>
      <c r="AB153" s="2118" t="s">
        <v>649</v>
      </c>
    </row>
    <row r="154" spans="1:30" x14ac:dyDescent="0.25">
      <c r="A154" s="1082" t="s">
        <v>1119</v>
      </c>
      <c r="B154" s="1848">
        <v>106118069</v>
      </c>
      <c r="C154" s="1287" t="s">
        <v>1897</v>
      </c>
      <c r="D154" s="1348" t="s">
        <v>1898</v>
      </c>
      <c r="E154" s="1335" t="s">
        <v>1508</v>
      </c>
      <c r="F154" s="1083">
        <f t="shared" si="27"/>
        <v>27</v>
      </c>
      <c r="G154" s="1083">
        <f t="shared" si="28"/>
        <v>25</v>
      </c>
      <c r="H154" s="3832" t="s">
        <v>3798</v>
      </c>
      <c r="I154" s="2504">
        <v>1.6888888888888889</v>
      </c>
      <c r="J154" s="2356">
        <v>5.56</v>
      </c>
      <c r="K154" s="2356">
        <v>5.56</v>
      </c>
      <c r="L154" s="1281">
        <v>5.56</v>
      </c>
      <c r="M154" s="3836">
        <v>3.2</v>
      </c>
      <c r="N154" s="1318">
        <f t="shared" si="31"/>
        <v>0</v>
      </c>
      <c r="O154" s="1318">
        <f t="shared" si="29"/>
        <v>-0.69624300559552355</v>
      </c>
      <c r="P154" s="1281">
        <f t="shared" si="25"/>
        <v>4</v>
      </c>
      <c r="Q154" s="1281">
        <f t="shared" si="26"/>
        <v>3.3684210526315792</v>
      </c>
      <c r="R154" s="1280">
        <v>0.8</v>
      </c>
      <c r="S154" s="1280">
        <v>0.95</v>
      </c>
      <c r="T154" s="1280"/>
      <c r="U154" s="1280"/>
      <c r="V154" s="1280"/>
      <c r="W154" s="1280"/>
      <c r="X154" s="1280"/>
      <c r="Y154" s="1804" t="s">
        <v>1104</v>
      </c>
      <c r="Z154" s="1804" t="s">
        <v>1104</v>
      </c>
      <c r="AB154" s="2118" t="s">
        <v>649</v>
      </c>
    </row>
    <row r="155" spans="1:30" x14ac:dyDescent="0.25">
      <c r="A155" s="1082" t="s">
        <v>1590</v>
      </c>
      <c r="B155" s="1848">
        <v>106118326</v>
      </c>
      <c r="C155" s="291" t="s">
        <v>2413</v>
      </c>
      <c r="D155" s="1358" t="s">
        <v>2313</v>
      </c>
      <c r="E155" s="1356" t="s">
        <v>2314</v>
      </c>
      <c r="F155" s="1083">
        <f t="shared" si="27"/>
        <v>27</v>
      </c>
      <c r="G155" s="1083">
        <f t="shared" si="28"/>
        <v>26</v>
      </c>
      <c r="H155" s="3832" t="s">
        <v>3801</v>
      </c>
      <c r="I155" s="2504">
        <v>491.75555555555553</v>
      </c>
      <c r="J155" s="2356">
        <v>491.76</v>
      </c>
      <c r="K155" s="2356">
        <v>514.30999999999995</v>
      </c>
      <c r="L155" s="1281">
        <v>514.30999999999995</v>
      </c>
      <c r="M155" s="3836">
        <v>491.76</v>
      </c>
      <c r="N155" s="1318">
        <f t="shared" si="31"/>
        <v>-4.3845151756722517E-2</v>
      </c>
      <c r="O155" s="1318">
        <f t="shared" si="29"/>
        <v>-9.0378323663155807E-6</v>
      </c>
      <c r="P155" s="1281">
        <f t="shared" si="25"/>
        <v>614.69999999999993</v>
      </c>
      <c r="Q155" s="1281">
        <f t="shared" si="26"/>
        <v>517.64210526315787</v>
      </c>
      <c r="R155" s="1280">
        <v>0.8</v>
      </c>
      <c r="S155" s="1280">
        <v>0.95</v>
      </c>
      <c r="T155" s="1383"/>
      <c r="W155" s="2633" t="s">
        <v>1104</v>
      </c>
    </row>
    <row r="156" spans="1:30" x14ac:dyDescent="0.25">
      <c r="A156" s="1082" t="s">
        <v>290</v>
      </c>
      <c r="B156" s="1848">
        <v>106118327</v>
      </c>
      <c r="C156" s="291" t="s">
        <v>2414</v>
      </c>
      <c r="D156" s="1358" t="s">
        <v>2317</v>
      </c>
      <c r="E156" s="1356" t="s">
        <v>2318</v>
      </c>
      <c r="F156" s="1083">
        <f t="shared" si="27"/>
        <v>33</v>
      </c>
      <c r="G156" s="1083">
        <f t="shared" si="28"/>
        <v>33</v>
      </c>
      <c r="H156" s="3832" t="s">
        <v>3797</v>
      </c>
      <c r="I156" s="2504">
        <v>869.41111111111115</v>
      </c>
      <c r="J156" s="2356">
        <v>869.41</v>
      </c>
      <c r="K156" s="2356">
        <v>764.5</v>
      </c>
      <c r="L156" s="1281">
        <v>764.5</v>
      </c>
      <c r="M156" s="3836">
        <v>869.41</v>
      </c>
      <c r="N156" s="1318">
        <f t="shared" si="31"/>
        <v>0.13722694571615432</v>
      </c>
      <c r="O156" s="1318">
        <f t="shared" si="29"/>
        <v>1.2780059019172679E-6</v>
      </c>
      <c r="P156" s="1281">
        <f t="shared" si="25"/>
        <v>1086.7624999999998</v>
      </c>
      <c r="Q156" s="1281">
        <f t="shared" si="26"/>
        <v>915.16842105263163</v>
      </c>
      <c r="R156" s="1280">
        <v>0.8</v>
      </c>
      <c r="S156" s="1280">
        <v>0.95</v>
      </c>
      <c r="T156" s="1383"/>
      <c r="W156" s="2633" t="s">
        <v>1104</v>
      </c>
    </row>
    <row r="157" spans="1:30" x14ac:dyDescent="0.25">
      <c r="A157" s="1082" t="s">
        <v>301</v>
      </c>
      <c r="B157" s="1848">
        <v>106118330</v>
      </c>
      <c r="C157" s="291" t="s">
        <v>2415</v>
      </c>
      <c r="D157" s="1358" t="s">
        <v>1706</v>
      </c>
      <c r="E157" s="1356" t="s">
        <v>2325</v>
      </c>
      <c r="F157" s="1083">
        <f t="shared" si="27"/>
        <v>41</v>
      </c>
      <c r="G157" s="1083">
        <f t="shared" si="28"/>
        <v>33</v>
      </c>
      <c r="H157" s="3832" t="s">
        <v>3801</v>
      </c>
      <c r="I157" s="2504">
        <v>19.977777777777778</v>
      </c>
      <c r="J157" s="2356">
        <v>19.98</v>
      </c>
      <c r="K157" s="2356">
        <v>19.98</v>
      </c>
      <c r="L157" s="1281">
        <v>19.98</v>
      </c>
      <c r="M157" s="3836">
        <v>19.98</v>
      </c>
      <c r="N157" s="1318">
        <f t="shared" si="31"/>
        <v>0</v>
      </c>
      <c r="O157" s="1318">
        <f t="shared" si="29"/>
        <v>-1.1122233344457305E-4</v>
      </c>
      <c r="P157" s="1281">
        <f t="shared" si="25"/>
        <v>24.974999999999998</v>
      </c>
      <c r="Q157" s="1281">
        <f t="shared" si="26"/>
        <v>21.031578947368423</v>
      </c>
      <c r="R157" s="1280">
        <v>0.8</v>
      </c>
      <c r="S157" s="1280">
        <v>0.95</v>
      </c>
      <c r="T157" s="1383"/>
      <c r="W157" s="2633" t="s">
        <v>1104</v>
      </c>
    </row>
    <row r="158" spans="1:30" x14ac:dyDescent="0.25">
      <c r="A158" s="1082"/>
      <c r="B158" s="1848">
        <v>106118336</v>
      </c>
      <c r="C158" s="291" t="s">
        <v>2416</v>
      </c>
      <c r="D158" s="1358" t="s">
        <v>2527</v>
      </c>
      <c r="E158" s="1356" t="s">
        <v>2528</v>
      </c>
      <c r="F158" s="1083">
        <f t="shared" si="27"/>
        <v>44</v>
      </c>
      <c r="G158" s="1083">
        <f t="shared" si="28"/>
        <v>42</v>
      </c>
      <c r="H158" s="3832" t="s">
        <v>3797</v>
      </c>
      <c r="I158" s="2504">
        <v>129.33333333333334</v>
      </c>
      <c r="J158" s="2356">
        <v>129.33000000000001</v>
      </c>
      <c r="K158" s="2356">
        <v>129.33000000000001</v>
      </c>
      <c r="L158" s="1281">
        <v>129.33000000000001</v>
      </c>
      <c r="M158" s="3836">
        <v>129.33000000000001</v>
      </c>
      <c r="N158" s="1318">
        <f t="shared" si="31"/>
        <v>0</v>
      </c>
      <c r="O158" s="1318">
        <f t="shared" si="29"/>
        <v>2.5773860151011376E-5</v>
      </c>
      <c r="P158" s="1281">
        <f t="shared" si="25"/>
        <v>161.66249999999999</v>
      </c>
      <c r="Q158" s="1281">
        <f t="shared" si="26"/>
        <v>136.13684210526318</v>
      </c>
      <c r="R158" s="1280">
        <v>0.8</v>
      </c>
      <c r="S158" s="1280">
        <v>0.95</v>
      </c>
      <c r="T158" s="1383"/>
      <c r="W158" s="2633" t="s">
        <v>1104</v>
      </c>
    </row>
    <row r="159" spans="1:30" x14ac:dyDescent="0.25">
      <c r="A159" s="1082" t="s">
        <v>290</v>
      </c>
      <c r="B159" s="1848">
        <v>106118338</v>
      </c>
      <c r="C159" s="291" t="s">
        <v>2417</v>
      </c>
      <c r="D159" s="1358" t="s">
        <v>2384</v>
      </c>
      <c r="E159" s="1356" t="s">
        <v>2385</v>
      </c>
      <c r="F159" s="1083">
        <f t="shared" si="27"/>
        <v>33</v>
      </c>
      <c r="G159" s="1083">
        <f t="shared" si="28"/>
        <v>33</v>
      </c>
      <c r="H159" s="3832" t="s">
        <v>3797</v>
      </c>
      <c r="I159" s="2504">
        <v>422.08888888888885</v>
      </c>
      <c r="J159" s="2356">
        <v>422.09</v>
      </c>
      <c r="K159" s="2356">
        <v>422.09</v>
      </c>
      <c r="L159" s="1281">
        <v>422.09</v>
      </c>
      <c r="M159" s="3836">
        <v>422.09</v>
      </c>
      <c r="N159" s="1318">
        <f t="shared" si="31"/>
        <v>0</v>
      </c>
      <c r="O159" s="1318">
        <f t="shared" si="29"/>
        <v>-2.6324033052880865E-6</v>
      </c>
      <c r="P159" s="1281">
        <f t="shared" si="25"/>
        <v>527.61249999999995</v>
      </c>
      <c r="Q159" s="1281">
        <f t="shared" si="26"/>
        <v>444.30526315789473</v>
      </c>
      <c r="R159" s="1280">
        <v>0.8</v>
      </c>
      <c r="S159" s="1280">
        <v>0.95</v>
      </c>
      <c r="T159" s="1383"/>
      <c r="U159" s="2218"/>
      <c r="V159" s="2218"/>
      <c r="W159" s="2633" t="s">
        <v>1104</v>
      </c>
      <c r="X159" s="2218"/>
      <c r="Y159" s="2218"/>
      <c r="AB159" s="2218"/>
      <c r="AC159" s="2218"/>
    </row>
    <row r="160" spans="1:30" x14ac:dyDescent="0.25">
      <c r="A160" s="1082" t="s">
        <v>1590</v>
      </c>
      <c r="B160" s="1848">
        <v>106118341</v>
      </c>
      <c r="C160" s="291" t="s">
        <v>2418</v>
      </c>
      <c r="D160" s="1358" t="s">
        <v>2397</v>
      </c>
      <c r="E160" s="1356" t="s">
        <v>2398</v>
      </c>
      <c r="F160" s="1083">
        <f t="shared" si="27"/>
        <v>27</v>
      </c>
      <c r="G160" s="1083">
        <f t="shared" si="28"/>
        <v>26</v>
      </c>
      <c r="H160" s="3832" t="s">
        <v>3801</v>
      </c>
      <c r="I160" s="2504">
        <v>216.3111111111111</v>
      </c>
      <c r="J160" s="2356">
        <v>216.31</v>
      </c>
      <c r="K160" s="2356">
        <v>216.31</v>
      </c>
      <c r="L160" s="1281">
        <v>216.31</v>
      </c>
      <c r="M160" s="3836">
        <v>216.31</v>
      </c>
      <c r="N160" s="1318">
        <f t="shared" si="31"/>
        <v>0</v>
      </c>
      <c r="O160" s="1318">
        <f t="shared" si="29"/>
        <v>5.1366608621914227E-6</v>
      </c>
      <c r="P160" s="1281">
        <f t="shared" si="25"/>
        <v>270.38749999999999</v>
      </c>
      <c r="Q160" s="1281">
        <f t="shared" si="26"/>
        <v>227.69473684210527</v>
      </c>
      <c r="R160" s="1280">
        <v>0.8</v>
      </c>
      <c r="S160" s="1280">
        <v>0.95</v>
      </c>
      <c r="T160" s="1383"/>
      <c r="U160" s="2218"/>
      <c r="V160" s="2218"/>
      <c r="W160" s="2633" t="s">
        <v>1104</v>
      </c>
      <c r="X160" s="2218"/>
      <c r="Y160" s="2218"/>
      <c r="AB160" s="2218"/>
      <c r="AC160" s="2218" t="s">
        <v>1549</v>
      </c>
    </row>
    <row r="161" spans="1:29" x14ac:dyDescent="0.25">
      <c r="A161" s="1082" t="s">
        <v>1585</v>
      </c>
      <c r="B161" s="1848">
        <v>106118389</v>
      </c>
      <c r="C161" s="291" t="s">
        <v>2419</v>
      </c>
      <c r="D161" s="1358" t="s">
        <v>2222</v>
      </c>
      <c r="E161" s="1356" t="s">
        <v>2223</v>
      </c>
      <c r="F161" s="1083">
        <f t="shared" si="27"/>
        <v>27</v>
      </c>
      <c r="G161" s="1083">
        <f t="shared" si="28"/>
        <v>18</v>
      </c>
      <c r="H161" s="3832" t="s">
        <v>3798</v>
      </c>
      <c r="I161" s="2504">
        <v>2.0111111111111111</v>
      </c>
      <c r="J161" s="2356">
        <v>2.02</v>
      </c>
      <c r="K161" s="2356">
        <v>7.12</v>
      </c>
      <c r="L161" s="1281">
        <v>7.12</v>
      </c>
      <c r="M161" s="3836">
        <v>2.02</v>
      </c>
      <c r="N161" s="1318">
        <f t="shared" si="31"/>
        <v>-0.71629213483146059</v>
      </c>
      <c r="O161" s="1318">
        <f t="shared" si="29"/>
        <v>-4.4004400440044288E-3</v>
      </c>
      <c r="P161" s="1281">
        <f t="shared" ref="P161:P187" si="32">M161/R161</f>
        <v>2.5249999999999999</v>
      </c>
      <c r="Q161" s="1281">
        <f t="shared" ref="Q161:Q187" si="33">M161/S161</f>
        <v>2.1263157894736842</v>
      </c>
      <c r="R161" s="1280">
        <v>0.8</v>
      </c>
      <c r="S161" s="1280">
        <v>0.95</v>
      </c>
      <c r="T161" s="1383"/>
      <c r="U161" s="2218"/>
      <c r="V161" s="2218"/>
      <c r="W161" s="2633" t="s">
        <v>1104</v>
      </c>
      <c r="X161" s="2218"/>
      <c r="AB161" s="2118" t="s">
        <v>649</v>
      </c>
    </row>
    <row r="162" spans="1:29" x14ac:dyDescent="0.25">
      <c r="A162" s="1082" t="s">
        <v>2399</v>
      </c>
      <c r="B162" s="1848">
        <v>106118392</v>
      </c>
      <c r="C162" s="291" t="s">
        <v>2420</v>
      </c>
      <c r="D162" s="1358" t="s">
        <v>2369</v>
      </c>
      <c r="E162" s="1356" t="s">
        <v>2370</v>
      </c>
      <c r="F162" s="1083">
        <f t="shared" ref="F162:F184" si="34">LEN(D162)</f>
        <v>24</v>
      </c>
      <c r="G162" s="1083">
        <f t="shared" ref="G162:G184" si="35">LEN(E162)</f>
        <v>21</v>
      </c>
      <c r="H162" s="3832" t="s">
        <v>3798</v>
      </c>
      <c r="I162" s="2504">
        <v>1.5555555555555554</v>
      </c>
      <c r="J162" s="2356">
        <v>1.56</v>
      </c>
      <c r="K162" s="2356">
        <v>2.4300000000000002</v>
      </c>
      <c r="L162" s="1281">
        <v>1.56</v>
      </c>
      <c r="M162" s="3836">
        <v>1.56</v>
      </c>
      <c r="N162" s="1318">
        <f t="shared" si="31"/>
        <v>0</v>
      </c>
      <c r="O162" s="1318">
        <f t="shared" ref="O162:O193" si="36">(I162-J162)/J162</f>
        <v>-2.8490028490030096E-3</v>
      </c>
      <c r="P162" s="1281">
        <f t="shared" si="32"/>
        <v>1.95</v>
      </c>
      <c r="Q162" s="1281">
        <f t="shared" si="33"/>
        <v>1.642105263157895</v>
      </c>
      <c r="R162" s="1280">
        <v>0.8</v>
      </c>
      <c r="S162" s="1280">
        <v>0.95</v>
      </c>
      <c r="T162" s="1383"/>
      <c r="U162" s="2218"/>
      <c r="V162" s="2218"/>
      <c r="W162" s="2633" t="s">
        <v>1104</v>
      </c>
      <c r="X162" s="2218"/>
      <c r="AB162" s="2218" t="s">
        <v>649</v>
      </c>
      <c r="AC162" s="2218"/>
    </row>
    <row r="163" spans="1:29" x14ac:dyDescent="0.25">
      <c r="B163" s="1848">
        <v>106118733</v>
      </c>
      <c r="C163" s="794" t="s">
        <v>1813</v>
      </c>
      <c r="D163" s="1348" t="s">
        <v>1899</v>
      </c>
      <c r="E163" s="1335" t="s">
        <v>1385</v>
      </c>
      <c r="F163" s="1083">
        <f t="shared" si="34"/>
        <v>26</v>
      </c>
      <c r="G163" s="1083">
        <f t="shared" si="35"/>
        <v>24</v>
      </c>
      <c r="H163" s="3832" t="s">
        <v>3798</v>
      </c>
      <c r="I163" s="2504">
        <v>0.35388888888888886</v>
      </c>
      <c r="J163" s="2356">
        <v>0.35</v>
      </c>
      <c r="K163" s="2356">
        <v>0.35</v>
      </c>
      <c r="L163" s="1281">
        <v>0.35</v>
      </c>
      <c r="M163" s="3836">
        <v>0.35</v>
      </c>
      <c r="N163" s="1318">
        <f t="shared" si="31"/>
        <v>0</v>
      </c>
      <c r="O163" s="1318">
        <f t="shared" si="36"/>
        <v>1.1111111111111105E-2</v>
      </c>
      <c r="P163" s="1281">
        <f t="shared" si="32"/>
        <v>0.43749999999999994</v>
      </c>
      <c r="Q163" s="1281">
        <f t="shared" si="33"/>
        <v>0.36842105263157893</v>
      </c>
      <c r="R163" s="1280">
        <v>0.8</v>
      </c>
      <c r="S163" s="1280">
        <v>0.95</v>
      </c>
      <c r="T163" s="2218"/>
      <c r="U163" s="2218"/>
      <c r="V163" s="2218"/>
      <c r="X163" s="2218"/>
      <c r="Y163" s="2218"/>
      <c r="AA163" s="2621" t="s">
        <v>1104</v>
      </c>
      <c r="AB163" s="2118" t="s">
        <v>649</v>
      </c>
    </row>
    <row r="164" spans="1:29" x14ac:dyDescent="0.25">
      <c r="A164" s="1082"/>
      <c r="B164" s="1848">
        <v>106118986</v>
      </c>
      <c r="C164" s="291" t="s">
        <v>2421</v>
      </c>
      <c r="D164" s="1358" t="s">
        <v>2526</v>
      </c>
      <c r="E164" s="1356" t="s">
        <v>2517</v>
      </c>
      <c r="F164" s="1083">
        <f t="shared" si="34"/>
        <v>31</v>
      </c>
      <c r="G164" s="1083">
        <f t="shared" si="35"/>
        <v>33</v>
      </c>
      <c r="H164" s="3832" t="s">
        <v>3801</v>
      </c>
      <c r="I164" s="2504">
        <v>9.4444444444444446</v>
      </c>
      <c r="J164" s="2356">
        <v>9.4700000000000006</v>
      </c>
      <c r="K164" s="2356">
        <v>19.84</v>
      </c>
      <c r="L164" s="1281">
        <v>19.84</v>
      </c>
      <c r="M164" s="3836">
        <v>9.4700000000000006</v>
      </c>
      <c r="N164" s="1318">
        <f t="shared" si="31"/>
        <v>-0.52268145161290314</v>
      </c>
      <c r="O164" s="1318">
        <f t="shared" si="36"/>
        <v>-2.698580312096726E-3</v>
      </c>
      <c r="P164" s="1281">
        <f t="shared" si="32"/>
        <v>11.8375</v>
      </c>
      <c r="Q164" s="1281">
        <f t="shared" si="33"/>
        <v>9.9684210526315802</v>
      </c>
      <c r="R164" s="1280">
        <v>0.8</v>
      </c>
      <c r="S164" s="1280">
        <v>0.95</v>
      </c>
      <c r="T164" s="1383"/>
      <c r="U164" s="2218"/>
      <c r="V164" s="2218"/>
      <c r="W164" s="2633" t="s">
        <v>1104</v>
      </c>
      <c r="X164" s="2218"/>
      <c r="AB164" s="2218"/>
      <c r="AC164" s="2218"/>
    </row>
    <row r="165" spans="1:29" x14ac:dyDescent="0.25">
      <c r="A165" s="1082"/>
      <c r="B165" s="1848">
        <v>106120229</v>
      </c>
      <c r="C165" s="291" t="s">
        <v>2422</v>
      </c>
      <c r="D165" s="1358" t="s">
        <v>1583</v>
      </c>
      <c r="E165" s="1356" t="s">
        <v>1584</v>
      </c>
      <c r="F165" s="1083">
        <f t="shared" si="34"/>
        <v>21</v>
      </c>
      <c r="G165" s="1083">
        <f t="shared" si="35"/>
        <v>20</v>
      </c>
      <c r="H165" s="3832" t="s">
        <v>3801</v>
      </c>
      <c r="I165" s="2504">
        <v>40.522222222222219</v>
      </c>
      <c r="J165" s="2356">
        <v>40.520000000000003</v>
      </c>
      <c r="K165" s="2356">
        <v>40.520000000000003</v>
      </c>
      <c r="L165" s="1281">
        <v>40.520000000000003</v>
      </c>
      <c r="M165" s="3836">
        <v>40.520000000000003</v>
      </c>
      <c r="N165" s="1318">
        <f t="shared" si="31"/>
        <v>0</v>
      </c>
      <c r="O165" s="1318">
        <f t="shared" si="36"/>
        <v>5.484260173285943E-5</v>
      </c>
      <c r="P165" s="1281">
        <f t="shared" si="32"/>
        <v>50.65</v>
      </c>
      <c r="Q165" s="1281">
        <f t="shared" si="33"/>
        <v>42.652631578947371</v>
      </c>
      <c r="R165" s="1280">
        <v>0.8</v>
      </c>
      <c r="S165" s="1280">
        <v>0.95</v>
      </c>
      <c r="T165" s="1383"/>
      <c r="U165" s="2218"/>
      <c r="V165" s="2218"/>
      <c r="W165" s="2633" t="s">
        <v>1104</v>
      </c>
      <c r="X165" s="2218"/>
    </row>
    <row r="166" spans="1:29" x14ac:dyDescent="0.25">
      <c r="A166" s="1082" t="s">
        <v>1596</v>
      </c>
      <c r="B166" s="1848">
        <v>106120231</v>
      </c>
      <c r="C166" s="291" t="s">
        <v>2423</v>
      </c>
      <c r="D166" s="1358" t="s">
        <v>2329</v>
      </c>
      <c r="E166" s="1356" t="s">
        <v>2330</v>
      </c>
      <c r="F166" s="1083">
        <f t="shared" si="34"/>
        <v>29</v>
      </c>
      <c r="G166" s="1083">
        <f t="shared" si="35"/>
        <v>22</v>
      </c>
      <c r="H166" s="3832" t="s">
        <v>3797</v>
      </c>
      <c r="I166" s="2504">
        <v>147.22222222222223</v>
      </c>
      <c r="J166" s="2356">
        <v>147.22</v>
      </c>
      <c r="K166" s="2356">
        <v>147.11000000000001</v>
      </c>
      <c r="L166" s="1281">
        <v>147.11000000000001</v>
      </c>
      <c r="M166" s="3836">
        <v>147.22</v>
      </c>
      <c r="N166" s="1318">
        <f t="shared" si="31"/>
        <v>7.4773978655417854E-4</v>
      </c>
      <c r="O166" s="1318">
        <f t="shared" si="36"/>
        <v>1.509456746521991E-5</v>
      </c>
      <c r="P166" s="1281">
        <f t="shared" si="32"/>
        <v>184.02499999999998</v>
      </c>
      <c r="Q166" s="1281">
        <f t="shared" si="33"/>
        <v>154.96842105263158</v>
      </c>
      <c r="R166" s="1280">
        <v>0.8</v>
      </c>
      <c r="S166" s="1280">
        <v>0.95</v>
      </c>
      <c r="T166" s="1383"/>
      <c r="U166" s="2218"/>
      <c r="V166" s="2218"/>
      <c r="W166" s="2633" t="s">
        <v>1104</v>
      </c>
      <c r="X166" s="2218"/>
    </row>
    <row r="167" spans="1:29" x14ac:dyDescent="0.25">
      <c r="A167" s="1082" t="s">
        <v>29</v>
      </c>
      <c r="B167" s="1848">
        <v>106120233</v>
      </c>
      <c r="C167" s="291" t="s">
        <v>2424</v>
      </c>
      <c r="D167" s="1358" t="s">
        <v>2379</v>
      </c>
      <c r="E167" s="1335" t="s">
        <v>2763</v>
      </c>
      <c r="F167" s="1083">
        <f t="shared" si="34"/>
        <v>25</v>
      </c>
      <c r="G167" s="1083">
        <f t="shared" si="35"/>
        <v>25</v>
      </c>
      <c r="H167" s="3832" t="s">
        <v>3801</v>
      </c>
      <c r="I167" s="2504">
        <v>272.22222222222223</v>
      </c>
      <c r="J167" s="2356">
        <v>272.22000000000003</v>
      </c>
      <c r="K167" s="2356">
        <v>272.22000000000003</v>
      </c>
      <c r="L167" s="1281">
        <v>272.22000000000003</v>
      </c>
      <c r="M167" s="3836">
        <v>272.22000000000003</v>
      </c>
      <c r="N167" s="1318">
        <f t="shared" si="31"/>
        <v>0</v>
      </c>
      <c r="O167" s="1318">
        <f t="shared" si="36"/>
        <v>8.1633319454898718E-6</v>
      </c>
      <c r="P167" s="1281">
        <f t="shared" si="32"/>
        <v>340.27500000000003</v>
      </c>
      <c r="Q167" s="1281">
        <f t="shared" si="33"/>
        <v>286.54736842105268</v>
      </c>
      <c r="R167" s="1280">
        <v>0.8</v>
      </c>
      <c r="S167" s="1280">
        <v>0.95</v>
      </c>
      <c r="T167" s="1383"/>
      <c r="U167" s="2218"/>
      <c r="V167" s="2218"/>
      <c r="W167" s="2633" t="s">
        <v>1104</v>
      </c>
      <c r="X167" s="2218"/>
    </row>
    <row r="168" spans="1:29" x14ac:dyDescent="0.25">
      <c r="A168" s="1082" t="s">
        <v>341</v>
      </c>
      <c r="B168" s="1848">
        <v>106120234</v>
      </c>
      <c r="C168" s="291" t="s">
        <v>2425</v>
      </c>
      <c r="D168" s="1358" t="s">
        <v>2393</v>
      </c>
      <c r="E168" s="1356" t="s">
        <v>2394</v>
      </c>
      <c r="F168" s="1083">
        <f t="shared" si="34"/>
        <v>43</v>
      </c>
      <c r="G168" s="1083">
        <f t="shared" si="35"/>
        <v>32</v>
      </c>
      <c r="H168" s="3832" t="s">
        <v>3797</v>
      </c>
      <c r="I168" s="2504">
        <v>161.11111111111111</v>
      </c>
      <c r="J168" s="2356">
        <v>161.11000000000001</v>
      </c>
      <c r="K168" s="2356">
        <v>161.11000000000001</v>
      </c>
      <c r="L168" s="1281">
        <v>161.11000000000001</v>
      </c>
      <c r="M168" s="3836">
        <v>161.11000000000001</v>
      </c>
      <c r="N168" s="1318">
        <f t="shared" si="31"/>
        <v>0</v>
      </c>
      <c r="O168" s="1318">
        <f t="shared" si="36"/>
        <v>6.8965992868265571E-6</v>
      </c>
      <c r="P168" s="1281">
        <f t="shared" si="32"/>
        <v>201.38750000000002</v>
      </c>
      <c r="Q168" s="1281">
        <f t="shared" si="33"/>
        <v>169.58947368421056</v>
      </c>
      <c r="R168" s="1280">
        <v>0.8</v>
      </c>
      <c r="S168" s="1280">
        <v>0.95</v>
      </c>
      <c r="T168" s="1383"/>
      <c r="U168" s="2218"/>
      <c r="V168" s="2218"/>
      <c r="W168" s="2633" t="s">
        <v>1104</v>
      </c>
      <c r="X168" s="2218"/>
      <c r="AC168" s="1804" t="s">
        <v>1549</v>
      </c>
    </row>
    <row r="169" spans="1:29" x14ac:dyDescent="0.25">
      <c r="A169" s="1082" t="s">
        <v>29</v>
      </c>
      <c r="B169" s="1848">
        <v>106120235</v>
      </c>
      <c r="C169" s="291" t="s">
        <v>2764</v>
      </c>
      <c r="D169" s="1358" t="s">
        <v>2765</v>
      </c>
      <c r="E169" s="1335" t="s">
        <v>2766</v>
      </c>
      <c r="F169" s="1083">
        <f t="shared" si="34"/>
        <v>25</v>
      </c>
      <c r="G169" s="1083">
        <f t="shared" si="35"/>
        <v>25</v>
      </c>
      <c r="H169" s="3832" t="s">
        <v>3801</v>
      </c>
      <c r="I169" s="2504">
        <v>350</v>
      </c>
      <c r="J169" s="2356">
        <v>350</v>
      </c>
      <c r="K169" s="2356">
        <v>350</v>
      </c>
      <c r="L169" s="1281">
        <v>272.22000000000003</v>
      </c>
      <c r="M169" s="3836">
        <v>350</v>
      </c>
      <c r="N169" s="1318">
        <f t="shared" si="31"/>
        <v>0.28572478142678703</v>
      </c>
      <c r="O169" s="1318">
        <f t="shared" si="36"/>
        <v>0</v>
      </c>
      <c r="P169" s="1281">
        <f t="shared" si="32"/>
        <v>437.5</v>
      </c>
      <c r="Q169" s="1281">
        <f t="shared" si="33"/>
        <v>368.42105263157896</v>
      </c>
      <c r="R169" s="1280">
        <v>0.8</v>
      </c>
      <c r="S169" s="1280">
        <v>0.95</v>
      </c>
      <c r="T169" s="1383"/>
      <c r="U169" s="2633"/>
      <c r="V169" s="2633"/>
      <c r="W169" s="2633" t="s">
        <v>1104</v>
      </c>
      <c r="X169" s="2633"/>
      <c r="Y169" s="2633"/>
      <c r="Z169" s="2633"/>
      <c r="AA169" s="2705"/>
      <c r="AB169" s="2633"/>
      <c r="AC169" s="2633"/>
    </row>
    <row r="170" spans="1:29" x14ac:dyDescent="0.25">
      <c r="A170" s="1082" t="s">
        <v>341</v>
      </c>
      <c r="B170" s="1848">
        <v>106120236</v>
      </c>
      <c r="C170" s="291" t="s">
        <v>2432</v>
      </c>
      <c r="D170" s="1358" t="s">
        <v>2395</v>
      </c>
      <c r="E170" s="1335" t="s">
        <v>2396</v>
      </c>
      <c r="F170" s="1083">
        <f t="shared" si="34"/>
        <v>43</v>
      </c>
      <c r="G170" s="1083">
        <f t="shared" si="35"/>
        <v>32</v>
      </c>
      <c r="H170" s="3832" t="s">
        <v>3797</v>
      </c>
      <c r="I170" s="2504">
        <v>155.55555555555554</v>
      </c>
      <c r="J170" s="2356">
        <v>155.56</v>
      </c>
      <c r="K170" s="2356" t="s">
        <v>2604</v>
      </c>
      <c r="L170" s="1281" t="s">
        <v>0</v>
      </c>
      <c r="M170" s="3836">
        <v>155.56</v>
      </c>
      <c r="N170" s="1318" t="e">
        <f t="shared" si="31"/>
        <v>#VALUE!</v>
      </c>
      <c r="O170" s="1318">
        <f t="shared" si="36"/>
        <v>-2.8570612268316727E-5</v>
      </c>
      <c r="P170" s="1281">
        <f t="shared" si="32"/>
        <v>194.45</v>
      </c>
      <c r="Q170" s="1281">
        <f t="shared" si="33"/>
        <v>163.74736842105264</v>
      </c>
      <c r="R170" s="1280">
        <v>0.8</v>
      </c>
      <c r="S170" s="1280">
        <v>0.95</v>
      </c>
      <c r="T170" s="1383"/>
      <c r="U170" s="2633"/>
      <c r="V170" s="2633"/>
      <c r="W170" s="2633" t="s">
        <v>1104</v>
      </c>
      <c r="X170" s="2633"/>
      <c r="Y170" s="2633"/>
      <c r="Z170" s="2633"/>
      <c r="AA170" s="3623"/>
      <c r="AB170" s="2633"/>
      <c r="AC170" s="2633" t="s">
        <v>1549</v>
      </c>
    </row>
    <row r="171" spans="1:29" x14ac:dyDescent="0.25">
      <c r="A171" s="1082"/>
      <c r="B171" s="1848">
        <v>106120328</v>
      </c>
      <c r="C171" s="1287" t="s">
        <v>2433</v>
      </c>
      <c r="D171" s="1358" t="s">
        <v>2533</v>
      </c>
      <c r="E171" s="1356" t="s">
        <v>2534</v>
      </c>
      <c r="F171" s="1083">
        <f t="shared" si="34"/>
        <v>43</v>
      </c>
      <c r="G171" s="1083">
        <f t="shared" si="35"/>
        <v>41</v>
      </c>
      <c r="H171" s="3832" t="s">
        <v>3797</v>
      </c>
      <c r="I171" s="2504">
        <v>199.77777777777777</v>
      </c>
      <c r="J171" s="2356">
        <v>199.78</v>
      </c>
      <c r="K171" s="2356">
        <v>199.78</v>
      </c>
      <c r="L171" s="1281">
        <v>199.78</v>
      </c>
      <c r="M171" s="3836">
        <v>199.78</v>
      </c>
      <c r="N171" s="1318">
        <f t="shared" si="31"/>
        <v>0</v>
      </c>
      <c r="O171" s="1318">
        <f t="shared" si="36"/>
        <v>-1.1123346792620257E-5</v>
      </c>
      <c r="P171" s="1281">
        <f t="shared" si="32"/>
        <v>249.72499999999999</v>
      </c>
      <c r="Q171" s="1281">
        <f t="shared" si="33"/>
        <v>210.29473684210527</v>
      </c>
      <c r="R171" s="1280">
        <v>0.8</v>
      </c>
      <c r="S171" s="1280">
        <v>0.95</v>
      </c>
      <c r="T171" s="1383"/>
      <c r="U171" s="2218"/>
      <c r="V171" s="2218"/>
      <c r="W171" s="2633" t="s">
        <v>1104</v>
      </c>
      <c r="X171" s="2218"/>
    </row>
    <row r="172" spans="1:29" x14ac:dyDescent="0.25">
      <c r="A172" s="1082" t="s">
        <v>2372</v>
      </c>
      <c r="B172" s="1848">
        <v>106120332</v>
      </c>
      <c r="C172" s="291" t="s">
        <v>2426</v>
      </c>
      <c r="D172" s="1358" t="s">
        <v>2535</v>
      </c>
      <c r="E172" s="1356" t="s">
        <v>2536</v>
      </c>
      <c r="F172" s="1083">
        <f t="shared" si="34"/>
        <v>28</v>
      </c>
      <c r="G172" s="1083">
        <f t="shared" si="35"/>
        <v>28</v>
      </c>
      <c r="H172" s="3832" t="s">
        <v>3801</v>
      </c>
      <c r="I172" s="2504">
        <v>4.5555555555555554</v>
      </c>
      <c r="J172" s="2356">
        <v>4.5599999999999996</v>
      </c>
      <c r="K172" s="2356">
        <v>4.5599999999999996</v>
      </c>
      <c r="L172" s="1281">
        <v>4.5599999999999996</v>
      </c>
      <c r="M172" s="3836">
        <v>4.5599999999999996</v>
      </c>
      <c r="N172" s="1318">
        <f t="shared" si="31"/>
        <v>0</v>
      </c>
      <c r="O172" s="1318">
        <f t="shared" si="36"/>
        <v>-9.7465886939566916E-4</v>
      </c>
      <c r="P172" s="1281">
        <f t="shared" si="32"/>
        <v>5.6999999999999993</v>
      </c>
      <c r="Q172" s="1281">
        <f t="shared" si="33"/>
        <v>4.8</v>
      </c>
      <c r="R172" s="1280">
        <v>0.8</v>
      </c>
      <c r="S172" s="1280">
        <v>0.95</v>
      </c>
      <c r="T172" s="1383"/>
      <c r="U172" s="2218"/>
      <c r="V172" s="2218"/>
      <c r="W172" s="2633" t="s">
        <v>1104</v>
      </c>
      <c r="X172" s="2218"/>
      <c r="AB172" s="2218"/>
      <c r="AC172" s="2218"/>
    </row>
    <row r="173" spans="1:29" x14ac:dyDescent="0.25">
      <c r="A173" s="1082" t="s">
        <v>1587</v>
      </c>
      <c r="B173" s="1848">
        <v>106120336</v>
      </c>
      <c r="C173" s="291" t="s">
        <v>2427</v>
      </c>
      <c r="D173" s="1358" t="s">
        <v>2529</v>
      </c>
      <c r="E173" s="1356" t="s">
        <v>2530</v>
      </c>
      <c r="F173" s="1083">
        <f t="shared" si="34"/>
        <v>26</v>
      </c>
      <c r="G173" s="1083">
        <f t="shared" si="35"/>
        <v>25</v>
      </c>
      <c r="H173" s="3832" t="s">
        <v>3801</v>
      </c>
      <c r="I173" s="2504">
        <v>2.8111111111111109</v>
      </c>
      <c r="J173" s="2356">
        <v>2.81</v>
      </c>
      <c r="K173" s="2356">
        <v>2.81</v>
      </c>
      <c r="L173" s="1281">
        <v>2.81</v>
      </c>
      <c r="M173" s="3836">
        <v>2.81</v>
      </c>
      <c r="N173" s="1318">
        <f t="shared" si="31"/>
        <v>0</v>
      </c>
      <c r="O173" s="1318">
        <f t="shared" si="36"/>
        <v>3.9541320680101094E-4</v>
      </c>
      <c r="P173" s="1281">
        <f t="shared" si="32"/>
        <v>3.5124999999999997</v>
      </c>
      <c r="Q173" s="1281">
        <f t="shared" si="33"/>
        <v>2.9578947368421056</v>
      </c>
      <c r="R173" s="1280">
        <v>0.8</v>
      </c>
      <c r="S173" s="1280">
        <v>0.95</v>
      </c>
      <c r="T173" s="1383"/>
      <c r="W173" s="2633" t="s">
        <v>1104</v>
      </c>
    </row>
    <row r="174" spans="1:29" x14ac:dyDescent="0.25">
      <c r="A174" s="1082" t="s">
        <v>271</v>
      </c>
      <c r="B174" s="1848">
        <v>106120457</v>
      </c>
      <c r="C174" s="1288" t="s">
        <v>1504</v>
      </c>
      <c r="D174" s="1349" t="s">
        <v>1900</v>
      </c>
      <c r="E174" s="1335" t="s">
        <v>1901</v>
      </c>
      <c r="F174" s="1083">
        <f t="shared" si="34"/>
        <v>37</v>
      </c>
      <c r="G174" s="1083">
        <f t="shared" si="35"/>
        <v>36</v>
      </c>
      <c r="H174" s="3832" t="s">
        <v>3798</v>
      </c>
      <c r="I174" s="2504">
        <v>36.666666666666664</v>
      </c>
      <c r="J174" s="2356">
        <v>72</v>
      </c>
      <c r="K174" s="2356">
        <v>36.67</v>
      </c>
      <c r="L174" s="1281">
        <v>36.67</v>
      </c>
      <c r="M174" s="3836">
        <v>51.7</v>
      </c>
      <c r="N174" s="1318">
        <f t="shared" si="31"/>
        <v>0.9634578674665939</v>
      </c>
      <c r="O174" s="1318">
        <f t="shared" si="36"/>
        <v>-0.49074074074074076</v>
      </c>
      <c r="P174" s="1281">
        <f t="shared" si="32"/>
        <v>64.625</v>
      </c>
      <c r="Q174" s="1281">
        <f t="shared" si="33"/>
        <v>54.421052631578952</v>
      </c>
      <c r="R174" s="1280">
        <v>0.8</v>
      </c>
      <c r="S174" s="1280">
        <v>0.95</v>
      </c>
      <c r="T174" s="1347"/>
      <c r="U174" s="1347" t="s">
        <v>1104</v>
      </c>
      <c r="V174" s="1347"/>
      <c r="W174" s="1347"/>
      <c r="X174" s="1347"/>
      <c r="AB174" s="2118" t="s">
        <v>649</v>
      </c>
    </row>
    <row r="175" spans="1:29" x14ac:dyDescent="0.25">
      <c r="A175" s="1082" t="s">
        <v>1581</v>
      </c>
      <c r="B175" s="1848">
        <v>106121018</v>
      </c>
      <c r="C175" s="291" t="s">
        <v>2428</v>
      </c>
      <c r="D175" s="1358" t="s">
        <v>2381</v>
      </c>
      <c r="E175" s="1356" t="s">
        <v>2219</v>
      </c>
      <c r="F175" s="1083">
        <f t="shared" si="34"/>
        <v>28</v>
      </c>
      <c r="G175" s="1083">
        <f t="shared" si="35"/>
        <v>25</v>
      </c>
      <c r="H175" s="3832" t="s">
        <v>3798</v>
      </c>
      <c r="I175" s="2504">
        <v>68.055555555555557</v>
      </c>
      <c r="J175" s="2356">
        <v>68.06</v>
      </c>
      <c r="K175" s="2356">
        <v>70.73</v>
      </c>
      <c r="L175" s="1281">
        <v>70.73</v>
      </c>
      <c r="M175" s="3836">
        <v>68.06</v>
      </c>
      <c r="N175" s="1318">
        <f t="shared" si="31"/>
        <v>-3.7749187049342589E-2</v>
      </c>
      <c r="O175" s="1318">
        <f t="shared" si="36"/>
        <v>-6.5301857837865687E-5</v>
      </c>
      <c r="P175" s="1281">
        <f t="shared" si="32"/>
        <v>85.075000000000003</v>
      </c>
      <c r="Q175" s="1281">
        <f t="shared" si="33"/>
        <v>71.642105263157902</v>
      </c>
      <c r="R175" s="1280">
        <v>0.8</v>
      </c>
      <c r="S175" s="1280">
        <v>0.95</v>
      </c>
      <c r="T175" s="1383"/>
      <c r="W175" s="2633" t="s">
        <v>1104</v>
      </c>
      <c r="AB175" s="2118" t="s">
        <v>649</v>
      </c>
    </row>
    <row r="176" spans="1:29" x14ac:dyDescent="0.25">
      <c r="A176" s="1082" t="s">
        <v>1582</v>
      </c>
      <c r="B176" s="1848">
        <v>106121019</v>
      </c>
      <c r="C176" s="291" t="s">
        <v>2429</v>
      </c>
      <c r="D176" s="1358" t="s">
        <v>2220</v>
      </c>
      <c r="E176" s="1356" t="s">
        <v>2221</v>
      </c>
      <c r="F176" s="1083">
        <f t="shared" si="34"/>
        <v>24</v>
      </c>
      <c r="G176" s="1083">
        <f t="shared" si="35"/>
        <v>16</v>
      </c>
      <c r="H176" s="3832" t="s">
        <v>3798</v>
      </c>
      <c r="I176" s="2504">
        <v>35.777777777777779</v>
      </c>
      <c r="J176" s="2356">
        <v>35.78</v>
      </c>
      <c r="K176" s="2356">
        <v>39.67</v>
      </c>
      <c r="L176" s="1281">
        <v>39.67</v>
      </c>
      <c r="M176" s="3836">
        <v>35.78</v>
      </c>
      <c r="N176" s="1318">
        <f t="shared" si="31"/>
        <v>-9.8058986639778176E-2</v>
      </c>
      <c r="O176" s="1318">
        <f t="shared" si="36"/>
        <v>-6.2107943605996908E-5</v>
      </c>
      <c r="P176" s="1281">
        <f t="shared" si="32"/>
        <v>44.725000000000001</v>
      </c>
      <c r="Q176" s="1281">
        <f t="shared" si="33"/>
        <v>37.663157894736848</v>
      </c>
      <c r="R176" s="1280">
        <v>0.8</v>
      </c>
      <c r="S176" s="1280">
        <v>0.95</v>
      </c>
      <c r="T176" s="1383"/>
      <c r="W176" s="2633" t="s">
        <v>1104</v>
      </c>
      <c r="AB176" s="2118" t="s">
        <v>649</v>
      </c>
    </row>
    <row r="177" spans="1:30" s="794" customFormat="1" x14ac:dyDescent="0.25">
      <c r="A177" s="1082" t="s">
        <v>1591</v>
      </c>
      <c r="B177" s="1848">
        <v>106121020</v>
      </c>
      <c r="C177" s="1287" t="s">
        <v>2434</v>
      </c>
      <c r="D177" s="1358" t="s">
        <v>2224</v>
      </c>
      <c r="E177" s="1356" t="s">
        <v>2225</v>
      </c>
      <c r="F177" s="1083">
        <f t="shared" si="34"/>
        <v>25</v>
      </c>
      <c r="G177" s="1083">
        <f t="shared" si="35"/>
        <v>22</v>
      </c>
      <c r="H177" s="3832" t="s">
        <v>3798</v>
      </c>
      <c r="I177" s="2504">
        <v>1.7777777777777779</v>
      </c>
      <c r="J177" s="2356">
        <v>1.78</v>
      </c>
      <c r="K177" s="2356" t="s">
        <v>2604</v>
      </c>
      <c r="L177" s="1281">
        <v>1.78</v>
      </c>
      <c r="M177" s="3836">
        <v>1.78</v>
      </c>
      <c r="N177" s="1318">
        <f t="shared" si="31"/>
        <v>0</v>
      </c>
      <c r="O177" s="1318">
        <f t="shared" si="36"/>
        <v>-1.2484394506865873E-3</v>
      </c>
      <c r="P177" s="1281">
        <f t="shared" si="32"/>
        <v>2.2250000000000001</v>
      </c>
      <c r="Q177" s="1281">
        <f t="shared" si="33"/>
        <v>1.8736842105263158</v>
      </c>
      <c r="R177" s="1280">
        <v>0.8</v>
      </c>
      <c r="S177" s="1280">
        <v>0.95</v>
      </c>
      <c r="T177" s="1383"/>
      <c r="U177" s="2218"/>
      <c r="V177" s="2218"/>
      <c r="W177" s="2633" t="s">
        <v>1104</v>
      </c>
      <c r="X177" s="2218"/>
      <c r="Y177" s="2218"/>
      <c r="Z177" s="2218"/>
      <c r="AA177" s="2621"/>
      <c r="AB177" s="2218" t="s">
        <v>649</v>
      </c>
      <c r="AC177" s="2218"/>
      <c r="AD177" s="1383"/>
    </row>
    <row r="178" spans="1:30" x14ac:dyDescent="0.25">
      <c r="A178" s="1082" t="s">
        <v>106</v>
      </c>
      <c r="B178" s="1848">
        <v>106200539</v>
      </c>
      <c r="C178" s="1287" t="s">
        <v>1902</v>
      </c>
      <c r="D178" s="1348" t="s">
        <v>1230</v>
      </c>
      <c r="E178" s="1335" t="s">
        <v>1231</v>
      </c>
      <c r="F178" s="1083">
        <f t="shared" si="34"/>
        <v>36</v>
      </c>
      <c r="G178" s="1083">
        <f t="shared" si="35"/>
        <v>27</v>
      </c>
      <c r="H178" s="3832" t="s">
        <v>3799</v>
      </c>
      <c r="I178" s="2504">
        <v>13.277777777777777</v>
      </c>
      <c r="J178" s="2356">
        <v>13.28</v>
      </c>
      <c r="K178" s="2356">
        <v>11.81</v>
      </c>
      <c r="L178" s="1281">
        <v>11.81</v>
      </c>
      <c r="M178" s="3836">
        <v>13.28</v>
      </c>
      <c r="N178" s="1318">
        <f t="shared" si="31"/>
        <v>0.12447078746824715</v>
      </c>
      <c r="O178" s="1318">
        <f t="shared" si="36"/>
        <v>-1.6733601070953086E-4</v>
      </c>
      <c r="P178" s="1281">
        <f t="shared" si="32"/>
        <v>33.199999999999996</v>
      </c>
      <c r="Q178" s="1281">
        <f t="shared" si="33"/>
        <v>22.133333333333333</v>
      </c>
      <c r="R178" s="1347">
        <v>0.4</v>
      </c>
      <c r="S178" s="1347">
        <v>0.6</v>
      </c>
      <c r="T178" s="1347"/>
      <c r="U178" s="1347" t="s">
        <v>1104</v>
      </c>
      <c r="V178" s="1347" t="s">
        <v>1104</v>
      </c>
      <c r="W178" s="1347"/>
      <c r="X178" s="1347"/>
      <c r="Z178" s="142"/>
      <c r="AA178" s="2623"/>
      <c r="AB178" s="2219"/>
      <c r="AC178" s="2219"/>
      <c r="AD178" s="2221"/>
    </row>
    <row r="179" spans="1:30" s="794" customFormat="1" x14ac:dyDescent="0.25">
      <c r="A179" s="1288" t="s">
        <v>2</v>
      </c>
      <c r="B179" s="1848">
        <v>106200591</v>
      </c>
      <c r="C179" s="1288" t="s">
        <v>472</v>
      </c>
      <c r="D179" s="2226" t="s">
        <v>1903</v>
      </c>
      <c r="E179" s="1550" t="s">
        <v>1904</v>
      </c>
      <c r="F179" s="275">
        <f t="shared" si="34"/>
        <v>36</v>
      </c>
      <c r="G179" s="275">
        <f t="shared" si="35"/>
        <v>46</v>
      </c>
      <c r="H179" s="3832" t="s">
        <v>3799</v>
      </c>
      <c r="I179" s="2504">
        <v>24.9</v>
      </c>
      <c r="J179" s="2358">
        <v>24.9</v>
      </c>
      <c r="K179" s="2358">
        <v>24.96</v>
      </c>
      <c r="L179" s="1542">
        <v>24.9</v>
      </c>
      <c r="M179" s="3837">
        <v>24.9</v>
      </c>
      <c r="N179" s="2194">
        <f t="shared" si="31"/>
        <v>0</v>
      </c>
      <c r="O179" s="1318">
        <f t="shared" si="36"/>
        <v>0</v>
      </c>
      <c r="P179" s="1542">
        <f t="shared" si="32"/>
        <v>62.249999999999993</v>
      </c>
      <c r="Q179" s="1542">
        <f t="shared" si="33"/>
        <v>41.5</v>
      </c>
      <c r="R179" s="275">
        <v>0.4</v>
      </c>
      <c r="S179" s="275">
        <v>0.6</v>
      </c>
      <c r="T179" s="275" t="s">
        <v>1104</v>
      </c>
      <c r="U179" s="275" t="s">
        <v>1104</v>
      </c>
      <c r="V179" s="275"/>
      <c r="W179" s="275"/>
      <c r="X179" s="275"/>
      <c r="Y179" s="2217"/>
      <c r="Z179" s="2217"/>
      <c r="AA179" s="751"/>
      <c r="AB179" s="751"/>
      <c r="AC179" s="751"/>
      <c r="AD179" s="2227"/>
    </row>
    <row r="180" spans="1:30" x14ac:dyDescent="0.25">
      <c r="A180" s="1082" t="s">
        <v>951</v>
      </c>
      <c r="B180" s="1848">
        <v>106200626</v>
      </c>
      <c r="C180" s="1287" t="s">
        <v>1905</v>
      </c>
      <c r="D180" s="1287" t="s">
        <v>1906</v>
      </c>
      <c r="E180" s="1335" t="s">
        <v>1907</v>
      </c>
      <c r="F180" s="1083">
        <f t="shared" si="34"/>
        <v>31</v>
      </c>
      <c r="G180" s="1083">
        <f t="shared" si="35"/>
        <v>23</v>
      </c>
      <c r="H180" s="3832" t="s">
        <v>3799</v>
      </c>
      <c r="I180" s="2504">
        <v>91.477777777777774</v>
      </c>
      <c r="J180" s="2356">
        <v>68.56</v>
      </c>
      <c r="K180" s="2356">
        <v>70.069999999999993</v>
      </c>
      <c r="L180" s="1281">
        <v>70.069999999999993</v>
      </c>
      <c r="M180" s="3837">
        <v>91.48</v>
      </c>
      <c r="N180" s="1318">
        <f t="shared" si="31"/>
        <v>-2.1549878692735707E-2</v>
      </c>
      <c r="O180" s="1318">
        <f t="shared" si="36"/>
        <v>0.33427330481006085</v>
      </c>
      <c r="P180" s="1542">
        <f t="shared" si="32"/>
        <v>228.7</v>
      </c>
      <c r="Q180" s="1542">
        <f t="shared" si="33"/>
        <v>152.46666666666667</v>
      </c>
      <c r="R180" s="275">
        <v>0.4</v>
      </c>
      <c r="S180" s="275">
        <v>0.6</v>
      </c>
      <c r="T180" s="1347" t="s">
        <v>1104</v>
      </c>
      <c r="U180" s="1347"/>
      <c r="V180" s="1347"/>
      <c r="W180" s="1347"/>
      <c r="X180" s="1347"/>
      <c r="Y180" s="2218"/>
      <c r="Z180" s="2218"/>
    </row>
    <row r="181" spans="1:30" x14ac:dyDescent="0.25">
      <c r="A181" s="1082" t="s">
        <v>3</v>
      </c>
      <c r="B181" s="1848">
        <v>106200731</v>
      </c>
      <c r="C181" s="1287" t="s">
        <v>1908</v>
      </c>
      <c r="D181" s="1348" t="s">
        <v>1909</v>
      </c>
      <c r="E181" s="1335" t="s">
        <v>1910</v>
      </c>
      <c r="F181" s="1083">
        <f t="shared" si="34"/>
        <v>56</v>
      </c>
      <c r="G181" s="1083">
        <f t="shared" si="35"/>
        <v>44</v>
      </c>
      <c r="H181" s="3832" t="s">
        <v>3799</v>
      </c>
      <c r="I181" s="2504">
        <v>31.7</v>
      </c>
      <c r="J181" s="2356">
        <v>81.16</v>
      </c>
      <c r="K181" s="2356">
        <v>30.46</v>
      </c>
      <c r="L181" s="1281">
        <v>30.46</v>
      </c>
      <c r="M181" s="3836">
        <v>31.7</v>
      </c>
      <c r="N181" s="1318">
        <f t="shared" si="31"/>
        <v>1.6644780039395928</v>
      </c>
      <c r="O181" s="1318">
        <f t="shared" si="36"/>
        <v>-0.60941350418925577</v>
      </c>
      <c r="P181" s="1281">
        <f t="shared" si="32"/>
        <v>79.25</v>
      </c>
      <c r="Q181" s="1281">
        <f t="shared" si="33"/>
        <v>52.833333333333336</v>
      </c>
      <c r="R181" s="1347">
        <v>0.4</v>
      </c>
      <c r="S181" s="1347">
        <v>0.6</v>
      </c>
      <c r="T181" s="1347" t="s">
        <v>1104</v>
      </c>
      <c r="U181" s="1347"/>
      <c r="V181" s="1347"/>
      <c r="W181" s="1347"/>
      <c r="X181" s="1347"/>
      <c r="Z181" s="2217"/>
      <c r="AB181" s="2218"/>
      <c r="AC181" s="2218"/>
      <c r="AD181" s="86"/>
    </row>
    <row r="182" spans="1:30" s="794" customFormat="1" x14ac:dyDescent="0.25">
      <c r="A182" s="1288" t="s">
        <v>484</v>
      </c>
      <c r="B182" s="1848">
        <v>106200745</v>
      </c>
      <c r="C182" s="1288" t="s">
        <v>760</v>
      </c>
      <c r="D182" s="2226" t="s">
        <v>1911</v>
      </c>
      <c r="E182" s="1550" t="s">
        <v>1912</v>
      </c>
      <c r="F182" s="275">
        <f t="shared" si="34"/>
        <v>56</v>
      </c>
      <c r="G182" s="275">
        <f t="shared" si="35"/>
        <v>46</v>
      </c>
      <c r="H182" s="3832" t="s">
        <v>3799</v>
      </c>
      <c r="I182" s="2504">
        <v>80.48888888888888</v>
      </c>
      <c r="J182" s="2358">
        <v>80.489999999999995</v>
      </c>
      <c r="K182" s="2358">
        <v>70.569999999999993</v>
      </c>
      <c r="L182" s="1542">
        <v>71.19</v>
      </c>
      <c r="M182" s="3837">
        <v>80.489999999999995</v>
      </c>
      <c r="N182" s="2194">
        <f t="shared" si="31"/>
        <v>0.13063632532659078</v>
      </c>
      <c r="O182" s="1318">
        <f t="shared" si="36"/>
        <v>-1.3804337322833117E-5</v>
      </c>
      <c r="P182" s="1542">
        <f t="shared" si="32"/>
        <v>201.22499999999997</v>
      </c>
      <c r="Q182" s="1542">
        <f t="shared" si="33"/>
        <v>134.15</v>
      </c>
      <c r="R182" s="275">
        <v>0.4</v>
      </c>
      <c r="S182" s="275">
        <v>0.6</v>
      </c>
      <c r="T182" s="275"/>
      <c r="U182" s="275" t="s">
        <v>1104</v>
      </c>
      <c r="V182" s="275"/>
      <c r="W182" s="275"/>
      <c r="X182" s="275"/>
      <c r="Y182" s="275"/>
      <c r="Z182" s="2217"/>
      <c r="AA182" s="2621"/>
      <c r="AB182" s="2217"/>
      <c r="AC182" s="2217"/>
    </row>
    <row r="183" spans="1:30" x14ac:dyDescent="0.25">
      <c r="A183" s="1082" t="s">
        <v>40</v>
      </c>
      <c r="B183" s="1848">
        <v>106200771</v>
      </c>
      <c r="C183" s="1287" t="s">
        <v>322</v>
      </c>
      <c r="D183" s="1549" t="s">
        <v>110</v>
      </c>
      <c r="E183" s="1550" t="s">
        <v>1913</v>
      </c>
      <c r="F183" s="1083">
        <f t="shared" si="34"/>
        <v>35</v>
      </c>
      <c r="G183" s="1083">
        <f t="shared" si="35"/>
        <v>30</v>
      </c>
      <c r="H183" s="3832" t="s">
        <v>3799</v>
      </c>
      <c r="I183" s="2504">
        <v>19.677777777777777</v>
      </c>
      <c r="J183" s="2356">
        <v>21.72</v>
      </c>
      <c r="K183" s="2356">
        <v>21.56</v>
      </c>
      <c r="L183" s="1281">
        <v>19.829999999999998</v>
      </c>
      <c r="M183" s="3836">
        <v>19.68</v>
      </c>
      <c r="N183" s="1318">
        <f t="shared" si="31"/>
        <v>9.5310136157337411E-2</v>
      </c>
      <c r="O183" s="1318">
        <f t="shared" si="36"/>
        <v>-9.4024964190710034E-2</v>
      </c>
      <c r="P183" s="1281">
        <f t="shared" si="32"/>
        <v>49.199999999999996</v>
      </c>
      <c r="Q183" s="1281">
        <f t="shared" si="33"/>
        <v>32.800000000000004</v>
      </c>
      <c r="R183" s="1347">
        <v>0.4</v>
      </c>
      <c r="S183" s="1347">
        <v>0.6</v>
      </c>
      <c r="T183" s="1347"/>
      <c r="U183" s="1347" t="s">
        <v>1104</v>
      </c>
      <c r="V183" s="1347" t="s">
        <v>1104</v>
      </c>
      <c r="W183" s="1347"/>
      <c r="X183" s="1347"/>
      <c r="Y183" s="1347"/>
    </row>
    <row r="184" spans="1:30" x14ac:dyDescent="0.25">
      <c r="A184" s="1082" t="s">
        <v>14</v>
      </c>
      <c r="B184" s="1848">
        <v>106200787</v>
      </c>
      <c r="C184" s="1287" t="s">
        <v>1914</v>
      </c>
      <c r="D184" s="1348" t="s">
        <v>235</v>
      </c>
      <c r="E184" s="1335" t="s">
        <v>1915</v>
      </c>
      <c r="F184" s="1083">
        <f t="shared" si="34"/>
        <v>46</v>
      </c>
      <c r="G184" s="1083">
        <f t="shared" si="35"/>
        <v>45</v>
      </c>
      <c r="H184" s="3832" t="s">
        <v>3799</v>
      </c>
      <c r="I184" s="2504">
        <v>16.833333333333332</v>
      </c>
      <c r="J184" s="2356">
        <v>16.829999999999998</v>
      </c>
      <c r="K184" s="2356">
        <v>16.57</v>
      </c>
      <c r="L184" s="1281">
        <v>16.79</v>
      </c>
      <c r="M184" s="3836">
        <v>16.829999999999998</v>
      </c>
      <c r="N184" s="1318">
        <f t="shared" si="31"/>
        <v>2.3823704586062627E-3</v>
      </c>
      <c r="O184" s="1318">
        <f t="shared" si="36"/>
        <v>1.9805902158846433E-4</v>
      </c>
      <c r="P184" s="1281">
        <f t="shared" si="32"/>
        <v>21.037499999999998</v>
      </c>
      <c r="Q184" s="1281">
        <f t="shared" si="33"/>
        <v>17.715789473684211</v>
      </c>
      <c r="R184" s="1280">
        <v>0.8</v>
      </c>
      <c r="S184" s="1280">
        <v>0.95</v>
      </c>
      <c r="T184" s="1280" t="s">
        <v>1104</v>
      </c>
      <c r="U184" s="1347"/>
      <c r="V184" s="1347"/>
      <c r="W184" s="1347"/>
      <c r="X184" s="1347"/>
    </row>
    <row r="185" spans="1:30" x14ac:dyDescent="0.25">
      <c r="A185" s="1383" t="s">
        <v>1215</v>
      </c>
      <c r="B185" s="1848">
        <v>106200799</v>
      </c>
      <c r="C185" s="794" t="s">
        <v>1916</v>
      </c>
      <c r="D185" s="794" t="s">
        <v>1917</v>
      </c>
      <c r="E185" s="1335" t="s">
        <v>1918</v>
      </c>
      <c r="G185" s="1083">
        <f t="shared" ref="G185:G216" si="37">LEN(E185)</f>
        <v>24</v>
      </c>
      <c r="H185" s="3832" t="s">
        <v>3799</v>
      </c>
      <c r="I185" s="2504">
        <v>9</v>
      </c>
      <c r="J185" s="2356">
        <v>8.9600000000000009</v>
      </c>
      <c r="K185" s="2356">
        <v>7.94</v>
      </c>
      <c r="L185" s="1281"/>
      <c r="M185" s="3836">
        <v>8.9600000000000009</v>
      </c>
      <c r="N185" s="1318" t="e">
        <f t="shared" si="31"/>
        <v>#DIV/0!</v>
      </c>
      <c r="O185" s="1318">
        <f t="shared" si="36"/>
        <v>4.4642857142856186E-3</v>
      </c>
      <c r="P185" s="1281">
        <f t="shared" si="32"/>
        <v>22.400000000000002</v>
      </c>
      <c r="Q185" s="1281">
        <f t="shared" si="33"/>
        <v>14.933333333333335</v>
      </c>
      <c r="R185" s="1347">
        <v>0.4</v>
      </c>
      <c r="S185" s="1347">
        <v>0.6</v>
      </c>
      <c r="T185" s="2218"/>
      <c r="U185" s="1804" t="s">
        <v>1104</v>
      </c>
      <c r="V185" s="1804" t="s">
        <v>1104</v>
      </c>
    </row>
    <row r="186" spans="1:30" x14ac:dyDescent="0.25">
      <c r="A186" s="1082" t="s">
        <v>221</v>
      </c>
      <c r="B186" s="1848">
        <v>106200823</v>
      </c>
      <c r="C186" s="1287" t="s">
        <v>1919</v>
      </c>
      <c r="D186" s="1348" t="s">
        <v>1920</v>
      </c>
      <c r="E186" s="1335" t="s">
        <v>1921</v>
      </c>
      <c r="F186" s="1083">
        <f t="shared" ref="F186:F217" si="38">LEN(D186)</f>
        <v>45</v>
      </c>
      <c r="G186" s="1083">
        <f t="shared" si="37"/>
        <v>41</v>
      </c>
      <c r="H186" s="3832" t="s">
        <v>3799</v>
      </c>
      <c r="I186" s="2504">
        <v>41.011111111111106</v>
      </c>
      <c r="J186" s="2356">
        <v>41.82</v>
      </c>
      <c r="K186" s="2356">
        <v>41.14</v>
      </c>
      <c r="L186" s="1281">
        <v>41.14</v>
      </c>
      <c r="M186" s="3836">
        <v>41.01</v>
      </c>
      <c r="N186" s="1318">
        <f t="shared" si="31"/>
        <v>1.6528925619834704E-2</v>
      </c>
      <c r="O186" s="1318">
        <f t="shared" si="36"/>
        <v>-1.9342154205855919E-2</v>
      </c>
      <c r="P186" s="1281">
        <f t="shared" si="32"/>
        <v>102.52499999999999</v>
      </c>
      <c r="Q186" s="1281">
        <f t="shared" si="33"/>
        <v>68.349999999999994</v>
      </c>
      <c r="R186" s="1347">
        <v>0.4</v>
      </c>
      <c r="S186" s="1347">
        <v>0.6</v>
      </c>
      <c r="T186" s="1280" t="s">
        <v>1104</v>
      </c>
      <c r="U186" s="1347"/>
      <c r="V186" s="1347"/>
      <c r="W186" s="1347"/>
      <c r="X186" s="1347"/>
    </row>
    <row r="187" spans="1:30" x14ac:dyDescent="0.25">
      <c r="A187" s="1082" t="s">
        <v>73</v>
      </c>
      <c r="B187" s="1848">
        <v>106200824</v>
      </c>
      <c r="C187" s="1287" t="s">
        <v>1922</v>
      </c>
      <c r="D187" s="1348" t="s">
        <v>1923</v>
      </c>
      <c r="E187" s="1335" t="s">
        <v>1924</v>
      </c>
      <c r="F187" s="1083">
        <f t="shared" si="38"/>
        <v>45</v>
      </c>
      <c r="G187" s="1083">
        <f t="shared" si="37"/>
        <v>41</v>
      </c>
      <c r="H187" s="3832" t="s">
        <v>3799</v>
      </c>
      <c r="I187" s="2504">
        <v>27.044444444444444</v>
      </c>
      <c r="J187" s="2356">
        <v>27.04</v>
      </c>
      <c r="K187" s="2356">
        <v>27.04</v>
      </c>
      <c r="L187" s="1281">
        <v>27.04</v>
      </c>
      <c r="M187" s="3836">
        <v>27.04</v>
      </c>
      <c r="N187" s="1318">
        <f t="shared" si="31"/>
        <v>0</v>
      </c>
      <c r="O187" s="1318">
        <f t="shared" si="36"/>
        <v>1.643655489809593E-4</v>
      </c>
      <c r="P187" s="1281">
        <f t="shared" si="32"/>
        <v>67.599999999999994</v>
      </c>
      <c r="Q187" s="1281">
        <f t="shared" si="33"/>
        <v>45.06666666666667</v>
      </c>
      <c r="R187" s="1347">
        <v>0.4</v>
      </c>
      <c r="S187" s="1347">
        <v>0.6</v>
      </c>
      <c r="T187" s="1347" t="s">
        <v>1104</v>
      </c>
      <c r="U187" s="905"/>
      <c r="V187" s="1347"/>
      <c r="W187" s="1347"/>
      <c r="X187" s="1347"/>
      <c r="AA187" s="2626"/>
      <c r="AB187" s="230"/>
      <c r="AC187" s="230"/>
      <c r="AD187" s="1115"/>
    </row>
    <row r="188" spans="1:30" x14ac:dyDescent="0.25">
      <c r="A188" s="1082" t="s">
        <v>518</v>
      </c>
      <c r="B188" s="1848">
        <v>106200854</v>
      </c>
      <c r="C188" s="1287" t="s">
        <v>519</v>
      </c>
      <c r="D188" s="1358" t="s">
        <v>1925</v>
      </c>
      <c r="E188" s="1356" t="s">
        <v>1926</v>
      </c>
      <c r="F188" s="1083">
        <f t="shared" si="38"/>
        <v>23</v>
      </c>
      <c r="G188" s="1083">
        <f t="shared" si="37"/>
        <v>26</v>
      </c>
      <c r="H188" s="3832" t="s">
        <v>3819</v>
      </c>
      <c r="I188" s="2504">
        <v>1794.5444444444443</v>
      </c>
      <c r="J188" s="2356">
        <v>1859.99</v>
      </c>
      <c r="K188" s="2356">
        <v>1961</v>
      </c>
      <c r="L188" s="1281">
        <v>1823.45</v>
      </c>
      <c r="M188" s="1569">
        <v>1752.44</v>
      </c>
      <c r="N188" s="1318">
        <f t="shared" si="31"/>
        <v>2.0038937179522313E-2</v>
      </c>
      <c r="O188" s="1318">
        <f t="shared" si="36"/>
        <v>-3.5185971728641421E-2</v>
      </c>
      <c r="P188" s="1281">
        <v>5378.88</v>
      </c>
      <c r="Q188" s="1281">
        <v>3456</v>
      </c>
      <c r="R188" s="1347">
        <v>0</v>
      </c>
      <c r="S188" s="1347">
        <v>0.64251293949669819</v>
      </c>
      <c r="T188" s="1383"/>
      <c r="U188" s="1804" t="s">
        <v>1104</v>
      </c>
    </row>
    <row r="189" spans="1:30" x14ac:dyDescent="0.25">
      <c r="A189" s="1082" t="s">
        <v>438</v>
      </c>
      <c r="B189" s="1848">
        <v>106200855</v>
      </c>
      <c r="C189" s="1287" t="s">
        <v>521</v>
      </c>
      <c r="D189" s="1358" t="s">
        <v>521</v>
      </c>
      <c r="E189" s="1356" t="s">
        <v>1927</v>
      </c>
      <c r="F189" s="1083">
        <f t="shared" si="38"/>
        <v>24</v>
      </c>
      <c r="G189" s="1083">
        <f t="shared" si="37"/>
        <v>27</v>
      </c>
      <c r="H189" s="3832" t="s">
        <v>3819</v>
      </c>
      <c r="I189" s="2504">
        <v>2036.088888888889</v>
      </c>
      <c r="J189" s="2356">
        <v>2046.32</v>
      </c>
      <c r="K189" s="2356">
        <v>2090.4699999999998</v>
      </c>
      <c r="L189" s="1281">
        <v>1996.33</v>
      </c>
      <c r="M189" s="1569">
        <v>1984.48</v>
      </c>
      <c r="N189" s="1318">
        <f t="shared" si="31"/>
        <v>2.5040950143513353E-2</v>
      </c>
      <c r="O189" s="1318">
        <f t="shared" si="36"/>
        <v>-4.9997610887402644E-3</v>
      </c>
      <c r="P189" s="1281">
        <v>5836.7058823529396</v>
      </c>
      <c r="Q189" s="1281">
        <v>3600</v>
      </c>
      <c r="R189" s="1347">
        <v>0.37015399500120943</v>
      </c>
      <c r="S189" s="1347">
        <v>0.61678626138837389</v>
      </c>
      <c r="T189" s="1383"/>
      <c r="U189" s="1804" t="s">
        <v>1104</v>
      </c>
      <c r="Z189" s="142"/>
      <c r="AB189" s="2218"/>
      <c r="AC189" s="2218"/>
    </row>
    <row r="190" spans="1:30" x14ac:dyDescent="0.25">
      <c r="A190" s="1082" t="s">
        <v>31</v>
      </c>
      <c r="B190" s="1848">
        <v>106200856</v>
      </c>
      <c r="C190" s="1287" t="s">
        <v>515</v>
      </c>
      <c r="D190" s="1358" t="s">
        <v>1928</v>
      </c>
      <c r="E190" s="1356" t="s">
        <v>1929</v>
      </c>
      <c r="F190" s="1083">
        <f t="shared" si="38"/>
        <v>23</v>
      </c>
      <c r="G190" s="1083">
        <f t="shared" si="37"/>
        <v>26</v>
      </c>
      <c r="H190" s="3832" t="s">
        <v>3819</v>
      </c>
      <c r="I190" s="2504">
        <v>1702.0444444444443</v>
      </c>
      <c r="J190" s="2356">
        <v>1763.72</v>
      </c>
      <c r="K190" s="2356">
        <v>1826.52</v>
      </c>
      <c r="L190" s="1281">
        <v>1709.2</v>
      </c>
      <c r="M190" s="1569">
        <v>1565.59</v>
      </c>
      <c r="N190" s="1318">
        <f t="shared" si="31"/>
        <v>3.1897963959747241E-2</v>
      </c>
      <c r="O190" s="1318">
        <f t="shared" si="36"/>
        <v>-3.4969017505928249E-2</v>
      </c>
      <c r="P190" s="1281">
        <v>4957.175808</v>
      </c>
      <c r="Q190" s="1281">
        <v>3170</v>
      </c>
      <c r="R190" s="1347">
        <v>0.31582297272439203</v>
      </c>
      <c r="S190" s="1347">
        <v>0.63947701731380679</v>
      </c>
      <c r="T190" s="1383"/>
      <c r="U190" s="1804" t="s">
        <v>1104</v>
      </c>
    </row>
    <row r="191" spans="1:30" s="411" customFormat="1" ht="15.75" customHeight="1" x14ac:dyDescent="0.25">
      <c r="A191" s="1082" t="s">
        <v>270</v>
      </c>
      <c r="B191" s="1848">
        <v>106200858</v>
      </c>
      <c r="C191" s="1287" t="s">
        <v>1930</v>
      </c>
      <c r="D191" s="1355" t="s">
        <v>1931</v>
      </c>
      <c r="E191" s="1356" t="s">
        <v>1932</v>
      </c>
      <c r="F191" s="1083">
        <f t="shared" si="38"/>
        <v>28</v>
      </c>
      <c r="G191" s="1083">
        <f t="shared" si="37"/>
        <v>31</v>
      </c>
      <c r="H191" s="3832" t="s">
        <v>3819</v>
      </c>
      <c r="I191" s="2504">
        <v>2002.3666666666668</v>
      </c>
      <c r="J191" s="2356">
        <v>2056.06</v>
      </c>
      <c r="K191" s="2356">
        <v>2099.23</v>
      </c>
      <c r="L191" s="1281">
        <v>2005.09</v>
      </c>
      <c r="M191" s="1569">
        <v>1984.48</v>
      </c>
      <c r="N191" s="1318">
        <f t="shared" si="31"/>
        <v>2.5420305322953099E-2</v>
      </c>
      <c r="O191" s="1318">
        <f t="shared" si="36"/>
        <v>-2.6114672399313813E-2</v>
      </c>
      <c r="P191" s="1281">
        <v>5836.7058823529405</v>
      </c>
      <c r="Q191" s="1281">
        <v>3600</v>
      </c>
      <c r="R191" s="1347"/>
      <c r="S191" s="1347"/>
      <c r="T191" s="1383"/>
      <c r="U191" s="1804" t="s">
        <v>1104</v>
      </c>
      <c r="V191" s="1804"/>
      <c r="W191" s="2633"/>
      <c r="X191" s="1804"/>
      <c r="Y191" s="1804"/>
      <c r="Z191" s="1804"/>
      <c r="AA191" s="2621"/>
      <c r="AB191" s="2118"/>
      <c r="AC191" s="1804"/>
      <c r="AD191" s="1383"/>
    </row>
    <row r="192" spans="1:30" s="86" customFormat="1" x14ac:dyDescent="0.25">
      <c r="A192" s="1082" t="s">
        <v>47</v>
      </c>
      <c r="B192" s="1848">
        <v>106200859</v>
      </c>
      <c r="C192" s="1287" t="s">
        <v>511</v>
      </c>
      <c r="D192" s="1358" t="s">
        <v>1933</v>
      </c>
      <c r="E192" s="1356" t="s">
        <v>1934</v>
      </c>
      <c r="F192" s="1083">
        <f t="shared" si="38"/>
        <v>28</v>
      </c>
      <c r="G192" s="1083">
        <f t="shared" si="37"/>
        <v>31</v>
      </c>
      <c r="H192" s="3832" t="s">
        <v>3819</v>
      </c>
      <c r="I192" s="2504">
        <v>1161.911111111111</v>
      </c>
      <c r="J192" s="2356">
        <v>1166.82</v>
      </c>
      <c r="K192" s="2356">
        <v>1113.79</v>
      </c>
      <c r="L192" s="1281">
        <v>1209.52</v>
      </c>
      <c r="M192" s="1569">
        <v>1158.6199999999999</v>
      </c>
      <c r="N192" s="1318">
        <f t="shared" si="31"/>
        <v>-3.5303260797671841E-2</v>
      </c>
      <c r="O192" s="1318">
        <f t="shared" si="36"/>
        <v>-4.2070661189291371E-3</v>
      </c>
      <c r="P192" s="1281">
        <v>3304</v>
      </c>
      <c r="Q192" s="1281">
        <v>2202.3783761760001</v>
      </c>
      <c r="R192" s="1347"/>
      <c r="S192" s="1347"/>
      <c r="T192" s="1347" t="s">
        <v>1104</v>
      </c>
      <c r="U192" s="1804"/>
      <c r="V192" s="1804"/>
      <c r="W192" s="2633"/>
      <c r="X192" s="1804"/>
      <c r="Y192" s="1804"/>
      <c r="Z192" s="142"/>
      <c r="AA192" s="2621"/>
      <c r="AB192" s="2118"/>
      <c r="AC192" s="1804"/>
      <c r="AD192" s="1383"/>
    </row>
    <row r="193" spans="1:29" x14ac:dyDescent="0.25">
      <c r="A193" s="1082" t="s">
        <v>1669</v>
      </c>
      <c r="B193" s="1848">
        <v>106200862</v>
      </c>
      <c r="C193" s="1287" t="s">
        <v>2015</v>
      </c>
      <c r="D193" s="1358" t="s">
        <v>2016</v>
      </c>
      <c r="E193" s="1356" t="s">
        <v>3265</v>
      </c>
      <c r="F193" s="1083">
        <f t="shared" si="38"/>
        <v>25</v>
      </c>
      <c r="G193" s="1083">
        <f t="shared" si="37"/>
        <v>28</v>
      </c>
      <c r="H193" s="3832" t="s">
        <v>3819</v>
      </c>
      <c r="I193" s="2504">
        <v>2034.6000000000001</v>
      </c>
      <c r="J193" s="2356">
        <v>2241.42</v>
      </c>
      <c r="K193" s="2356">
        <v>2070.89</v>
      </c>
      <c r="L193" s="1281"/>
      <c r="M193" s="1569">
        <v>2074.06</v>
      </c>
      <c r="N193" s="1318" t="e">
        <v>#DIV/0!</v>
      </c>
      <c r="O193" s="1318">
        <f t="shared" si="36"/>
        <v>-9.2271863372326443E-2</v>
      </c>
      <c r="P193" s="1281">
        <v>6373.6</v>
      </c>
      <c r="Q193" s="1281">
        <v>3649.4500000000003</v>
      </c>
      <c r="R193" s="1347">
        <v>0</v>
      </c>
      <c r="S193" s="1347">
        <v>0.64251293949669819</v>
      </c>
      <c r="T193" s="1383"/>
      <c r="U193" s="1804" t="s">
        <v>1104</v>
      </c>
    </row>
    <row r="194" spans="1:29" x14ac:dyDescent="0.25">
      <c r="A194" s="1082" t="s">
        <v>7</v>
      </c>
      <c r="B194" s="1848">
        <v>106200865</v>
      </c>
      <c r="C194" s="1287" t="s">
        <v>505</v>
      </c>
      <c r="D194" s="1358" t="s">
        <v>1935</v>
      </c>
      <c r="E194" s="1356" t="s">
        <v>1936</v>
      </c>
      <c r="F194" s="1083">
        <f t="shared" si="38"/>
        <v>23</v>
      </c>
      <c r="G194" s="1083">
        <f t="shared" si="37"/>
        <v>26</v>
      </c>
      <c r="H194" s="3832" t="s">
        <v>3819</v>
      </c>
      <c r="I194" s="2504">
        <v>749.33333333333326</v>
      </c>
      <c r="J194" s="2356">
        <v>752.8</v>
      </c>
      <c r="K194" s="2356">
        <v>753.2</v>
      </c>
      <c r="L194" s="1281">
        <v>738.87</v>
      </c>
      <c r="M194" s="1569">
        <v>742.94</v>
      </c>
      <c r="N194" s="1318">
        <f t="shared" ref="N194:N199" si="39">(J194-L194)/L194</f>
        <v>1.8853113538240759E-2</v>
      </c>
      <c r="O194" s="1318">
        <f t="shared" ref="O194:O199" si="40">(I194-J194)/J194</f>
        <v>-4.6050301098122968E-3</v>
      </c>
      <c r="P194" s="1281">
        <v>2063.7222222222199</v>
      </c>
      <c r="Q194" s="1281">
        <v>1375.8148148148152</v>
      </c>
      <c r="R194" s="1347">
        <v>0.36</v>
      </c>
      <c r="S194" s="1347">
        <v>0.66666666666666674</v>
      </c>
      <c r="T194" s="1347" t="s">
        <v>1104</v>
      </c>
      <c r="U194" s="2218"/>
      <c r="X194" s="2218"/>
      <c r="Y194" s="2218"/>
      <c r="Z194" s="2218"/>
      <c r="AC194" s="2218"/>
    </row>
    <row r="195" spans="1:29" x14ac:dyDescent="0.25">
      <c r="A195" s="1082" t="s">
        <v>4</v>
      </c>
      <c r="B195" s="1848">
        <v>106200866</v>
      </c>
      <c r="C195" s="1287" t="s">
        <v>504</v>
      </c>
      <c r="D195" s="1358" t="s">
        <v>1937</v>
      </c>
      <c r="E195" s="1356" t="s">
        <v>1938</v>
      </c>
      <c r="F195" s="1083">
        <f t="shared" si="38"/>
        <v>23</v>
      </c>
      <c r="G195" s="1083">
        <f t="shared" si="37"/>
        <v>26</v>
      </c>
      <c r="H195" s="3832" t="s">
        <v>3819</v>
      </c>
      <c r="I195" s="2504">
        <v>749.33333333333326</v>
      </c>
      <c r="J195" s="2356">
        <v>752.8</v>
      </c>
      <c r="K195" s="2356">
        <v>753.2</v>
      </c>
      <c r="L195" s="1281">
        <v>738.87</v>
      </c>
      <c r="M195" s="1569">
        <v>742.94</v>
      </c>
      <c r="N195" s="1318">
        <f t="shared" si="39"/>
        <v>1.8853113538240759E-2</v>
      </c>
      <c r="O195" s="1318">
        <f t="shared" si="40"/>
        <v>-4.6050301098122968E-3</v>
      </c>
      <c r="P195" s="1281">
        <v>1857.3500000000001</v>
      </c>
      <c r="Q195" s="1281">
        <v>1238.2333333333336</v>
      </c>
      <c r="R195" s="1347">
        <v>0.4</v>
      </c>
      <c r="S195" s="1347">
        <v>0.66666666666666674</v>
      </c>
      <c r="T195" s="1347" t="s">
        <v>1104</v>
      </c>
      <c r="U195" s="2118"/>
      <c r="V195" s="2118"/>
      <c r="X195" s="2118"/>
      <c r="Y195" s="2118"/>
      <c r="Z195" s="2118"/>
      <c r="AC195" s="2118"/>
    </row>
    <row r="196" spans="1:29" x14ac:dyDescent="0.25">
      <c r="A196" s="1082" t="s">
        <v>10</v>
      </c>
      <c r="B196" s="1848">
        <v>106200867</v>
      </c>
      <c r="C196" s="1287" t="s">
        <v>506</v>
      </c>
      <c r="D196" s="1358" t="s">
        <v>1939</v>
      </c>
      <c r="E196" s="1356" t="s">
        <v>1940</v>
      </c>
      <c r="F196" s="1083">
        <f t="shared" si="38"/>
        <v>25</v>
      </c>
      <c r="G196" s="1083">
        <f t="shared" si="37"/>
        <v>28</v>
      </c>
      <c r="H196" s="3832" t="s">
        <v>3819</v>
      </c>
      <c r="I196" s="2504">
        <v>749.33333333333326</v>
      </c>
      <c r="J196" s="2356">
        <v>752.8</v>
      </c>
      <c r="K196" s="2356">
        <v>753.2</v>
      </c>
      <c r="L196" s="1281">
        <v>738.87</v>
      </c>
      <c r="M196" s="1569">
        <v>742.94</v>
      </c>
      <c r="N196" s="1318">
        <f t="shared" si="39"/>
        <v>1.8853113538240759E-2</v>
      </c>
      <c r="O196" s="1318">
        <f t="shared" si="40"/>
        <v>-4.6050301098122968E-3</v>
      </c>
      <c r="P196" s="1281">
        <v>2293.0246913580249</v>
      </c>
      <c r="Q196" s="1281">
        <v>1528.6831275720167</v>
      </c>
      <c r="R196" s="1347">
        <v>0.32400000000000001</v>
      </c>
      <c r="S196" s="1347">
        <v>0.66666666666666674</v>
      </c>
      <c r="T196" s="1347" t="s">
        <v>1104</v>
      </c>
      <c r="U196" s="2218"/>
      <c r="V196" s="2118"/>
      <c r="X196" s="2218"/>
      <c r="Y196" s="2218"/>
      <c r="Z196" s="2218"/>
      <c r="AC196" s="2218"/>
    </row>
    <row r="197" spans="1:29" x14ac:dyDescent="0.25">
      <c r="A197" s="1082" t="s">
        <v>111</v>
      </c>
      <c r="B197" s="1848">
        <v>106200873</v>
      </c>
      <c r="C197" s="1287" t="s">
        <v>1941</v>
      </c>
      <c r="D197" s="1357" t="s">
        <v>2767</v>
      </c>
      <c r="E197" s="1356" t="s">
        <v>1942</v>
      </c>
      <c r="F197" s="1083">
        <f t="shared" si="38"/>
        <v>37</v>
      </c>
      <c r="G197" s="1083">
        <f t="shared" si="37"/>
        <v>39</v>
      </c>
      <c r="H197" s="3832" t="s">
        <v>3819</v>
      </c>
      <c r="I197" s="2504">
        <v>1907.3444444444442</v>
      </c>
      <c r="J197" s="2356">
        <v>2215.34</v>
      </c>
      <c r="K197" s="2356">
        <v>2095.98</v>
      </c>
      <c r="L197" s="1281">
        <v>2099.89</v>
      </c>
      <c r="M197" s="1569">
        <v>2089.67</v>
      </c>
      <c r="N197" s="1318">
        <f t="shared" si="39"/>
        <v>5.4979070332255631E-2</v>
      </c>
      <c r="O197" s="1318">
        <f t="shared" si="40"/>
        <v>-0.13902857148589198</v>
      </c>
      <c r="P197" s="1281">
        <v>6373.6</v>
      </c>
      <c r="Q197" s="1281">
        <v>3649.4500000000003</v>
      </c>
      <c r="R197" s="1347"/>
      <c r="S197" s="1347"/>
      <c r="T197" s="1383"/>
      <c r="U197" s="2118" t="s">
        <v>1104</v>
      </c>
      <c r="V197" s="2118" t="s">
        <v>1104</v>
      </c>
      <c r="X197" s="2118"/>
      <c r="Y197" s="2118"/>
      <c r="Z197" s="2118"/>
      <c r="AC197" s="2118"/>
    </row>
    <row r="198" spans="1:29" x14ac:dyDescent="0.25">
      <c r="A198" s="1082" t="s">
        <v>354</v>
      </c>
      <c r="B198" s="1848">
        <v>106200941</v>
      </c>
      <c r="C198" s="1287" t="s">
        <v>353</v>
      </c>
      <c r="D198" s="1348" t="s">
        <v>1943</v>
      </c>
      <c r="E198" s="1335" t="s">
        <v>1944</v>
      </c>
      <c r="F198" s="1083">
        <f t="shared" si="38"/>
        <v>40</v>
      </c>
      <c r="G198" s="1083">
        <f t="shared" si="37"/>
        <v>32</v>
      </c>
      <c r="H198" s="3832" t="s">
        <v>3796</v>
      </c>
      <c r="I198" s="2504">
        <v>34.111111111111107</v>
      </c>
      <c r="J198" s="2356">
        <v>34.159999999999997</v>
      </c>
      <c r="K198" s="2356">
        <v>33.76</v>
      </c>
      <c r="L198" s="1281">
        <v>19.91</v>
      </c>
      <c r="M198" s="3836">
        <v>34.11</v>
      </c>
      <c r="N198" s="1318">
        <f t="shared" si="39"/>
        <v>0.71572074334505253</v>
      </c>
      <c r="O198" s="1318">
        <f t="shared" si="40"/>
        <v>-1.4311735623211191E-3</v>
      </c>
      <c r="P198" s="1281">
        <f>M198/R198</f>
        <v>56.85</v>
      </c>
      <c r="Q198" s="1281">
        <f>M198/S198</f>
        <v>42.637499999999996</v>
      </c>
      <c r="R198" s="1347">
        <v>0.6</v>
      </c>
      <c r="S198" s="1347">
        <v>0.8</v>
      </c>
      <c r="T198" s="679"/>
      <c r="U198" s="679"/>
      <c r="V198" s="1347" t="s">
        <v>1104</v>
      </c>
      <c r="W198" s="1347"/>
      <c r="X198" s="1347"/>
      <c r="Y198" s="2218"/>
      <c r="Z198" s="2218"/>
      <c r="AC198" s="2218"/>
    </row>
    <row r="199" spans="1:29" s="794" customFormat="1" x14ac:dyDescent="0.25">
      <c r="A199" s="1288" t="s">
        <v>196</v>
      </c>
      <c r="B199" s="1848">
        <v>106201346</v>
      </c>
      <c r="C199" s="1288" t="s">
        <v>324</v>
      </c>
      <c r="D199" s="2226" t="s">
        <v>1525</v>
      </c>
      <c r="E199" s="1550" t="s">
        <v>1526</v>
      </c>
      <c r="F199" s="275">
        <f t="shared" si="38"/>
        <v>33</v>
      </c>
      <c r="G199" s="275">
        <f t="shared" si="37"/>
        <v>40</v>
      </c>
      <c r="H199" s="3832" t="s">
        <v>3799</v>
      </c>
      <c r="I199" s="2504">
        <v>29.488888888888887</v>
      </c>
      <c r="J199" s="2358">
        <v>31.26</v>
      </c>
      <c r="K199" s="2358">
        <v>31.36</v>
      </c>
      <c r="L199" s="1542">
        <v>31.27</v>
      </c>
      <c r="M199" s="3837">
        <v>29.49</v>
      </c>
      <c r="N199" s="2194">
        <f t="shared" si="39"/>
        <v>-3.1979533098810395E-4</v>
      </c>
      <c r="O199" s="1318">
        <f t="shared" si="40"/>
        <v>-5.6657425179498219E-2</v>
      </c>
      <c r="P199" s="1542">
        <f>M199/R199</f>
        <v>73.724999999999994</v>
      </c>
      <c r="Q199" s="1542">
        <f>M199/S199</f>
        <v>49.15</v>
      </c>
      <c r="R199" s="275">
        <v>0.4</v>
      </c>
      <c r="S199" s="275">
        <v>0.6</v>
      </c>
      <c r="T199" s="274" t="s">
        <v>1104</v>
      </c>
      <c r="U199" s="274" t="s">
        <v>1104</v>
      </c>
      <c r="V199" s="274" t="s">
        <v>1104</v>
      </c>
      <c r="W199" s="274" t="s">
        <v>1104</v>
      </c>
      <c r="X199" s="274"/>
      <c r="Y199" s="2217"/>
      <c r="Z199" s="2217"/>
      <c r="AA199" s="2621"/>
      <c r="AB199" s="2217"/>
      <c r="AC199" s="2217"/>
    </row>
    <row r="200" spans="1:29" s="794" customFormat="1" x14ac:dyDescent="0.25">
      <c r="A200" s="1288" t="s">
        <v>3350</v>
      </c>
      <c r="B200" s="1848">
        <v>106206886</v>
      </c>
      <c r="C200" s="1288" t="s">
        <v>3351</v>
      </c>
      <c r="D200" s="2226" t="s">
        <v>3352</v>
      </c>
      <c r="E200" s="1550" t="s">
        <v>3353</v>
      </c>
      <c r="F200" s="275">
        <f t="shared" si="38"/>
        <v>43</v>
      </c>
      <c r="G200" s="275">
        <f t="shared" si="37"/>
        <v>51</v>
      </c>
      <c r="H200" s="3832" t="s">
        <v>3799</v>
      </c>
      <c r="I200" s="2504">
        <v>42.277777777777771</v>
      </c>
      <c r="J200" s="2358">
        <v>46.84</v>
      </c>
      <c r="K200" s="2358"/>
      <c r="L200" s="1542"/>
      <c r="M200" s="3837">
        <v>38</v>
      </c>
      <c r="N200" s="2194"/>
      <c r="O200" s="1318"/>
      <c r="P200" s="1542">
        <f>M200/R200</f>
        <v>95</v>
      </c>
      <c r="Q200" s="1542">
        <f>M200/S200</f>
        <v>63.333333333333336</v>
      </c>
      <c r="R200" s="275">
        <v>0.4</v>
      </c>
      <c r="S200" s="275">
        <v>0.6</v>
      </c>
      <c r="T200" s="274"/>
      <c r="U200" s="274"/>
      <c r="V200" s="274" t="s">
        <v>1104</v>
      </c>
      <c r="W200" s="274"/>
      <c r="X200" s="274"/>
      <c r="Y200" s="3622"/>
      <c r="Z200" s="3622"/>
      <c r="AA200" s="3622"/>
      <c r="AB200" s="3622"/>
      <c r="AC200" s="3622"/>
    </row>
    <row r="201" spans="1:29" x14ac:dyDescent="0.25">
      <c r="A201" s="1082" t="s">
        <v>187</v>
      </c>
      <c r="B201" s="1848">
        <v>106201457</v>
      </c>
      <c r="C201" s="1287" t="s">
        <v>1945</v>
      </c>
      <c r="D201" s="1358" t="s">
        <v>2775</v>
      </c>
      <c r="E201" s="1356" t="s">
        <v>2785</v>
      </c>
      <c r="F201" s="1083">
        <f t="shared" si="38"/>
        <v>30</v>
      </c>
      <c r="G201" s="1083">
        <f t="shared" si="37"/>
        <v>33</v>
      </c>
      <c r="H201" s="3832" t="s">
        <v>3819</v>
      </c>
      <c r="I201" s="2504">
        <v>2070.6222222222223</v>
      </c>
      <c r="J201" s="2356">
        <v>2219.83</v>
      </c>
      <c r="K201" s="2356">
        <v>2232.23</v>
      </c>
      <c r="L201" s="1281">
        <v>2143.7399999999998</v>
      </c>
      <c r="M201" s="1569">
        <v>2089.67</v>
      </c>
      <c r="N201" s="1318">
        <f t="shared" ref="N201:N228" si="41">(J201-L201)/L201</f>
        <v>3.5494043120900924E-2</v>
      </c>
      <c r="O201" s="1318">
        <f t="shared" ref="O201:O232" si="42">(I201-J201)/J201</f>
        <v>-6.7215857870998083E-2</v>
      </c>
      <c r="P201" s="1281">
        <v>6373.6</v>
      </c>
      <c r="Q201" s="1281">
        <v>3649.4500000000003</v>
      </c>
      <c r="R201" s="1347"/>
      <c r="S201" s="1347"/>
      <c r="T201" s="1383"/>
      <c r="U201" s="2218" t="s">
        <v>1104</v>
      </c>
      <c r="V201" s="2118" t="s">
        <v>1104</v>
      </c>
      <c r="X201" s="2218"/>
      <c r="Y201" s="2218"/>
      <c r="Z201" s="2218"/>
      <c r="AC201" s="2218"/>
    </row>
    <row r="202" spans="1:29" x14ac:dyDescent="0.25">
      <c r="A202" s="1082" t="s">
        <v>266</v>
      </c>
      <c r="B202" s="1848">
        <v>106201685</v>
      </c>
      <c r="C202" s="1287" t="s">
        <v>512</v>
      </c>
      <c r="D202" s="1358" t="s">
        <v>1946</v>
      </c>
      <c r="E202" s="1356" t="s">
        <v>1947</v>
      </c>
      <c r="F202" s="1083">
        <f t="shared" si="38"/>
        <v>23</v>
      </c>
      <c r="G202" s="1083">
        <f t="shared" si="37"/>
        <v>26</v>
      </c>
      <c r="H202" s="3832" t="s">
        <v>3819</v>
      </c>
      <c r="I202" s="2504">
        <v>1093.6111111111111</v>
      </c>
      <c r="J202" s="2356">
        <v>1097.23</v>
      </c>
      <c r="K202" s="2356">
        <v>1129.95</v>
      </c>
      <c r="L202" s="1281">
        <v>1141.6199999999999</v>
      </c>
      <c r="M202" s="1569">
        <v>1222.32</v>
      </c>
      <c r="N202" s="1318">
        <f t="shared" si="41"/>
        <v>-3.8883341216867151E-2</v>
      </c>
      <c r="O202" s="1318">
        <f t="shared" si="42"/>
        <v>-3.2982044684240607E-3</v>
      </c>
      <c r="P202" s="1281">
        <v>3304</v>
      </c>
      <c r="Q202" s="1281">
        <v>2202.3783761760001</v>
      </c>
      <c r="R202" s="1347">
        <v>0.37</v>
      </c>
      <c r="S202" s="1347">
        <v>0.6665794116755448</v>
      </c>
      <c r="T202" s="1347" t="s">
        <v>1104</v>
      </c>
      <c r="U202" s="2118"/>
      <c r="V202" s="2118"/>
      <c r="X202" s="2118"/>
      <c r="Y202" s="2118"/>
      <c r="Z202" s="2118"/>
      <c r="AC202" s="2118"/>
    </row>
    <row r="203" spans="1:29" x14ac:dyDescent="0.25">
      <c r="A203" s="1082" t="s">
        <v>530</v>
      </c>
      <c r="B203" s="1848">
        <v>106201743</v>
      </c>
      <c r="C203" s="1287" t="s">
        <v>531</v>
      </c>
      <c r="D203" s="1348" t="s">
        <v>1948</v>
      </c>
      <c r="E203" s="1335" t="s">
        <v>1949</v>
      </c>
      <c r="F203" s="1083">
        <f t="shared" si="38"/>
        <v>32</v>
      </c>
      <c r="G203" s="1083">
        <f t="shared" si="37"/>
        <v>34</v>
      </c>
      <c r="H203" s="3832" t="s">
        <v>3799</v>
      </c>
      <c r="I203" s="2504">
        <v>49.988888888888887</v>
      </c>
      <c r="J203" s="2356">
        <v>49.99</v>
      </c>
      <c r="K203" s="2356">
        <v>43.38</v>
      </c>
      <c r="L203" s="1281">
        <v>45.18</v>
      </c>
      <c r="M203" s="3836">
        <v>49.99</v>
      </c>
      <c r="N203" s="1318">
        <f t="shared" si="41"/>
        <v>0.10646303674192126</v>
      </c>
      <c r="O203" s="1318">
        <f t="shared" si="42"/>
        <v>-2.222666755580791E-5</v>
      </c>
      <c r="P203" s="1281">
        <f>M203/R203</f>
        <v>124.97499999999999</v>
      </c>
      <c r="Q203" s="1281">
        <f>M203/S203</f>
        <v>83.316666666666677</v>
      </c>
      <c r="R203" s="1347">
        <v>0.4</v>
      </c>
      <c r="S203" s="1347">
        <v>0.6</v>
      </c>
      <c r="T203" s="1280"/>
      <c r="U203" s="1280"/>
      <c r="V203" s="1280"/>
      <c r="W203" s="1280"/>
      <c r="X203" s="1280"/>
      <c r="Y203" s="2218" t="s">
        <v>1104</v>
      </c>
      <c r="Z203" s="2218"/>
      <c r="AC203" s="2218"/>
    </row>
    <row r="204" spans="1:29" x14ac:dyDescent="0.25">
      <c r="A204" s="1082" t="s">
        <v>206</v>
      </c>
      <c r="B204" s="1848">
        <v>106201807</v>
      </c>
      <c r="C204" s="1287" t="s">
        <v>1950</v>
      </c>
      <c r="D204" s="1287" t="s">
        <v>1951</v>
      </c>
      <c r="E204" s="1335" t="s">
        <v>576</v>
      </c>
      <c r="F204" s="1083">
        <f t="shared" si="38"/>
        <v>29</v>
      </c>
      <c r="G204" s="1083">
        <f t="shared" si="37"/>
        <v>35</v>
      </c>
      <c r="H204" s="3832" t="s">
        <v>3799</v>
      </c>
      <c r="I204" s="2504">
        <v>66.655555555555551</v>
      </c>
      <c r="J204" s="2356">
        <v>67.06</v>
      </c>
      <c r="K204" s="2356">
        <v>67.52</v>
      </c>
      <c r="L204" s="1281">
        <v>61.17</v>
      </c>
      <c r="M204" s="3836">
        <v>67.06</v>
      </c>
      <c r="N204" s="1318">
        <f t="shared" si="41"/>
        <v>9.6289030570541126E-2</v>
      </c>
      <c r="O204" s="1318">
        <f t="shared" si="42"/>
        <v>-6.0310832753422425E-3</v>
      </c>
      <c r="P204" s="1281">
        <f>M204/R204</f>
        <v>167.65</v>
      </c>
      <c r="Q204" s="1281">
        <f>M204/S204</f>
        <v>111.76666666666668</v>
      </c>
      <c r="R204" s="1347">
        <v>0.4</v>
      </c>
      <c r="S204" s="1347">
        <v>0.6</v>
      </c>
      <c r="T204" s="1347"/>
      <c r="U204" s="1347"/>
      <c r="V204" s="1347" t="s">
        <v>1104</v>
      </c>
      <c r="W204" s="1347"/>
      <c r="X204" s="1347"/>
      <c r="Y204" s="2118"/>
      <c r="Z204" s="2118"/>
      <c r="AC204" s="2118"/>
    </row>
    <row r="205" spans="1:29" x14ac:dyDescent="0.25">
      <c r="A205" s="1082" t="s">
        <v>460</v>
      </c>
      <c r="B205" s="1848">
        <v>106202476</v>
      </c>
      <c r="C205" s="1287" t="s">
        <v>1952</v>
      </c>
      <c r="D205" s="1349" t="s">
        <v>1953</v>
      </c>
      <c r="E205" s="1335" t="s">
        <v>1954</v>
      </c>
      <c r="F205" s="1083">
        <f t="shared" si="38"/>
        <v>55</v>
      </c>
      <c r="G205" s="1083">
        <f t="shared" si="37"/>
        <v>52</v>
      </c>
      <c r="H205" s="3832" t="s">
        <v>3797</v>
      </c>
      <c r="I205" s="2504">
        <v>13.966666666666667</v>
      </c>
      <c r="J205" s="2356">
        <v>14.07</v>
      </c>
      <c r="K205" s="2356">
        <v>13.58</v>
      </c>
      <c r="L205" s="1281">
        <v>13.58</v>
      </c>
      <c r="M205" s="3836">
        <v>14.07</v>
      </c>
      <c r="N205" s="1318">
        <f t="shared" si="41"/>
        <v>3.6082474226804141E-2</v>
      </c>
      <c r="O205" s="1318">
        <f t="shared" si="42"/>
        <v>-7.3442312248282512E-3</v>
      </c>
      <c r="P205" s="1281">
        <f>M205/R205</f>
        <v>23.450000000000003</v>
      </c>
      <c r="Q205" s="1281">
        <f>M205/S205</f>
        <v>17.587499999999999</v>
      </c>
      <c r="R205" s="1347">
        <v>0.6</v>
      </c>
      <c r="S205" s="1347">
        <v>0.8</v>
      </c>
      <c r="T205" s="1347"/>
      <c r="U205" s="1347"/>
      <c r="V205" s="1347" t="s">
        <v>1104</v>
      </c>
      <c r="W205" s="1347"/>
      <c r="X205" s="1347"/>
      <c r="Y205" s="2218"/>
      <c r="Z205" s="2218"/>
      <c r="AC205" s="2218"/>
    </row>
    <row r="206" spans="1:29" x14ac:dyDescent="0.25">
      <c r="A206" s="1082" t="s">
        <v>30</v>
      </c>
      <c r="B206" s="1848">
        <v>106202562</v>
      </c>
      <c r="C206" s="1287" t="s">
        <v>507</v>
      </c>
      <c r="D206" s="1358" t="s">
        <v>1955</v>
      </c>
      <c r="E206" s="1356" t="s">
        <v>1956</v>
      </c>
      <c r="F206" s="1083">
        <f t="shared" si="38"/>
        <v>23</v>
      </c>
      <c r="G206" s="1083">
        <f t="shared" si="37"/>
        <v>26</v>
      </c>
      <c r="H206" s="3832" t="s">
        <v>3819</v>
      </c>
      <c r="I206" s="2504">
        <v>749.33333333333326</v>
      </c>
      <c r="J206" s="2356">
        <v>752.8</v>
      </c>
      <c r="K206" s="2356">
        <v>753.2</v>
      </c>
      <c r="L206" s="1281">
        <v>738.87</v>
      </c>
      <c r="M206" s="1569">
        <v>752.8</v>
      </c>
      <c r="N206" s="1318">
        <f t="shared" si="41"/>
        <v>1.8853113538240759E-2</v>
      </c>
      <c r="O206" s="1318">
        <f t="shared" si="42"/>
        <v>-4.6050301098122968E-3</v>
      </c>
      <c r="P206" s="1281">
        <v>2476.4666666666672</v>
      </c>
      <c r="Q206" s="1281">
        <v>1650.9777777777783</v>
      </c>
      <c r="R206" s="1347">
        <v>0.3</v>
      </c>
      <c r="S206" s="1347">
        <v>0.66666666666666674</v>
      </c>
      <c r="T206" s="1347" t="s">
        <v>1104</v>
      </c>
      <c r="U206" s="2118"/>
      <c r="V206" s="2118"/>
      <c r="X206" s="2118"/>
      <c r="Y206" s="2118"/>
      <c r="Z206" s="2118"/>
      <c r="AC206" s="2118"/>
    </row>
    <row r="207" spans="1:29" x14ac:dyDescent="0.25">
      <c r="A207" s="1082" t="s">
        <v>240</v>
      </c>
      <c r="B207" s="1848">
        <v>106202625</v>
      </c>
      <c r="C207" s="1287" t="s">
        <v>676</v>
      </c>
      <c r="D207" s="1358" t="s">
        <v>2776</v>
      </c>
      <c r="E207" s="1356" t="s">
        <v>2777</v>
      </c>
      <c r="F207" s="1083">
        <f t="shared" si="38"/>
        <v>30</v>
      </c>
      <c r="G207" s="1083">
        <f t="shared" si="37"/>
        <v>33</v>
      </c>
      <c r="H207" s="3832" t="s">
        <v>3819</v>
      </c>
      <c r="I207" s="2504">
        <v>2070.6222222222223</v>
      </c>
      <c r="J207" s="2356">
        <v>2219.83</v>
      </c>
      <c r="K207" s="2356">
        <v>2232.23</v>
      </c>
      <c r="L207" s="1281">
        <v>2143.7399999999998</v>
      </c>
      <c r="M207" s="1569">
        <v>2089.67</v>
      </c>
      <c r="N207" s="1318">
        <f t="shared" si="41"/>
        <v>3.5494043120900924E-2</v>
      </c>
      <c r="O207" s="1318">
        <f t="shared" si="42"/>
        <v>-6.7215857870998083E-2</v>
      </c>
      <c r="P207" s="1281">
        <v>7712.0560000000005</v>
      </c>
      <c r="Q207" s="1281">
        <v>4415.8344999999999</v>
      </c>
      <c r="R207" s="1347"/>
      <c r="S207" s="1347"/>
      <c r="T207" s="1383"/>
      <c r="U207" s="2218" t="s">
        <v>1104</v>
      </c>
      <c r="V207" s="2118" t="s">
        <v>1104</v>
      </c>
      <c r="X207" s="2218"/>
      <c r="Y207" s="2218"/>
      <c r="Z207" s="2218"/>
      <c r="AC207" s="2218"/>
    </row>
    <row r="208" spans="1:29" x14ac:dyDescent="0.25">
      <c r="A208" s="1082" t="s">
        <v>239</v>
      </c>
      <c r="B208" s="1848">
        <v>106202628</v>
      </c>
      <c r="C208" s="1287" t="s">
        <v>1957</v>
      </c>
      <c r="D208" s="1358" t="s">
        <v>3139</v>
      </c>
      <c r="E208" s="1356" t="s">
        <v>3140</v>
      </c>
      <c r="F208" s="1083">
        <f t="shared" si="38"/>
        <v>33</v>
      </c>
      <c r="G208" s="1083">
        <f t="shared" si="37"/>
        <v>36</v>
      </c>
      <c r="H208" s="3832" t="s">
        <v>3819</v>
      </c>
      <c r="I208" s="2504">
        <v>2070.6222222222223</v>
      </c>
      <c r="J208" s="2356">
        <v>2219.83</v>
      </c>
      <c r="K208" s="2356">
        <v>2232.23</v>
      </c>
      <c r="L208" s="1281">
        <v>2143.7399999999998</v>
      </c>
      <c r="M208" s="1569">
        <v>2089.67</v>
      </c>
      <c r="N208" s="1318">
        <f t="shared" si="41"/>
        <v>3.5494043120900924E-2</v>
      </c>
      <c r="O208" s="1318">
        <f t="shared" si="42"/>
        <v>-6.7215857870998083E-2</v>
      </c>
      <c r="P208" s="1281">
        <v>7712.0560000000005</v>
      </c>
      <c r="Q208" s="1281">
        <v>4415.8344999999999</v>
      </c>
      <c r="R208" s="1347"/>
      <c r="S208" s="1347"/>
      <c r="T208" s="1383"/>
      <c r="U208" s="2118"/>
      <c r="V208" s="2118" t="s">
        <v>1104</v>
      </c>
      <c r="X208" s="2118"/>
      <c r="Y208" s="2118"/>
      <c r="Z208" s="2118"/>
      <c r="AC208" s="2118"/>
    </row>
    <row r="209" spans="1:30" x14ac:dyDescent="0.25">
      <c r="A209" s="1082" t="s">
        <v>258</v>
      </c>
      <c r="B209" s="1848">
        <v>106202650</v>
      </c>
      <c r="C209" s="1287" t="s">
        <v>508</v>
      </c>
      <c r="D209" s="1358" t="s">
        <v>1958</v>
      </c>
      <c r="E209" s="1356" t="s">
        <v>1959</v>
      </c>
      <c r="F209" s="1083">
        <f t="shared" si="38"/>
        <v>23</v>
      </c>
      <c r="G209" s="1083">
        <f t="shared" si="37"/>
        <v>26</v>
      </c>
      <c r="H209" s="3832" t="s">
        <v>3819</v>
      </c>
      <c r="I209" s="2504">
        <v>1093.6111111111111</v>
      </c>
      <c r="J209" s="2356">
        <v>1097.23</v>
      </c>
      <c r="K209" s="2356">
        <v>1129.95</v>
      </c>
      <c r="L209" s="1281">
        <v>1141.6199999999999</v>
      </c>
      <c r="M209" s="1569">
        <v>1222.32</v>
      </c>
      <c r="N209" s="1318">
        <f t="shared" si="41"/>
        <v>-3.8883341216867151E-2</v>
      </c>
      <c r="O209" s="1318">
        <f t="shared" si="42"/>
        <v>-3.2982044684240607E-3</v>
      </c>
      <c r="P209" s="1281">
        <v>3055.7999999999997</v>
      </c>
      <c r="Q209" s="1281">
        <v>2037.2</v>
      </c>
      <c r="R209" s="1347">
        <v>0.4</v>
      </c>
      <c r="S209" s="1347">
        <v>0.66666666666666674</v>
      </c>
      <c r="T209" s="1347" t="s">
        <v>1104</v>
      </c>
      <c r="U209" s="2118"/>
      <c r="V209" s="2118"/>
      <c r="X209" s="2118"/>
      <c r="Y209" s="2118"/>
      <c r="Z209" s="2118"/>
      <c r="AC209" s="2118"/>
    </row>
    <row r="210" spans="1:30" x14ac:dyDescent="0.25">
      <c r="A210" s="1082" t="s">
        <v>249</v>
      </c>
      <c r="B210" s="1848">
        <v>106202651</v>
      </c>
      <c r="C210" s="1287" t="s">
        <v>513</v>
      </c>
      <c r="D210" s="1358" t="s">
        <v>1960</v>
      </c>
      <c r="E210" s="1356" t="s">
        <v>1961</v>
      </c>
      <c r="F210" s="1083">
        <f t="shared" si="38"/>
        <v>23</v>
      </c>
      <c r="G210" s="1083">
        <f t="shared" si="37"/>
        <v>26</v>
      </c>
      <c r="H210" s="3832" t="s">
        <v>3819</v>
      </c>
      <c r="I210" s="2504">
        <v>1093.6111111111111</v>
      </c>
      <c r="J210" s="2356">
        <v>1097.23</v>
      </c>
      <c r="K210" s="2356">
        <v>1129.95</v>
      </c>
      <c r="L210" s="1281">
        <v>1141.6199999999999</v>
      </c>
      <c r="M210" s="1569">
        <v>1222.32</v>
      </c>
      <c r="N210" s="1318">
        <f t="shared" si="41"/>
        <v>-3.8883341216867151E-2</v>
      </c>
      <c r="O210" s="1318">
        <f t="shared" si="42"/>
        <v>-3.2982044684240607E-3</v>
      </c>
      <c r="P210" s="1281">
        <v>3478</v>
      </c>
      <c r="Q210" s="1281">
        <v>2318.2930275536846</v>
      </c>
      <c r="R210" s="1347">
        <v>0.35</v>
      </c>
      <c r="S210" s="1347">
        <v>0.66655923736448663</v>
      </c>
      <c r="T210" s="1347" t="s">
        <v>1104</v>
      </c>
      <c r="U210" s="2218"/>
      <c r="V210" s="2118"/>
      <c r="X210" s="2218"/>
      <c r="Y210" s="2218"/>
      <c r="Z210" s="2218"/>
      <c r="AC210" s="2218"/>
    </row>
    <row r="211" spans="1:30" s="1351" customFormat="1" x14ac:dyDescent="0.25">
      <c r="A211" s="2360" t="s">
        <v>65</v>
      </c>
      <c r="B211" s="2353">
        <v>106202874</v>
      </c>
      <c r="C211" s="2354" t="s">
        <v>1962</v>
      </c>
      <c r="D211" s="1349" t="s">
        <v>1963</v>
      </c>
      <c r="E211" s="1336" t="s">
        <v>1964</v>
      </c>
      <c r="F211" s="2355">
        <f t="shared" si="38"/>
        <v>45</v>
      </c>
      <c r="G211" s="2355">
        <f t="shared" si="37"/>
        <v>41</v>
      </c>
      <c r="H211" s="3832" t="s">
        <v>3800</v>
      </c>
      <c r="I211" s="2504">
        <v>38.355555555555561</v>
      </c>
      <c r="J211" s="2356">
        <v>38.36</v>
      </c>
      <c r="K211" s="2356">
        <v>38.36</v>
      </c>
      <c r="L211" s="2356">
        <v>38.36</v>
      </c>
      <c r="M211" s="3836">
        <f>M219</f>
        <v>46.76</v>
      </c>
      <c r="N211" s="1318">
        <f t="shared" si="41"/>
        <v>0</v>
      </c>
      <c r="O211" s="1318">
        <f t="shared" si="42"/>
        <v>-1.1586142972987576E-4</v>
      </c>
      <c r="P211" s="2356">
        <f t="shared" ref="P211:P223" si="43">M211/R211</f>
        <v>58.449999999999996</v>
      </c>
      <c r="Q211" s="2356">
        <f t="shared" ref="Q211:Q223" si="44">M211/S211</f>
        <v>49.221052631578949</v>
      </c>
      <c r="R211" s="1280">
        <v>0.8</v>
      </c>
      <c r="S211" s="1280">
        <v>0.95</v>
      </c>
      <c r="T211" s="1280"/>
      <c r="U211" s="1280" t="s">
        <v>1104</v>
      </c>
      <c r="V211" s="1280"/>
      <c r="W211" s="1280"/>
      <c r="X211" s="1280"/>
      <c r="Y211" s="1280"/>
      <c r="Z211" s="142"/>
      <c r="AA211" s="751"/>
      <c r="AB211" s="1564">
        <v>106202886</v>
      </c>
      <c r="AC211" s="1564" t="s">
        <v>1549</v>
      </c>
    </row>
    <row r="212" spans="1:30" s="1351" customFormat="1" x14ac:dyDescent="0.25">
      <c r="A212" s="2360" t="s">
        <v>285</v>
      </c>
      <c r="B212" s="2353">
        <v>106202875</v>
      </c>
      <c r="C212" s="2354" t="s">
        <v>1965</v>
      </c>
      <c r="D212" s="1349" t="s">
        <v>1966</v>
      </c>
      <c r="E212" s="1336" t="s">
        <v>1967</v>
      </c>
      <c r="F212" s="2355">
        <f t="shared" si="38"/>
        <v>48</v>
      </c>
      <c r="G212" s="2355">
        <f t="shared" si="37"/>
        <v>44</v>
      </c>
      <c r="H212" s="3832" t="s">
        <v>3800</v>
      </c>
      <c r="I212" s="2504">
        <v>14.033333333333333</v>
      </c>
      <c r="J212" s="2356">
        <v>14.03</v>
      </c>
      <c r="K212" s="2356">
        <v>14.03</v>
      </c>
      <c r="L212" s="2356">
        <v>14.03</v>
      </c>
      <c r="M212" s="3836">
        <f>M217</f>
        <v>21.98</v>
      </c>
      <c r="N212" s="1318">
        <f t="shared" si="41"/>
        <v>0</v>
      </c>
      <c r="O212" s="1318">
        <f t="shared" si="42"/>
        <v>2.3758612497033887E-4</v>
      </c>
      <c r="P212" s="2356">
        <f t="shared" si="43"/>
        <v>27.474999999999998</v>
      </c>
      <c r="Q212" s="2356">
        <f t="shared" si="44"/>
        <v>23.13684210526316</v>
      </c>
      <c r="R212" s="1280">
        <v>0.8</v>
      </c>
      <c r="S212" s="1280">
        <v>0.95</v>
      </c>
      <c r="T212" s="1280"/>
      <c r="U212" s="1280" t="s">
        <v>1104</v>
      </c>
      <c r="V212" s="1280"/>
      <c r="W212" s="1280"/>
      <c r="X212" s="1280"/>
      <c r="Y212" s="1280"/>
      <c r="Z212" s="142"/>
      <c r="AA212" s="751"/>
      <c r="AB212" s="1564">
        <v>106202883</v>
      </c>
      <c r="AC212" s="1564" t="s">
        <v>1549</v>
      </c>
    </row>
    <row r="213" spans="1:30" s="1351" customFormat="1" x14ac:dyDescent="0.25">
      <c r="A213" s="2362" t="s">
        <v>286</v>
      </c>
      <c r="B213" s="2353">
        <v>106202876</v>
      </c>
      <c r="C213" s="2363" t="s">
        <v>1968</v>
      </c>
      <c r="D213" s="1349" t="s">
        <v>1969</v>
      </c>
      <c r="E213" s="1336" t="s">
        <v>1970</v>
      </c>
      <c r="F213" s="1280">
        <f t="shared" si="38"/>
        <v>44</v>
      </c>
      <c r="G213" s="1280">
        <f t="shared" si="37"/>
        <v>40</v>
      </c>
      <c r="H213" s="3832" t="s">
        <v>3800</v>
      </c>
      <c r="I213" s="2504">
        <v>19.111111111111111</v>
      </c>
      <c r="J213" s="2356">
        <v>19.11</v>
      </c>
      <c r="K213" s="2356">
        <v>19.11</v>
      </c>
      <c r="L213" s="2356">
        <v>19.11</v>
      </c>
      <c r="M213" s="3836">
        <f>M218</f>
        <v>27.28</v>
      </c>
      <c r="N213" s="1318">
        <f t="shared" si="41"/>
        <v>0</v>
      </c>
      <c r="O213" s="1318">
        <f t="shared" si="42"/>
        <v>5.814291528578152E-5</v>
      </c>
      <c r="P213" s="2356">
        <f t="shared" si="43"/>
        <v>34.1</v>
      </c>
      <c r="Q213" s="2356">
        <f t="shared" si="44"/>
        <v>28.715789473684215</v>
      </c>
      <c r="R213" s="1280">
        <v>0.8</v>
      </c>
      <c r="S213" s="1280">
        <v>0.95</v>
      </c>
      <c r="T213" s="1280"/>
      <c r="U213" s="1280" t="s">
        <v>1104</v>
      </c>
      <c r="V213" s="1280"/>
      <c r="W213" s="1280"/>
      <c r="X213" s="1280"/>
      <c r="Y213" s="142"/>
      <c r="Z213" s="142"/>
      <c r="AA213" s="751"/>
      <c r="AB213" s="142">
        <v>106202884</v>
      </c>
      <c r="AC213" s="142" t="s">
        <v>1549</v>
      </c>
      <c r="AD213" s="1286"/>
    </row>
    <row r="214" spans="1:30" s="1351" customFormat="1" x14ac:dyDescent="0.25">
      <c r="A214" s="2362" t="s">
        <v>285</v>
      </c>
      <c r="B214" s="2353">
        <v>106202879</v>
      </c>
      <c r="C214" s="2363" t="s">
        <v>1971</v>
      </c>
      <c r="D214" s="1349" t="s">
        <v>1972</v>
      </c>
      <c r="E214" s="1336" t="s">
        <v>1973</v>
      </c>
      <c r="F214" s="1280">
        <f t="shared" si="38"/>
        <v>55</v>
      </c>
      <c r="G214" s="1280">
        <f t="shared" si="37"/>
        <v>51</v>
      </c>
      <c r="H214" s="3832" t="s">
        <v>3800</v>
      </c>
      <c r="I214" s="2504">
        <v>21.977777777777778</v>
      </c>
      <c r="J214" s="2356">
        <v>21.49</v>
      </c>
      <c r="K214" s="2356">
        <v>23.56</v>
      </c>
      <c r="L214" s="2356">
        <v>29.99</v>
      </c>
      <c r="M214" s="3836">
        <f>M217</f>
        <v>21.98</v>
      </c>
      <c r="N214" s="1318">
        <f t="shared" si="41"/>
        <v>-0.28342780926975658</v>
      </c>
      <c r="O214" s="1318">
        <f t="shared" si="42"/>
        <v>2.2697895662065121E-2</v>
      </c>
      <c r="P214" s="2356">
        <f t="shared" si="43"/>
        <v>27.474999999999998</v>
      </c>
      <c r="Q214" s="2356">
        <f t="shared" si="44"/>
        <v>23.13684210526316</v>
      </c>
      <c r="R214" s="1280">
        <v>0.8</v>
      </c>
      <c r="S214" s="1280">
        <v>0.95</v>
      </c>
      <c r="T214" s="1280"/>
      <c r="U214" s="1280" t="s">
        <v>1104</v>
      </c>
      <c r="V214" s="1280"/>
      <c r="W214" s="1280"/>
      <c r="X214" s="1280"/>
      <c r="Y214" s="142"/>
      <c r="Z214" s="142"/>
      <c r="AA214" s="751"/>
      <c r="AB214" s="1564">
        <v>106202883</v>
      </c>
      <c r="AC214" s="1564" t="s">
        <v>1549</v>
      </c>
    </row>
    <row r="215" spans="1:30" s="1351" customFormat="1" x14ac:dyDescent="0.25">
      <c r="A215" s="2360" t="s">
        <v>286</v>
      </c>
      <c r="B215" s="2353">
        <v>106202880</v>
      </c>
      <c r="C215" s="2354" t="s">
        <v>1974</v>
      </c>
      <c r="D215" s="1349" t="s">
        <v>1975</v>
      </c>
      <c r="E215" s="1336" t="s">
        <v>1976</v>
      </c>
      <c r="F215" s="2355">
        <f t="shared" si="38"/>
        <v>51</v>
      </c>
      <c r="G215" s="2355">
        <f t="shared" si="37"/>
        <v>47</v>
      </c>
      <c r="H215" s="3832" t="s">
        <v>3800</v>
      </c>
      <c r="I215" s="2504">
        <v>27.244444444444444</v>
      </c>
      <c r="J215" s="2356">
        <v>27.28</v>
      </c>
      <c r="K215" s="2356">
        <v>26.41</v>
      </c>
      <c r="L215" s="2356">
        <v>36.5</v>
      </c>
      <c r="M215" s="3836">
        <f>M218</f>
        <v>27.28</v>
      </c>
      <c r="N215" s="1318">
        <f t="shared" si="41"/>
        <v>-0.25260273972602737</v>
      </c>
      <c r="O215" s="1318">
        <f t="shared" si="42"/>
        <v>-1.303356142065893E-3</v>
      </c>
      <c r="P215" s="2356">
        <f t="shared" si="43"/>
        <v>34.1</v>
      </c>
      <c r="Q215" s="2356">
        <f t="shared" si="44"/>
        <v>28.715789473684215</v>
      </c>
      <c r="R215" s="1280">
        <v>0.8</v>
      </c>
      <c r="S215" s="1280">
        <v>0.95</v>
      </c>
      <c r="T215" s="1280"/>
      <c r="U215" s="1280" t="s">
        <v>1104</v>
      </c>
      <c r="V215" s="1280"/>
      <c r="W215" s="1280"/>
      <c r="X215" s="1280"/>
      <c r="Y215" s="1280"/>
      <c r="Z215" s="142"/>
      <c r="AA215" s="751"/>
      <c r="AB215" s="142">
        <v>106202884</v>
      </c>
      <c r="AC215" s="142" t="s">
        <v>1549</v>
      </c>
      <c r="AD215" s="1286"/>
    </row>
    <row r="216" spans="1:30" s="1351" customFormat="1" x14ac:dyDescent="0.25">
      <c r="A216" s="2362" t="s">
        <v>65</v>
      </c>
      <c r="B216" s="2353">
        <v>106202882</v>
      </c>
      <c r="C216" s="2363" t="s">
        <v>1977</v>
      </c>
      <c r="D216" s="1349" t="s">
        <v>1978</v>
      </c>
      <c r="E216" s="1336" t="s">
        <v>1979</v>
      </c>
      <c r="F216" s="1280">
        <f t="shared" si="38"/>
        <v>52</v>
      </c>
      <c r="G216" s="1280">
        <f t="shared" si="37"/>
        <v>48</v>
      </c>
      <c r="H216" s="3832" t="s">
        <v>3800</v>
      </c>
      <c r="I216" s="2504">
        <v>46.755555555555553</v>
      </c>
      <c r="J216" s="2356">
        <v>46.77</v>
      </c>
      <c r="K216" s="2356">
        <v>46.96</v>
      </c>
      <c r="L216" s="2356">
        <v>84.93</v>
      </c>
      <c r="M216" s="3836">
        <f>M219</f>
        <v>46.76</v>
      </c>
      <c r="N216" s="1318">
        <f t="shared" si="41"/>
        <v>-0.44931119745672909</v>
      </c>
      <c r="O216" s="1318">
        <f t="shared" si="42"/>
        <v>-3.0883994963545549E-4</v>
      </c>
      <c r="P216" s="2356">
        <f t="shared" si="43"/>
        <v>58.449999999999996</v>
      </c>
      <c r="Q216" s="2356">
        <f t="shared" si="44"/>
        <v>49.221052631578949</v>
      </c>
      <c r="R216" s="1280">
        <v>0.8</v>
      </c>
      <c r="S216" s="1280">
        <v>0.95</v>
      </c>
      <c r="T216" s="1280"/>
      <c r="U216" s="1280" t="s">
        <v>1104</v>
      </c>
      <c r="V216" s="1280"/>
      <c r="W216" s="1280"/>
      <c r="X216" s="1280"/>
      <c r="Y216" s="142"/>
      <c r="Z216" s="142"/>
      <c r="AA216" s="751"/>
      <c r="AB216" s="1564">
        <v>106202886</v>
      </c>
      <c r="AC216" s="1564" t="s">
        <v>1549</v>
      </c>
    </row>
    <row r="217" spans="1:30" s="1351" customFormat="1" x14ac:dyDescent="0.25">
      <c r="A217" s="2352" t="s">
        <v>95</v>
      </c>
      <c r="B217" s="2353">
        <v>106202883</v>
      </c>
      <c r="C217" s="2354" t="s">
        <v>1980</v>
      </c>
      <c r="D217" s="1349" t="s">
        <v>1303</v>
      </c>
      <c r="E217" s="1336" t="s">
        <v>1304</v>
      </c>
      <c r="F217" s="2355">
        <f t="shared" si="38"/>
        <v>45</v>
      </c>
      <c r="G217" s="2355">
        <f t="shared" ref="G217:G248" si="45">LEN(E217)</f>
        <v>41</v>
      </c>
      <c r="H217" s="3832" t="s">
        <v>3798</v>
      </c>
      <c r="I217" s="2504">
        <v>21.977777777777778</v>
      </c>
      <c r="J217" s="2356">
        <v>21.49</v>
      </c>
      <c r="K217" s="2356">
        <v>23.56</v>
      </c>
      <c r="L217" s="2356">
        <v>29.99</v>
      </c>
      <c r="M217" s="3836">
        <v>21.98</v>
      </c>
      <c r="N217" s="1318">
        <f t="shared" si="41"/>
        <v>-0.28342780926975658</v>
      </c>
      <c r="O217" s="1318">
        <f t="shared" si="42"/>
        <v>2.2697895662065121E-2</v>
      </c>
      <c r="P217" s="2356">
        <f t="shared" si="43"/>
        <v>27.474999999999998</v>
      </c>
      <c r="Q217" s="2356">
        <f t="shared" si="44"/>
        <v>23.13684210526316</v>
      </c>
      <c r="R217" s="1280">
        <v>0.8</v>
      </c>
      <c r="S217" s="1280">
        <v>0.95</v>
      </c>
      <c r="T217" s="1280"/>
      <c r="U217" s="1280" t="s">
        <v>1104</v>
      </c>
      <c r="V217" s="1280" t="s">
        <v>1104</v>
      </c>
      <c r="W217" s="1280"/>
      <c r="X217" s="1280"/>
      <c r="Y217" s="142"/>
      <c r="Z217" s="142"/>
      <c r="AA217" s="751"/>
      <c r="AB217" s="142" t="s">
        <v>649</v>
      </c>
      <c r="AC217" s="142"/>
    </row>
    <row r="218" spans="1:30" s="1351" customFormat="1" x14ac:dyDescent="0.25">
      <c r="A218" s="2352" t="s">
        <v>93</v>
      </c>
      <c r="B218" s="2353">
        <v>106202884</v>
      </c>
      <c r="C218" s="2354" t="s">
        <v>1981</v>
      </c>
      <c r="D218" s="1349" t="s">
        <v>1307</v>
      </c>
      <c r="E218" s="1336" t="s">
        <v>1308</v>
      </c>
      <c r="F218" s="2355">
        <f t="shared" ref="F218:F249" si="46">LEN(D218)</f>
        <v>41</v>
      </c>
      <c r="G218" s="2355">
        <f t="shared" si="45"/>
        <v>37</v>
      </c>
      <c r="H218" s="3832" t="s">
        <v>3798</v>
      </c>
      <c r="I218" s="2504">
        <v>27.244444444444444</v>
      </c>
      <c r="J218" s="2356">
        <v>27.28</v>
      </c>
      <c r="K218" s="2356">
        <v>26.41</v>
      </c>
      <c r="L218" s="2356">
        <v>36.5</v>
      </c>
      <c r="M218" s="3836">
        <v>27.28</v>
      </c>
      <c r="N218" s="1318">
        <f t="shared" si="41"/>
        <v>-0.25260273972602737</v>
      </c>
      <c r="O218" s="1318">
        <f t="shared" si="42"/>
        <v>-1.303356142065893E-3</v>
      </c>
      <c r="P218" s="2356">
        <f t="shared" si="43"/>
        <v>34.1</v>
      </c>
      <c r="Q218" s="2356">
        <f t="shared" si="44"/>
        <v>28.715789473684215</v>
      </c>
      <c r="R218" s="1280">
        <v>0.8</v>
      </c>
      <c r="S218" s="1280">
        <v>0.95</v>
      </c>
      <c r="T218" s="1280"/>
      <c r="U218" s="1280" t="s">
        <v>1104</v>
      </c>
      <c r="V218" s="1280" t="s">
        <v>1104</v>
      </c>
      <c r="W218" s="1280"/>
      <c r="X218" s="1280"/>
      <c r="Y218" s="142"/>
      <c r="Z218" s="142"/>
      <c r="AA218" s="751"/>
      <c r="AB218" s="142" t="s">
        <v>649</v>
      </c>
      <c r="AC218" s="142"/>
    </row>
    <row r="219" spans="1:30" s="1351" customFormat="1" x14ac:dyDescent="0.25">
      <c r="A219" s="2352" t="s">
        <v>91</v>
      </c>
      <c r="B219" s="2353">
        <v>106202886</v>
      </c>
      <c r="C219" s="2354" t="s">
        <v>1982</v>
      </c>
      <c r="D219" s="1349" t="s">
        <v>1305</v>
      </c>
      <c r="E219" s="1336" t="s">
        <v>1306</v>
      </c>
      <c r="F219" s="2355">
        <f t="shared" si="46"/>
        <v>42</v>
      </c>
      <c r="G219" s="2355">
        <f t="shared" si="45"/>
        <v>38</v>
      </c>
      <c r="H219" s="3832" t="s">
        <v>3798</v>
      </c>
      <c r="I219" s="2504">
        <v>46.755555555555553</v>
      </c>
      <c r="J219" s="2356">
        <v>46.77</v>
      </c>
      <c r="K219" s="2356">
        <v>46.96</v>
      </c>
      <c r="L219" s="2356">
        <v>84.93</v>
      </c>
      <c r="M219" s="3836">
        <v>46.76</v>
      </c>
      <c r="N219" s="1318">
        <f t="shared" si="41"/>
        <v>-0.44931119745672909</v>
      </c>
      <c r="O219" s="1318">
        <f t="shared" si="42"/>
        <v>-3.0883994963545549E-4</v>
      </c>
      <c r="P219" s="2356">
        <f t="shared" si="43"/>
        <v>58.449999999999996</v>
      </c>
      <c r="Q219" s="2356">
        <f t="shared" si="44"/>
        <v>49.221052631578949</v>
      </c>
      <c r="R219" s="1280">
        <v>0.8</v>
      </c>
      <c r="S219" s="1280">
        <v>0.95</v>
      </c>
      <c r="T219" s="1280"/>
      <c r="U219" s="1280" t="s">
        <v>1104</v>
      </c>
      <c r="V219" s="1280" t="s">
        <v>1104</v>
      </c>
      <c r="W219" s="1280"/>
      <c r="X219" s="1280"/>
      <c r="Y219" s="142"/>
      <c r="Z219" s="142"/>
      <c r="AA219" s="751"/>
      <c r="AB219" s="142" t="s">
        <v>649</v>
      </c>
      <c r="AC219" s="142"/>
    </row>
    <row r="220" spans="1:30" s="1351" customFormat="1" x14ac:dyDescent="0.25">
      <c r="A220" s="2352" t="s">
        <v>159</v>
      </c>
      <c r="B220" s="2353">
        <v>106202891</v>
      </c>
      <c r="C220" s="2354" t="s">
        <v>1983</v>
      </c>
      <c r="D220" s="1349" t="s">
        <v>1870</v>
      </c>
      <c r="E220" s="1336" t="s">
        <v>1871</v>
      </c>
      <c r="F220" s="2355">
        <f t="shared" si="46"/>
        <v>38</v>
      </c>
      <c r="G220" s="2355">
        <f t="shared" si="45"/>
        <v>33</v>
      </c>
      <c r="H220" s="3832" t="s">
        <v>3798</v>
      </c>
      <c r="I220" s="2504">
        <v>770.67777777777781</v>
      </c>
      <c r="J220" s="2356">
        <v>972.31</v>
      </c>
      <c r="K220" s="2356">
        <v>947.11</v>
      </c>
      <c r="L220" s="2356">
        <v>958.72</v>
      </c>
      <c r="M220" s="3836">
        <v>770.68</v>
      </c>
      <c r="N220" s="1318">
        <f t="shared" si="41"/>
        <v>1.4175150200266938E-2</v>
      </c>
      <c r="O220" s="1318">
        <f t="shared" si="42"/>
        <v>-0.20737441990951666</v>
      </c>
      <c r="P220" s="2356">
        <f t="shared" si="43"/>
        <v>963.34999999999991</v>
      </c>
      <c r="Q220" s="2356">
        <f t="shared" si="44"/>
        <v>811.2421052631579</v>
      </c>
      <c r="R220" s="1280">
        <v>0.8</v>
      </c>
      <c r="S220" s="1280">
        <v>0.95</v>
      </c>
      <c r="T220" s="274"/>
      <c r="U220" s="274"/>
      <c r="V220" s="1280" t="s">
        <v>1104</v>
      </c>
      <c r="W220" s="1280"/>
      <c r="X220" s="1280"/>
      <c r="Y220" s="142"/>
      <c r="Z220" s="142"/>
      <c r="AA220" s="751"/>
      <c r="AB220" s="142" t="s">
        <v>649</v>
      </c>
      <c r="AC220" s="142"/>
    </row>
    <row r="221" spans="1:30" x14ac:dyDescent="0.25">
      <c r="A221" s="1082" t="s">
        <v>844</v>
      </c>
      <c r="B221" s="1848">
        <v>106202972</v>
      </c>
      <c r="C221" s="1287" t="s">
        <v>1984</v>
      </c>
      <c r="D221" s="1349" t="s">
        <v>1985</v>
      </c>
      <c r="E221" s="1335" t="s">
        <v>1468</v>
      </c>
      <c r="F221" s="1083">
        <f t="shared" si="46"/>
        <v>24</v>
      </c>
      <c r="G221" s="1083">
        <f t="shared" si="45"/>
        <v>25</v>
      </c>
      <c r="H221" s="3832" t="s">
        <v>3798</v>
      </c>
      <c r="I221" s="2504">
        <v>11.755555555555555</v>
      </c>
      <c r="J221" s="2356">
        <v>11.67</v>
      </c>
      <c r="K221" s="2356">
        <v>11.86</v>
      </c>
      <c r="L221" s="1281">
        <v>12.03</v>
      </c>
      <c r="M221" s="3836">
        <v>11.76</v>
      </c>
      <c r="N221" s="1318">
        <f t="shared" si="41"/>
        <v>-2.9925187032418907E-2</v>
      </c>
      <c r="O221" s="1318">
        <f t="shared" si="42"/>
        <v>7.3312386937064884E-3</v>
      </c>
      <c r="P221" s="1281">
        <f t="shared" si="43"/>
        <v>14.7</v>
      </c>
      <c r="Q221" s="1281">
        <f t="shared" si="44"/>
        <v>12.378947368421054</v>
      </c>
      <c r="R221" s="1280">
        <v>0.8</v>
      </c>
      <c r="S221" s="1280">
        <v>0.95</v>
      </c>
      <c r="T221" s="1347"/>
      <c r="U221" s="1347" t="s">
        <v>1104</v>
      </c>
      <c r="V221" s="1347"/>
      <c r="W221" s="1347"/>
      <c r="X221" s="1347"/>
      <c r="Y221" s="142"/>
      <c r="Z221" s="2190"/>
      <c r="AB221" s="2190" t="s">
        <v>649</v>
      </c>
      <c r="AC221" s="2190"/>
      <c r="AD221" s="86"/>
    </row>
    <row r="222" spans="1:30" x14ac:dyDescent="0.25">
      <c r="A222" s="1082" t="s">
        <v>138</v>
      </c>
      <c r="B222" s="1848">
        <v>106202973</v>
      </c>
      <c r="C222" s="1287" t="s">
        <v>1986</v>
      </c>
      <c r="D222" s="1349" t="s">
        <v>1985</v>
      </c>
      <c r="E222" s="1335" t="s">
        <v>1468</v>
      </c>
      <c r="F222" s="1083">
        <f t="shared" si="46"/>
        <v>24</v>
      </c>
      <c r="G222" s="1083">
        <f t="shared" si="45"/>
        <v>25</v>
      </c>
      <c r="H222" s="3832" t="s">
        <v>3798</v>
      </c>
      <c r="I222" s="2504">
        <v>14.977777777777778</v>
      </c>
      <c r="J222" s="2356">
        <v>14.9</v>
      </c>
      <c r="K222" s="2356">
        <v>15.1</v>
      </c>
      <c r="L222" s="1281">
        <v>16.93</v>
      </c>
      <c r="M222" s="3836">
        <v>14.98</v>
      </c>
      <c r="N222" s="1318">
        <f t="shared" si="41"/>
        <v>-0.11990549320732424</v>
      </c>
      <c r="O222" s="1318">
        <f t="shared" si="42"/>
        <v>5.2199850857568789E-3</v>
      </c>
      <c r="P222" s="1281">
        <f t="shared" si="43"/>
        <v>18.724999999999998</v>
      </c>
      <c r="Q222" s="1281">
        <f t="shared" si="44"/>
        <v>15.768421052631581</v>
      </c>
      <c r="R222" s="1280">
        <v>0.8</v>
      </c>
      <c r="S222" s="1280">
        <v>0.95</v>
      </c>
      <c r="T222" s="1347"/>
      <c r="U222" s="1347"/>
      <c r="V222" s="1347" t="s">
        <v>1104</v>
      </c>
      <c r="W222" s="1347"/>
      <c r="X222" s="1347"/>
      <c r="Y222" s="2190"/>
      <c r="Z222" s="2190"/>
      <c r="AB222" s="2190" t="s">
        <v>649</v>
      </c>
      <c r="AC222" s="2190" t="s">
        <v>1549</v>
      </c>
    </row>
    <row r="223" spans="1:30" x14ac:dyDescent="0.25">
      <c r="A223" s="1285" t="s">
        <v>970</v>
      </c>
      <c r="B223" s="1848">
        <v>106203178</v>
      </c>
      <c r="C223" s="1288" t="s">
        <v>1987</v>
      </c>
      <c r="D223" s="1348" t="s">
        <v>1437</v>
      </c>
      <c r="E223" s="1336" t="s">
        <v>1438</v>
      </c>
      <c r="F223" s="1347">
        <f t="shared" si="46"/>
        <v>30</v>
      </c>
      <c r="G223" s="1347">
        <f t="shared" si="45"/>
        <v>29</v>
      </c>
      <c r="H223" s="3832" t="s">
        <v>3798</v>
      </c>
      <c r="I223" s="2504">
        <v>94.277777777777771</v>
      </c>
      <c r="J223" s="2356">
        <v>94.12</v>
      </c>
      <c r="K223" s="2356">
        <v>94.12</v>
      </c>
      <c r="L223" s="1281">
        <v>89.61</v>
      </c>
      <c r="M223" s="3836">
        <v>94.12</v>
      </c>
      <c r="N223" s="1318">
        <f t="shared" si="41"/>
        <v>5.0329204329873957E-2</v>
      </c>
      <c r="O223" s="1318">
        <f t="shared" si="42"/>
        <v>1.676346980214268E-3</v>
      </c>
      <c r="P223" s="1281">
        <f t="shared" si="43"/>
        <v>235.3</v>
      </c>
      <c r="Q223" s="1281">
        <f t="shared" si="44"/>
        <v>156.86666666666667</v>
      </c>
      <c r="R223" s="1347">
        <v>0.4</v>
      </c>
      <c r="S223" s="1347">
        <v>0.6</v>
      </c>
      <c r="T223" s="1347"/>
      <c r="U223" s="1347" t="s">
        <v>1104</v>
      </c>
      <c r="V223" s="1347" t="s">
        <v>1104</v>
      </c>
      <c r="W223" s="1347"/>
      <c r="X223" s="1347"/>
      <c r="Y223" s="2190"/>
      <c r="Z223" s="2190"/>
      <c r="AA223" s="275"/>
      <c r="AB223" s="1347" t="s">
        <v>649</v>
      </c>
      <c r="AC223" s="1347"/>
      <c r="AD223" s="99"/>
    </row>
    <row r="224" spans="1:30" x14ac:dyDescent="0.25">
      <c r="A224" s="1082" t="s">
        <v>46</v>
      </c>
      <c r="B224" s="1848">
        <v>106203418</v>
      </c>
      <c r="C224" s="1287" t="s">
        <v>514</v>
      </c>
      <c r="D224" s="1358" t="s">
        <v>1988</v>
      </c>
      <c r="E224" s="1356" t="s">
        <v>1989</v>
      </c>
      <c r="F224" s="1083">
        <f t="shared" si="46"/>
        <v>23</v>
      </c>
      <c r="G224" s="1083">
        <f t="shared" si="45"/>
        <v>26</v>
      </c>
      <c r="H224" s="3832" t="s">
        <v>3819</v>
      </c>
      <c r="I224" s="2504">
        <v>1702.0444444444443</v>
      </c>
      <c r="J224" s="2356">
        <v>1763.72</v>
      </c>
      <c r="K224" s="2356">
        <v>1826.52</v>
      </c>
      <c r="L224" s="1281">
        <v>1709.2</v>
      </c>
      <c r="M224" s="1569">
        <v>1565.59</v>
      </c>
      <c r="N224" s="1318">
        <f t="shared" si="41"/>
        <v>3.1897963959747241E-2</v>
      </c>
      <c r="O224" s="1318">
        <f t="shared" si="42"/>
        <v>-3.4969017505928249E-2</v>
      </c>
      <c r="P224" s="1281">
        <v>4758.8887756799995</v>
      </c>
      <c r="Q224" s="1281">
        <v>3170</v>
      </c>
      <c r="R224" s="1347">
        <v>0.4</v>
      </c>
      <c r="S224" s="1347">
        <v>0.66612189303521541</v>
      </c>
      <c r="T224" s="1383"/>
      <c r="U224" s="2190" t="s">
        <v>1104</v>
      </c>
      <c r="V224" s="2190"/>
      <c r="X224" s="2190"/>
      <c r="Y224" s="2190"/>
      <c r="Z224" s="2190"/>
      <c r="AB224" s="2190"/>
      <c r="AC224" s="2190"/>
    </row>
    <row r="225" spans="1:30" x14ac:dyDescent="0.25">
      <c r="A225" s="1082" t="s">
        <v>437</v>
      </c>
      <c r="B225" s="1848">
        <v>106203421</v>
      </c>
      <c r="C225" s="1287" t="s">
        <v>520</v>
      </c>
      <c r="D225" s="1358" t="s">
        <v>1990</v>
      </c>
      <c r="E225" s="1356" t="s">
        <v>1991</v>
      </c>
      <c r="F225" s="1083">
        <f t="shared" si="46"/>
        <v>23</v>
      </c>
      <c r="G225" s="1083">
        <f t="shared" si="45"/>
        <v>26</v>
      </c>
      <c r="H225" s="3832" t="s">
        <v>3819</v>
      </c>
      <c r="I225" s="2504">
        <v>2036.088888888889</v>
      </c>
      <c r="J225" s="2356">
        <v>2046.32</v>
      </c>
      <c r="K225" s="2356">
        <v>2090.4699999999998</v>
      </c>
      <c r="L225" s="1281">
        <v>1996.33</v>
      </c>
      <c r="M225" s="1569">
        <v>1984.48</v>
      </c>
      <c r="N225" s="1318">
        <f t="shared" si="41"/>
        <v>2.5040950143513353E-2</v>
      </c>
      <c r="O225" s="1318">
        <f t="shared" si="42"/>
        <v>-4.9997610887402644E-3</v>
      </c>
      <c r="P225" s="1281">
        <v>5603</v>
      </c>
      <c r="Q225" s="1281">
        <v>3600</v>
      </c>
      <c r="R225" s="1347">
        <v>0</v>
      </c>
      <c r="S225" s="1347">
        <v>0.64251293949669819</v>
      </c>
      <c r="T225" s="1383"/>
      <c r="U225" s="2190" t="s">
        <v>1104</v>
      </c>
      <c r="V225" s="2190"/>
      <c r="X225" s="2190"/>
      <c r="Y225" s="2190"/>
      <c r="Z225" s="2190"/>
      <c r="AB225" s="2190"/>
      <c r="AC225" s="2190"/>
    </row>
    <row r="226" spans="1:30" x14ac:dyDescent="0.25">
      <c r="A226" s="1082" t="s">
        <v>516</v>
      </c>
      <c r="B226" s="1848">
        <v>106203422</v>
      </c>
      <c r="C226" s="1287" t="s">
        <v>517</v>
      </c>
      <c r="D226" s="1358" t="s">
        <v>1992</v>
      </c>
      <c r="E226" s="1356" t="s">
        <v>1993</v>
      </c>
      <c r="F226" s="1083">
        <f t="shared" si="46"/>
        <v>23</v>
      </c>
      <c r="G226" s="1083">
        <f t="shared" si="45"/>
        <v>26</v>
      </c>
      <c r="H226" s="3832" t="s">
        <v>3819</v>
      </c>
      <c r="I226" s="2504">
        <v>1794.5444444444443</v>
      </c>
      <c r="J226" s="2356">
        <v>1859.99</v>
      </c>
      <c r="K226" s="2356">
        <v>1961</v>
      </c>
      <c r="L226" s="1281">
        <v>1823.45</v>
      </c>
      <c r="M226" s="1569">
        <v>1752.44</v>
      </c>
      <c r="N226" s="1318">
        <f t="shared" si="41"/>
        <v>2.0038937179522313E-2</v>
      </c>
      <c r="O226" s="1318">
        <f t="shared" si="42"/>
        <v>-3.5185971728641421E-2</v>
      </c>
      <c r="P226" s="1281">
        <v>5163.7248</v>
      </c>
      <c r="Q226" s="1281">
        <v>3456</v>
      </c>
      <c r="R226" s="1347">
        <v>0</v>
      </c>
      <c r="S226" s="1347">
        <v>0.66928431197572724</v>
      </c>
      <c r="T226" s="1383"/>
      <c r="U226" s="2190" t="s">
        <v>1104</v>
      </c>
      <c r="V226" s="2190"/>
      <c r="X226" s="2190"/>
      <c r="Y226" s="2190"/>
      <c r="Z226" s="2190"/>
      <c r="AB226" s="2190"/>
      <c r="AC226" s="2190"/>
    </row>
    <row r="227" spans="1:30" x14ac:dyDescent="0.25">
      <c r="A227" s="1285" t="s">
        <v>509</v>
      </c>
      <c r="B227" s="1848">
        <v>106203424</v>
      </c>
      <c r="C227" s="1287" t="s">
        <v>510</v>
      </c>
      <c r="D227" s="1358" t="s">
        <v>1994</v>
      </c>
      <c r="E227" s="1356" t="s">
        <v>1995</v>
      </c>
      <c r="F227" s="1083">
        <f t="shared" si="46"/>
        <v>28</v>
      </c>
      <c r="G227" s="1083">
        <f t="shared" si="45"/>
        <v>31</v>
      </c>
      <c r="H227" s="3832" t="s">
        <v>3819</v>
      </c>
      <c r="I227" s="2504">
        <v>1161.911111111111</v>
      </c>
      <c r="J227" s="2356">
        <v>1166.82</v>
      </c>
      <c r="K227" s="2356">
        <v>1113.79</v>
      </c>
      <c r="L227" s="1281">
        <v>1209.52</v>
      </c>
      <c r="M227" s="1569">
        <v>1158.6199999999999</v>
      </c>
      <c r="N227" s="1318">
        <f t="shared" si="41"/>
        <v>-3.5303260797671841E-2</v>
      </c>
      <c r="O227" s="1318">
        <f t="shared" si="42"/>
        <v>-4.2070661189291371E-3</v>
      </c>
      <c r="P227" s="1281">
        <v>3055.7999999999997</v>
      </c>
      <c r="Q227" s="1281">
        <v>2037.2</v>
      </c>
      <c r="R227" s="1347"/>
      <c r="S227" s="1347"/>
      <c r="T227" s="1347" t="s">
        <v>1104</v>
      </c>
      <c r="U227" s="2190"/>
      <c r="V227" s="2190"/>
      <c r="X227" s="2190"/>
      <c r="Y227" s="2190"/>
      <c r="Z227" s="2190"/>
      <c r="AB227" s="2190"/>
      <c r="AC227" s="2190"/>
    </row>
    <row r="228" spans="1:30" x14ac:dyDescent="0.25">
      <c r="A228" s="1082" t="s">
        <v>1067</v>
      </c>
      <c r="B228" s="1848">
        <v>106203799</v>
      </c>
      <c r="C228" s="2193" t="s">
        <v>1996</v>
      </c>
      <c r="D228" s="1288" t="s">
        <v>2957</v>
      </c>
      <c r="E228" s="1550" t="s">
        <v>2958</v>
      </c>
      <c r="F228" s="275">
        <f t="shared" si="46"/>
        <v>24</v>
      </c>
      <c r="G228" s="275">
        <f t="shared" si="45"/>
        <v>25</v>
      </c>
      <c r="H228" s="3832" t="s">
        <v>3799</v>
      </c>
      <c r="I228" s="2504">
        <v>20.033333333333335</v>
      </c>
      <c r="J228" s="2358">
        <v>23.3</v>
      </c>
      <c r="K228" s="2358">
        <v>18.72</v>
      </c>
      <c r="L228" s="1542">
        <v>15.93</v>
      </c>
      <c r="M228" s="3837">
        <v>20.03</v>
      </c>
      <c r="N228" s="2194">
        <f t="shared" si="41"/>
        <v>0.46264908976773389</v>
      </c>
      <c r="O228" s="1318">
        <f t="shared" si="42"/>
        <v>-0.14020028612303287</v>
      </c>
      <c r="P228" s="1542">
        <f>M228/R228</f>
        <v>50.075000000000003</v>
      </c>
      <c r="Q228" s="1542">
        <f>M228/S228</f>
        <v>33.38333333333334</v>
      </c>
      <c r="R228" s="275">
        <v>0.4</v>
      </c>
      <c r="S228" s="275">
        <v>0.6</v>
      </c>
      <c r="T228" s="275"/>
      <c r="U228" s="275" t="s">
        <v>1104</v>
      </c>
      <c r="V228" s="275" t="s">
        <v>1104</v>
      </c>
      <c r="W228" s="275" t="s">
        <v>1104</v>
      </c>
      <c r="X228" s="275" t="s">
        <v>1104</v>
      </c>
      <c r="Y228" s="2217"/>
      <c r="Z228" s="2217" t="s">
        <v>1104</v>
      </c>
      <c r="AA228" s="2623"/>
      <c r="AB228" s="2222"/>
      <c r="AC228" s="2222"/>
      <c r="AD228" s="2220"/>
    </row>
    <row r="229" spans="1:30" s="1351" customFormat="1" x14ac:dyDescent="0.25">
      <c r="A229" s="1082" t="s">
        <v>21</v>
      </c>
      <c r="B229" s="2353">
        <v>106203894</v>
      </c>
      <c r="C229" s="2354" t="s">
        <v>1255</v>
      </c>
      <c r="D229" s="1349" t="s">
        <v>1253</v>
      </c>
      <c r="E229" s="1336" t="s">
        <v>1254</v>
      </c>
      <c r="F229" s="2355">
        <f t="shared" si="46"/>
        <v>33</v>
      </c>
      <c r="G229" s="2355">
        <f t="shared" si="45"/>
        <v>28</v>
      </c>
      <c r="H229" s="3832" t="s">
        <v>3800</v>
      </c>
      <c r="I229" s="2504">
        <v>354.62222222222226</v>
      </c>
      <c r="J229" s="2356">
        <v>354.67</v>
      </c>
      <c r="K229" s="2356">
        <v>355.02</v>
      </c>
      <c r="L229" s="2356">
        <v>352.93</v>
      </c>
      <c r="M229" s="3836">
        <f>M122</f>
        <v>354.67</v>
      </c>
      <c r="N229" s="1318"/>
      <c r="O229" s="1318">
        <f t="shared" si="42"/>
        <v>-1.3471051337229895E-4</v>
      </c>
      <c r="P229" s="2356">
        <f>M229/R229</f>
        <v>443.33749999999998</v>
      </c>
      <c r="Q229" s="2356">
        <f>M229/S229</f>
        <v>373.3368421052632</v>
      </c>
      <c r="R229" s="1280">
        <v>0.8</v>
      </c>
      <c r="S229" s="1280">
        <v>0.95</v>
      </c>
      <c r="T229" s="1280"/>
      <c r="U229" s="1280" t="s">
        <v>1104</v>
      </c>
      <c r="V229" s="1280" t="s">
        <v>1104</v>
      </c>
      <c r="W229" s="1280"/>
      <c r="X229" s="1280"/>
      <c r="Y229" s="142"/>
      <c r="Z229" s="142"/>
      <c r="AA229" s="751"/>
      <c r="AB229" s="142">
        <v>106113580</v>
      </c>
      <c r="AC229" s="142" t="s">
        <v>1549</v>
      </c>
      <c r="AD229" s="1286"/>
    </row>
    <row r="230" spans="1:30" s="1351" customFormat="1" x14ac:dyDescent="0.25">
      <c r="A230" s="2352" t="s">
        <v>21</v>
      </c>
      <c r="B230" s="2353">
        <v>106204083</v>
      </c>
      <c r="C230" s="2354" t="s">
        <v>1250</v>
      </c>
      <c r="D230" s="1349" t="s">
        <v>1357</v>
      </c>
      <c r="E230" s="1336" t="s">
        <v>1358</v>
      </c>
      <c r="F230" s="2355">
        <f t="shared" si="46"/>
        <v>41</v>
      </c>
      <c r="G230" s="2355">
        <f t="shared" si="45"/>
        <v>36</v>
      </c>
      <c r="H230" s="3832" t="s">
        <v>3800</v>
      </c>
      <c r="I230" s="2504">
        <v>338.38888888888891</v>
      </c>
      <c r="J230" s="2356">
        <v>338.48</v>
      </c>
      <c r="K230" s="2356">
        <v>622.84</v>
      </c>
      <c r="L230" s="2356">
        <v>711.88</v>
      </c>
      <c r="M230" s="3836">
        <f>M122</f>
        <v>354.67</v>
      </c>
      <c r="N230" s="1318"/>
      <c r="O230" s="1318">
        <f t="shared" si="42"/>
        <v>-2.6917723679716391E-4</v>
      </c>
      <c r="P230" s="2356">
        <f>M230/R230</f>
        <v>443.33749999999998</v>
      </c>
      <c r="Q230" s="2356">
        <f>M230/S230</f>
        <v>373.3368421052632</v>
      </c>
      <c r="R230" s="1280">
        <v>0.8</v>
      </c>
      <c r="S230" s="1280">
        <v>0.95</v>
      </c>
      <c r="T230" s="1280"/>
      <c r="U230" s="1280" t="s">
        <v>1104</v>
      </c>
      <c r="V230" s="1280"/>
      <c r="W230" s="1280"/>
      <c r="X230" s="1280"/>
      <c r="Y230" s="142"/>
      <c r="Z230" s="142"/>
      <c r="AA230" s="751"/>
      <c r="AB230" s="142">
        <v>106113580</v>
      </c>
      <c r="AC230" s="142" t="s">
        <v>1549</v>
      </c>
      <c r="AD230" s="1351">
        <v>1627</v>
      </c>
    </row>
    <row r="231" spans="1:30" s="86" customFormat="1" x14ac:dyDescent="0.25">
      <c r="A231" s="1082" t="s">
        <v>884</v>
      </c>
      <c r="B231" s="3283">
        <v>106204234</v>
      </c>
      <c r="C231" s="1082" t="s">
        <v>1997</v>
      </c>
      <c r="D231" s="1349" t="s">
        <v>1608</v>
      </c>
      <c r="E231" s="3284" t="s">
        <v>1609</v>
      </c>
      <c r="F231" s="1083">
        <f t="shared" si="46"/>
        <v>32</v>
      </c>
      <c r="G231" s="1083">
        <f t="shared" si="45"/>
        <v>30</v>
      </c>
      <c r="H231" s="3832" t="s">
        <v>3798</v>
      </c>
      <c r="I231" s="2504">
        <v>13.311111111111112</v>
      </c>
      <c r="J231" s="2355">
        <v>14.77</v>
      </c>
      <c r="K231" s="2355">
        <v>9.66</v>
      </c>
      <c r="L231" s="1281"/>
      <c r="M231" s="3836">
        <v>14.77</v>
      </c>
      <c r="N231" s="1569"/>
      <c r="O231" s="1318">
        <f t="shared" si="42"/>
        <v>-9.8773790716918608E-2</v>
      </c>
      <c r="P231" s="1281">
        <f>M231/R231</f>
        <v>18.462499999999999</v>
      </c>
      <c r="Q231" s="1281">
        <f>M231/S231</f>
        <v>15.547368421052632</v>
      </c>
      <c r="R231" s="1280">
        <v>0.8</v>
      </c>
      <c r="S231" s="1280">
        <v>0.95</v>
      </c>
      <c r="T231" s="1347"/>
      <c r="U231" s="1347" t="s">
        <v>1104</v>
      </c>
      <c r="V231" s="1347" t="s">
        <v>1104</v>
      </c>
      <c r="W231" s="1347" t="s">
        <v>1104</v>
      </c>
      <c r="X231" s="1347"/>
      <c r="Y231" s="1347"/>
      <c r="Z231" s="3239"/>
      <c r="AA231" s="3239"/>
      <c r="AB231" s="2633" t="s">
        <v>649</v>
      </c>
      <c r="AC231" s="2633"/>
      <c r="AD231" s="2633"/>
    </row>
    <row r="232" spans="1:30" x14ac:dyDescent="0.25">
      <c r="A232" s="1285" t="s">
        <v>1998</v>
      </c>
      <c r="B232" s="1848">
        <v>106204289</v>
      </c>
      <c r="C232" s="1288" t="s">
        <v>1999</v>
      </c>
      <c r="D232" s="1288" t="s">
        <v>2959</v>
      </c>
      <c r="E232" s="1335" t="s">
        <v>2960</v>
      </c>
      <c r="F232" s="1347">
        <f t="shared" si="46"/>
        <v>26</v>
      </c>
      <c r="G232" s="1347">
        <f t="shared" si="45"/>
        <v>27</v>
      </c>
      <c r="H232" s="3832" t="s">
        <v>3798</v>
      </c>
      <c r="I232" s="2504">
        <v>20.966666666666669</v>
      </c>
      <c r="J232" s="2356">
        <v>20.96</v>
      </c>
      <c r="K232" s="2356">
        <v>19.899999999999999</v>
      </c>
      <c r="L232" s="1281">
        <v>15.93</v>
      </c>
      <c r="M232" s="3836">
        <v>20.96</v>
      </c>
      <c r="N232" s="1318">
        <f t="shared" ref="N232:N239" si="47">(J232-L232)/L232</f>
        <v>0.31575643440050227</v>
      </c>
      <c r="O232" s="1318">
        <f t="shared" si="42"/>
        <v>3.1806615776086393E-4</v>
      </c>
      <c r="P232" s="1281">
        <f>M232/R232</f>
        <v>52.4</v>
      </c>
      <c r="Q232" s="1281">
        <f>M232/S232</f>
        <v>34.933333333333337</v>
      </c>
      <c r="R232" s="1347">
        <v>0.4</v>
      </c>
      <c r="S232" s="1347">
        <v>0.6</v>
      </c>
      <c r="T232" s="1347"/>
      <c r="U232" s="1347" t="s">
        <v>1104</v>
      </c>
      <c r="V232" s="1347" t="s">
        <v>1104</v>
      </c>
      <c r="W232" s="1347" t="s">
        <v>1104</v>
      </c>
      <c r="X232" s="1347"/>
      <c r="Y232" s="2190"/>
      <c r="Z232" s="2190" t="s">
        <v>1104</v>
      </c>
      <c r="AA232" s="2623"/>
      <c r="AB232" s="2219" t="s">
        <v>649</v>
      </c>
      <c r="AC232" s="2219"/>
      <c r="AD232" s="2221"/>
    </row>
    <row r="233" spans="1:30" x14ac:dyDescent="0.25">
      <c r="A233" s="1082" t="s">
        <v>1122</v>
      </c>
      <c r="B233" s="1848">
        <v>106204514</v>
      </c>
      <c r="C233" s="1287" t="s">
        <v>2000</v>
      </c>
      <c r="D233" s="1358" t="s">
        <v>2778</v>
      </c>
      <c r="E233" s="1356" t="s">
        <v>2786</v>
      </c>
      <c r="F233" s="1083">
        <f t="shared" si="46"/>
        <v>30</v>
      </c>
      <c r="G233" s="1083">
        <f t="shared" si="45"/>
        <v>33</v>
      </c>
      <c r="H233" s="3832" t="s">
        <v>3819</v>
      </c>
      <c r="I233" s="2504">
        <v>2070.6222222222223</v>
      </c>
      <c r="J233" s="2356">
        <v>2219.83</v>
      </c>
      <c r="K233" s="2356">
        <v>2232.23</v>
      </c>
      <c r="L233" s="1281">
        <v>2143.7399999999998</v>
      </c>
      <c r="M233" s="1569">
        <v>2089.67</v>
      </c>
      <c r="N233" s="1318">
        <f t="shared" si="47"/>
        <v>3.5494043120900924E-2</v>
      </c>
      <c r="O233" s="1318">
        <f t="shared" ref="O233:O264" si="48">(I233-J233)/J233</f>
        <v>-6.7215857870998083E-2</v>
      </c>
      <c r="P233" s="1281">
        <v>8868.86</v>
      </c>
      <c r="Q233" s="1281">
        <v>5055.25</v>
      </c>
      <c r="R233" s="1347"/>
      <c r="S233" s="1347"/>
      <c r="T233" s="1383"/>
      <c r="U233" s="2190" t="s">
        <v>1104</v>
      </c>
      <c r="V233" s="2190" t="s">
        <v>1104</v>
      </c>
      <c r="X233" s="2190"/>
      <c r="Y233" s="2190"/>
      <c r="Z233" s="2190"/>
      <c r="AB233" s="2190"/>
      <c r="AC233" s="2190"/>
    </row>
    <row r="234" spans="1:30" x14ac:dyDescent="0.25">
      <c r="A234" s="1082" t="s">
        <v>1123</v>
      </c>
      <c r="B234" s="1848">
        <v>106204515</v>
      </c>
      <c r="C234" s="1287" t="s">
        <v>2001</v>
      </c>
      <c r="D234" s="1358" t="s">
        <v>3145</v>
      </c>
      <c r="E234" s="1356" t="s">
        <v>3146</v>
      </c>
      <c r="F234" s="1083">
        <f t="shared" si="46"/>
        <v>33</v>
      </c>
      <c r="G234" s="1083">
        <f t="shared" si="45"/>
        <v>36</v>
      </c>
      <c r="H234" s="3832" t="s">
        <v>3819</v>
      </c>
      <c r="I234" s="2504">
        <v>2070.6222222222223</v>
      </c>
      <c r="J234" s="2356">
        <v>2219.83</v>
      </c>
      <c r="K234" s="2356">
        <v>2232.23</v>
      </c>
      <c r="L234" s="1281">
        <v>2143.7399999999998</v>
      </c>
      <c r="M234" s="1569">
        <v>2089.67</v>
      </c>
      <c r="N234" s="1318">
        <f t="shared" si="47"/>
        <v>3.5494043120900924E-2</v>
      </c>
      <c r="O234" s="1318">
        <f t="shared" si="48"/>
        <v>-6.7215857870998083E-2</v>
      </c>
      <c r="P234" s="1281">
        <v>8868.86</v>
      </c>
      <c r="Q234" s="1281">
        <v>5055.25</v>
      </c>
      <c r="R234" s="1347"/>
      <c r="S234" s="1347"/>
      <c r="T234" s="1383"/>
      <c r="U234" s="2190"/>
      <c r="V234" s="2190" t="s">
        <v>1104</v>
      </c>
      <c r="X234" s="2190"/>
      <c r="Y234" s="2190"/>
      <c r="Z234" s="2190"/>
      <c r="AB234" s="2190"/>
      <c r="AC234" s="2190"/>
    </row>
    <row r="235" spans="1:30" x14ac:dyDescent="0.25">
      <c r="A235" s="1082" t="s">
        <v>1124</v>
      </c>
      <c r="B235" s="1848">
        <v>106204516</v>
      </c>
      <c r="C235" s="1287" t="s">
        <v>2002</v>
      </c>
      <c r="D235" s="1358" t="s">
        <v>2779</v>
      </c>
      <c r="E235" s="1356" t="s">
        <v>2782</v>
      </c>
      <c r="F235" s="1083">
        <f t="shared" si="46"/>
        <v>30</v>
      </c>
      <c r="G235" s="1083">
        <f t="shared" si="45"/>
        <v>33</v>
      </c>
      <c r="H235" s="3832" t="s">
        <v>3819</v>
      </c>
      <c r="I235" s="2504">
        <v>2070.6222222222223</v>
      </c>
      <c r="J235" s="2356">
        <v>2219.83</v>
      </c>
      <c r="K235" s="2356">
        <v>2232.23</v>
      </c>
      <c r="L235" s="1281">
        <v>2143.7399999999998</v>
      </c>
      <c r="M235" s="1569">
        <v>2089.67</v>
      </c>
      <c r="N235" s="1318">
        <f t="shared" si="47"/>
        <v>3.5494043120900924E-2</v>
      </c>
      <c r="O235" s="1318">
        <f t="shared" si="48"/>
        <v>-6.7215857870998083E-2</v>
      </c>
      <c r="P235" s="1281">
        <v>9401</v>
      </c>
      <c r="Q235" s="1281">
        <v>5358.57</v>
      </c>
      <c r="R235" s="1347"/>
      <c r="S235" s="1347"/>
      <c r="T235" s="1383"/>
      <c r="U235" s="2190" t="s">
        <v>1104</v>
      </c>
      <c r="V235" s="2190" t="s">
        <v>1104</v>
      </c>
      <c r="X235" s="2190"/>
      <c r="Y235" s="2190"/>
      <c r="Z235" s="2190"/>
      <c r="AB235" s="2190"/>
      <c r="AC235" s="2190"/>
    </row>
    <row r="236" spans="1:30" x14ac:dyDescent="0.25">
      <c r="A236" s="1082" t="s">
        <v>1125</v>
      </c>
      <c r="B236" s="1848">
        <v>106204517</v>
      </c>
      <c r="C236" s="1287" t="s">
        <v>2003</v>
      </c>
      <c r="D236" s="1358" t="s">
        <v>3148</v>
      </c>
      <c r="E236" s="1356" t="s">
        <v>3149</v>
      </c>
      <c r="F236" s="1083">
        <f t="shared" si="46"/>
        <v>33</v>
      </c>
      <c r="G236" s="1083">
        <f t="shared" si="45"/>
        <v>36</v>
      </c>
      <c r="H236" s="3832" t="s">
        <v>3819</v>
      </c>
      <c r="I236" s="2504">
        <v>2070.6222222222223</v>
      </c>
      <c r="J236" s="2356">
        <v>2219.83</v>
      </c>
      <c r="K236" s="2356">
        <v>2232.23</v>
      </c>
      <c r="L236" s="1281">
        <v>2143.7399999999998</v>
      </c>
      <c r="M236" s="1569">
        <v>2089.67</v>
      </c>
      <c r="N236" s="1318">
        <f t="shared" si="47"/>
        <v>3.5494043120900924E-2</v>
      </c>
      <c r="O236" s="1318">
        <f t="shared" si="48"/>
        <v>-6.7215857870998083E-2</v>
      </c>
      <c r="P236" s="1281">
        <v>9401</v>
      </c>
      <c r="Q236" s="1281">
        <v>5358.57</v>
      </c>
      <c r="R236" s="1347"/>
      <c r="S236" s="1347"/>
      <c r="T236" s="1383"/>
      <c r="U236" s="2190"/>
      <c r="V236" s="2190" t="s">
        <v>1104</v>
      </c>
      <c r="X236" s="2190"/>
      <c r="Y236" s="2190"/>
      <c r="Z236" s="2190"/>
      <c r="AB236" s="2190"/>
      <c r="AC236" s="2190"/>
    </row>
    <row r="237" spans="1:30" x14ac:dyDescent="0.25">
      <c r="A237" s="1082" t="s">
        <v>1126</v>
      </c>
      <c r="B237" s="1848">
        <v>106204518</v>
      </c>
      <c r="C237" s="1287" t="s">
        <v>2004</v>
      </c>
      <c r="D237" s="1358" t="s">
        <v>2780</v>
      </c>
      <c r="E237" s="1356" t="s">
        <v>2783</v>
      </c>
      <c r="F237" s="1083">
        <f t="shared" si="46"/>
        <v>30</v>
      </c>
      <c r="G237" s="1083">
        <f t="shared" si="45"/>
        <v>33</v>
      </c>
      <c r="H237" s="3832" t="s">
        <v>3819</v>
      </c>
      <c r="I237" s="2504">
        <v>2070.6222222222223</v>
      </c>
      <c r="J237" s="2356">
        <v>2219.83</v>
      </c>
      <c r="K237" s="2356">
        <v>2232.23</v>
      </c>
      <c r="L237" s="1281">
        <v>2143.7399999999998</v>
      </c>
      <c r="M237" s="1569">
        <v>2089.67</v>
      </c>
      <c r="N237" s="1318">
        <f t="shared" si="47"/>
        <v>3.5494043120900924E-2</v>
      </c>
      <c r="O237" s="1318">
        <f t="shared" si="48"/>
        <v>-6.7215857870998083E-2</v>
      </c>
      <c r="P237" s="1281">
        <v>9495.01</v>
      </c>
      <c r="Q237" s="1281">
        <v>5412.15</v>
      </c>
      <c r="R237" s="1347"/>
      <c r="S237" s="1347"/>
      <c r="T237" s="1383"/>
      <c r="U237" s="2190" t="s">
        <v>1104</v>
      </c>
      <c r="V237" s="2190" t="s">
        <v>1104</v>
      </c>
      <c r="X237" s="2190"/>
      <c r="Y237" s="2190"/>
      <c r="Z237" s="2190"/>
      <c r="AB237" s="2190"/>
      <c r="AC237" s="2190"/>
    </row>
    <row r="238" spans="1:30" x14ac:dyDescent="0.25">
      <c r="A238" s="1082" t="s">
        <v>1127</v>
      </c>
      <c r="B238" s="1848">
        <v>106204519</v>
      </c>
      <c r="C238" s="1287" t="s">
        <v>2005</v>
      </c>
      <c r="D238" s="1358" t="s">
        <v>3151</v>
      </c>
      <c r="E238" s="1356" t="s">
        <v>3152</v>
      </c>
      <c r="F238" s="1083">
        <f t="shared" si="46"/>
        <v>33</v>
      </c>
      <c r="G238" s="1083">
        <f t="shared" si="45"/>
        <v>36</v>
      </c>
      <c r="H238" s="3832" t="s">
        <v>3819</v>
      </c>
      <c r="I238" s="2504">
        <v>2070.6222222222223</v>
      </c>
      <c r="J238" s="2356">
        <v>2219.83</v>
      </c>
      <c r="K238" s="2356">
        <v>2232.23</v>
      </c>
      <c r="L238" s="1281">
        <v>2143.7399999999998</v>
      </c>
      <c r="M238" s="1569">
        <v>2089.67</v>
      </c>
      <c r="N238" s="1318">
        <f t="shared" si="47"/>
        <v>3.5494043120900924E-2</v>
      </c>
      <c r="O238" s="1318">
        <f t="shared" si="48"/>
        <v>-6.7215857870998083E-2</v>
      </c>
      <c r="P238" s="1281">
        <v>9495.01</v>
      </c>
      <c r="Q238" s="1281">
        <v>5412.15</v>
      </c>
      <c r="R238" s="1347"/>
      <c r="S238" s="1347"/>
      <c r="T238" s="1383"/>
      <c r="U238" s="2190"/>
      <c r="V238" s="2190" t="s">
        <v>1104</v>
      </c>
      <c r="X238" s="2190"/>
      <c r="Y238" s="2190"/>
      <c r="Z238" s="2190"/>
      <c r="AB238" s="2190"/>
      <c r="AC238" s="2190"/>
    </row>
    <row r="239" spans="1:30" x14ac:dyDescent="0.25">
      <c r="A239" s="1082" t="s">
        <v>1201</v>
      </c>
      <c r="B239" s="1848">
        <v>106204701</v>
      </c>
      <c r="C239" s="1287" t="s">
        <v>2006</v>
      </c>
      <c r="D239" s="1355" t="s">
        <v>3748</v>
      </c>
      <c r="E239" s="1356" t="s">
        <v>3749</v>
      </c>
      <c r="F239" s="1083">
        <f t="shared" si="46"/>
        <v>26</v>
      </c>
      <c r="G239" s="1083">
        <f t="shared" si="45"/>
        <v>29</v>
      </c>
      <c r="H239" s="3832" t="s">
        <v>3819</v>
      </c>
      <c r="I239" s="2504">
        <v>2070.6222222222223</v>
      </c>
      <c r="J239" s="2356">
        <v>2219.83</v>
      </c>
      <c r="K239" s="2356">
        <v>2232.23</v>
      </c>
      <c r="L239" s="1281">
        <v>2005.09</v>
      </c>
      <c r="M239" s="1569">
        <v>1984.48</v>
      </c>
      <c r="N239" s="1318">
        <f t="shared" si="47"/>
        <v>0.10709743702277705</v>
      </c>
      <c r="O239" s="1318">
        <f t="shared" si="48"/>
        <v>-6.7215857870998083E-2</v>
      </c>
      <c r="P239" s="1281">
        <v>5836.7058823529405</v>
      </c>
      <c r="Q239" s="1281">
        <v>3600</v>
      </c>
      <c r="R239" s="1347"/>
      <c r="S239" s="1347"/>
      <c r="T239" s="1383"/>
      <c r="U239" s="2190" t="s">
        <v>1104</v>
      </c>
      <c r="V239" s="2190"/>
      <c r="X239" s="2190"/>
      <c r="Y239" s="2190"/>
      <c r="Z239" s="2190"/>
      <c r="AB239" s="2190"/>
      <c r="AC239" s="2190"/>
    </row>
    <row r="240" spans="1:30" x14ac:dyDescent="0.25">
      <c r="A240" s="1082" t="s">
        <v>2401</v>
      </c>
      <c r="B240" s="1848">
        <v>106204718</v>
      </c>
      <c r="C240" s="1287" t="s">
        <v>2435</v>
      </c>
      <c r="D240" s="1358" t="s">
        <v>2389</v>
      </c>
      <c r="E240" s="1356" t="s">
        <v>2390</v>
      </c>
      <c r="F240" s="1083">
        <f t="shared" si="46"/>
        <v>33</v>
      </c>
      <c r="G240" s="1083">
        <f t="shared" si="45"/>
        <v>36</v>
      </c>
      <c r="H240" s="3832" t="s">
        <v>3819</v>
      </c>
      <c r="I240" s="2504">
        <v>2138.8444444444444</v>
      </c>
      <c r="J240" s="2356">
        <v>2153.2199999999998</v>
      </c>
      <c r="K240" s="2356">
        <v>2246.9699999999998</v>
      </c>
      <c r="L240" s="1281">
        <v>2153.2199999999998</v>
      </c>
      <c r="M240" s="1569">
        <v>2153.2199999999998</v>
      </c>
      <c r="N240" s="1318"/>
      <c r="O240" s="1318">
        <f t="shared" si="48"/>
        <v>-6.676305976888273E-3</v>
      </c>
      <c r="P240" s="1281">
        <v>6373.6</v>
      </c>
      <c r="Q240" s="1281">
        <v>3649.45</v>
      </c>
      <c r="R240" s="2190"/>
      <c r="S240" s="1347"/>
      <c r="T240" s="1383"/>
      <c r="U240" s="2190"/>
      <c r="V240" s="2190"/>
      <c r="W240" s="2633" t="s">
        <v>1104</v>
      </c>
      <c r="X240" s="2190"/>
      <c r="Y240" s="2190"/>
      <c r="Z240" s="2190"/>
      <c r="AB240" s="2190"/>
      <c r="AC240" s="2190"/>
    </row>
    <row r="241" spans="1:30" x14ac:dyDescent="0.25">
      <c r="A241" s="1082" t="s">
        <v>1610</v>
      </c>
      <c r="B241" s="1848">
        <v>106204720</v>
      </c>
      <c r="C241" s="1287" t="s">
        <v>2436</v>
      </c>
      <c r="D241" s="1358" t="s">
        <v>2331</v>
      </c>
      <c r="E241" s="1356" t="s">
        <v>2332</v>
      </c>
      <c r="F241" s="1083">
        <f t="shared" si="46"/>
        <v>36</v>
      </c>
      <c r="G241" s="1083">
        <f t="shared" si="45"/>
        <v>39</v>
      </c>
      <c r="H241" s="3832" t="s">
        <v>3819</v>
      </c>
      <c r="I241" s="2504">
        <v>2085.3111111111111</v>
      </c>
      <c r="J241" s="2356"/>
      <c r="K241" s="2356">
        <v>2246.9699999999998</v>
      </c>
      <c r="L241" s="1281">
        <v>2132.4</v>
      </c>
      <c r="M241" s="1569">
        <v>2132.4</v>
      </c>
      <c r="N241" s="1318"/>
      <c r="O241" s="1318" t="e">
        <f t="shared" si="48"/>
        <v>#DIV/0!</v>
      </c>
      <c r="P241" s="1281">
        <v>6373.6</v>
      </c>
      <c r="Q241" s="1281">
        <v>3649.45</v>
      </c>
      <c r="R241" s="2190"/>
      <c r="S241" s="1347"/>
      <c r="T241" s="1383"/>
      <c r="U241" s="2190"/>
      <c r="V241" s="2190"/>
      <c r="W241" s="2633" t="s">
        <v>1104</v>
      </c>
      <c r="X241" s="2190"/>
      <c r="Y241" s="2190"/>
      <c r="Z241" s="2190"/>
      <c r="AB241" s="2190"/>
      <c r="AC241" s="2190"/>
    </row>
    <row r="242" spans="1:30" x14ac:dyDescent="0.25">
      <c r="A242" s="1082" t="s">
        <v>1611</v>
      </c>
      <c r="B242" s="1848">
        <v>106204721</v>
      </c>
      <c r="C242" s="1287" t="s">
        <v>2437</v>
      </c>
      <c r="D242" s="1358" t="s">
        <v>2333</v>
      </c>
      <c r="E242" s="1356" t="s">
        <v>2334</v>
      </c>
      <c r="F242" s="1083">
        <f t="shared" si="46"/>
        <v>36</v>
      </c>
      <c r="G242" s="1083">
        <f t="shared" si="45"/>
        <v>39</v>
      </c>
      <c r="H242" s="3832" t="s">
        <v>3819</v>
      </c>
      <c r="I242" s="2504">
        <v>2085.3111111111111</v>
      </c>
      <c r="J242" s="2356">
        <v>2132.4</v>
      </c>
      <c r="K242" s="2356">
        <v>2250.12</v>
      </c>
      <c r="L242" s="1281">
        <v>2132.4</v>
      </c>
      <c r="M242" s="1569">
        <v>2132.4</v>
      </c>
      <c r="N242" s="1318"/>
      <c r="O242" s="1318">
        <f t="shared" si="48"/>
        <v>-2.2082577794451771E-2</v>
      </c>
      <c r="P242" s="1281">
        <v>6759.2</v>
      </c>
      <c r="Q242" s="1281">
        <v>3750.56</v>
      </c>
      <c r="R242" s="2190"/>
      <c r="S242" s="1347"/>
      <c r="T242" s="1383"/>
      <c r="U242" s="2190"/>
      <c r="V242" s="2190"/>
      <c r="W242" s="2633" t="s">
        <v>1104</v>
      </c>
      <c r="X242" s="2190"/>
      <c r="Y242" s="2190"/>
      <c r="Z242" s="2190"/>
      <c r="AB242" s="2190"/>
      <c r="AC242" s="2190"/>
    </row>
    <row r="243" spans="1:30" x14ac:dyDescent="0.25">
      <c r="A243" s="1082" t="s">
        <v>1612</v>
      </c>
      <c r="B243" s="1848">
        <v>106204722</v>
      </c>
      <c r="C243" s="1287" t="s">
        <v>2438</v>
      </c>
      <c r="D243" s="1358" t="s">
        <v>2335</v>
      </c>
      <c r="E243" s="1356" t="s">
        <v>2336</v>
      </c>
      <c r="F243" s="1083">
        <f t="shared" si="46"/>
        <v>36</v>
      </c>
      <c r="G243" s="1083">
        <f t="shared" si="45"/>
        <v>39</v>
      </c>
      <c r="H243" s="3832" t="s">
        <v>3819</v>
      </c>
      <c r="I243" s="2504">
        <v>2085.3111111111111</v>
      </c>
      <c r="J243" s="2356">
        <v>2132.4</v>
      </c>
      <c r="K243" s="2356">
        <v>2250.12</v>
      </c>
      <c r="L243" s="1281">
        <v>2132.4</v>
      </c>
      <c r="M243" s="1569">
        <v>2132.4</v>
      </c>
      <c r="N243" s="1318"/>
      <c r="O243" s="1318">
        <f t="shared" si="48"/>
        <v>-2.2082577794451771E-2</v>
      </c>
      <c r="P243" s="1281">
        <v>9401</v>
      </c>
      <c r="Q243" s="1281">
        <v>5358.57</v>
      </c>
      <c r="R243" s="2190"/>
      <c r="S243" s="1347"/>
      <c r="T243" s="1383"/>
      <c r="U243" s="2190"/>
      <c r="V243" s="2190"/>
      <c r="W243" s="2633" t="s">
        <v>1104</v>
      </c>
      <c r="X243" s="2190"/>
      <c r="Y243" s="2190"/>
      <c r="Z243" s="2190"/>
      <c r="AB243" s="2190"/>
      <c r="AC243" s="2190"/>
    </row>
    <row r="244" spans="1:30" x14ac:dyDescent="0.25">
      <c r="A244" s="1082" t="s">
        <v>1613</v>
      </c>
      <c r="B244" s="1848">
        <v>106204727</v>
      </c>
      <c r="C244" s="1287" t="s">
        <v>2439</v>
      </c>
      <c r="D244" s="1358" t="s">
        <v>2337</v>
      </c>
      <c r="E244" s="1356" t="s">
        <v>2338</v>
      </c>
      <c r="F244" s="1083">
        <f t="shared" si="46"/>
        <v>36</v>
      </c>
      <c r="G244" s="1083">
        <f t="shared" si="45"/>
        <v>39</v>
      </c>
      <c r="H244" s="3832" t="s">
        <v>3819</v>
      </c>
      <c r="I244" s="2504">
        <v>2085.3111111111111</v>
      </c>
      <c r="J244" s="2356">
        <v>2132.4</v>
      </c>
      <c r="K244" s="2356">
        <v>2250.12</v>
      </c>
      <c r="L244" s="1281">
        <v>2132.4</v>
      </c>
      <c r="M244" s="1569">
        <v>2132.4</v>
      </c>
      <c r="N244" s="1318"/>
      <c r="O244" s="1318">
        <f t="shared" si="48"/>
        <v>-2.2082577794451771E-2</v>
      </c>
      <c r="P244" s="1281">
        <v>9589.02</v>
      </c>
      <c r="Q244" s="1281">
        <v>5465.73</v>
      </c>
      <c r="R244" s="2190"/>
      <c r="S244" s="1347"/>
      <c r="T244" s="1383"/>
      <c r="U244" s="2190"/>
      <c r="V244" s="2190"/>
      <c r="W244" s="2633" t="s">
        <v>1104</v>
      </c>
      <c r="X244" s="2190"/>
      <c r="Y244" s="2190"/>
      <c r="Z244" s="2190"/>
      <c r="AB244" s="2190"/>
      <c r="AC244" s="2190"/>
    </row>
    <row r="245" spans="1:30" x14ac:dyDescent="0.25">
      <c r="A245" s="1082" t="s">
        <v>2402</v>
      </c>
      <c r="B245" s="1848">
        <v>106204729</v>
      </c>
      <c r="C245" s="1287" t="s">
        <v>2440</v>
      </c>
      <c r="D245" s="1358" t="s">
        <v>2391</v>
      </c>
      <c r="E245" s="1356" t="s">
        <v>2392</v>
      </c>
      <c r="F245" s="1083">
        <f t="shared" si="46"/>
        <v>33</v>
      </c>
      <c r="G245" s="1083">
        <f t="shared" si="45"/>
        <v>36</v>
      </c>
      <c r="H245" s="3832" t="s">
        <v>3819</v>
      </c>
      <c r="I245" s="2504">
        <v>2085.3111111111111</v>
      </c>
      <c r="J245" s="2356">
        <v>2132.37</v>
      </c>
      <c r="K245" s="2356">
        <v>2246.9699999999998</v>
      </c>
      <c r="L245" s="1281">
        <v>2132.37</v>
      </c>
      <c r="M245" s="1569">
        <v>2132.37</v>
      </c>
      <c r="N245" s="1318"/>
      <c r="O245" s="1318">
        <f t="shared" si="48"/>
        <v>-2.206881961802537E-2</v>
      </c>
      <c r="P245" s="1281">
        <v>6373.6</v>
      </c>
      <c r="Q245" s="1281">
        <v>3649.45</v>
      </c>
      <c r="R245" s="2190"/>
      <c r="S245" s="1347"/>
      <c r="T245" s="1383"/>
      <c r="U245" s="2190"/>
      <c r="V245" s="2190"/>
      <c r="W245" s="2633" t="s">
        <v>1104</v>
      </c>
      <c r="X245" s="2190"/>
      <c r="Y245" s="2190"/>
      <c r="Z245" s="2190"/>
      <c r="AB245" s="2190"/>
      <c r="AC245" s="2190"/>
    </row>
    <row r="246" spans="1:30" x14ac:dyDescent="0.25">
      <c r="B246" s="1848">
        <v>106204785</v>
      </c>
      <c r="C246" s="794" t="s">
        <v>2007</v>
      </c>
      <c r="D246" s="1349" t="s">
        <v>2008</v>
      </c>
      <c r="E246" s="1356" t="s">
        <v>2009</v>
      </c>
      <c r="F246" s="1083">
        <f t="shared" si="46"/>
        <v>33</v>
      </c>
      <c r="G246" s="1083">
        <f t="shared" si="45"/>
        <v>36</v>
      </c>
      <c r="H246" s="3832" t="s">
        <v>3797</v>
      </c>
      <c r="I246" s="2504">
        <v>11.277777777777779</v>
      </c>
      <c r="J246" s="2356">
        <v>11.28</v>
      </c>
      <c r="K246" s="2356">
        <v>10.06</v>
      </c>
      <c r="L246" s="1281">
        <v>10.06</v>
      </c>
      <c r="M246" s="3836">
        <v>11.28</v>
      </c>
      <c r="N246" s="1318">
        <f t="shared" ref="N246:N258" si="49">(J246-L246)/L246</f>
        <v>0.12127236580516887</v>
      </c>
      <c r="O246" s="1318">
        <f t="shared" si="48"/>
        <v>-1.9700551615432565E-4</v>
      </c>
      <c r="P246" s="1281">
        <f>M246/R246</f>
        <v>18.8</v>
      </c>
      <c r="Q246" s="1281">
        <f>M246/S246</f>
        <v>14.099999999999998</v>
      </c>
      <c r="R246" s="2190">
        <v>0.6</v>
      </c>
      <c r="S246" s="1347">
        <v>0.8</v>
      </c>
      <c r="T246" s="2218"/>
      <c r="U246" s="2190"/>
      <c r="V246" s="2190"/>
      <c r="X246" s="2190"/>
      <c r="Y246" s="2190"/>
      <c r="Z246" s="2190"/>
      <c r="AA246" s="2621" t="s">
        <v>1104</v>
      </c>
      <c r="AB246" s="378"/>
      <c r="AC246" s="378"/>
      <c r="AD246" s="411"/>
    </row>
    <row r="247" spans="1:30" s="1351" customFormat="1" x14ac:dyDescent="0.25">
      <c r="A247" s="2352" t="s">
        <v>263</v>
      </c>
      <c r="B247" s="2353">
        <v>106205029</v>
      </c>
      <c r="C247" s="2354" t="s">
        <v>2441</v>
      </c>
      <c r="D247" s="1358" t="s">
        <v>2531</v>
      </c>
      <c r="E247" s="2365" t="s">
        <v>2532</v>
      </c>
      <c r="F247" s="2355">
        <f t="shared" si="46"/>
        <v>53</v>
      </c>
      <c r="G247" s="2355">
        <f t="shared" si="45"/>
        <v>46</v>
      </c>
      <c r="H247" s="3841" t="s">
        <v>3800</v>
      </c>
      <c r="I247" s="3840">
        <v>144.4</v>
      </c>
      <c r="J247" s="2356">
        <v>144.4</v>
      </c>
      <c r="K247" s="2356">
        <v>154.80000000000001</v>
      </c>
      <c r="L247" s="2356">
        <v>154.80000000000001</v>
      </c>
      <c r="M247" s="3836">
        <v>144.4</v>
      </c>
      <c r="N247" s="1318">
        <f t="shared" si="49"/>
        <v>-6.7183462532299773E-2</v>
      </c>
      <c r="O247" s="1318">
        <f t="shared" si="48"/>
        <v>0</v>
      </c>
      <c r="P247" s="2356">
        <f>M247/R247</f>
        <v>180.5</v>
      </c>
      <c r="Q247" s="2356">
        <f>M247/S247</f>
        <v>152</v>
      </c>
      <c r="R247" s="1280">
        <v>0.8</v>
      </c>
      <c r="S247" s="1280">
        <v>0.95</v>
      </c>
      <c r="U247" s="142"/>
      <c r="V247" s="142"/>
      <c r="W247" s="142" t="s">
        <v>1104</v>
      </c>
      <c r="X247" s="142"/>
      <c r="Y247" s="142"/>
      <c r="Z247" s="142"/>
      <c r="AA247" s="751"/>
      <c r="AB247" s="142"/>
      <c r="AC247" s="142" t="s">
        <v>1549</v>
      </c>
    </row>
    <row r="248" spans="1:30" x14ac:dyDescent="0.25">
      <c r="A248" s="48" t="s">
        <v>263</v>
      </c>
      <c r="B248" s="1848">
        <v>106118981</v>
      </c>
      <c r="C248" s="1358" t="s">
        <v>3183</v>
      </c>
      <c r="D248" s="1383" t="s">
        <v>3116</v>
      </c>
      <c r="E248" s="1356" t="s">
        <v>3117</v>
      </c>
      <c r="F248" s="1083">
        <f t="shared" si="46"/>
        <v>41</v>
      </c>
      <c r="G248" s="1083">
        <f t="shared" si="45"/>
        <v>34</v>
      </c>
      <c r="H248" s="3832" t="s">
        <v>3798</v>
      </c>
      <c r="I248" s="2504">
        <v>152.45555555555555</v>
      </c>
      <c r="J248" s="1351">
        <v>152.5</v>
      </c>
      <c r="K248" s="1351">
        <v>182.37</v>
      </c>
      <c r="M248" s="3836">
        <v>152.46</v>
      </c>
      <c r="N248" s="1318" t="e">
        <f t="shared" si="49"/>
        <v>#DIV/0!</v>
      </c>
      <c r="O248" s="1318">
        <f t="shared" si="48"/>
        <v>-2.9143897996361566E-4</v>
      </c>
      <c r="P248" s="1281">
        <f>P250</f>
        <v>190.57499999999999</v>
      </c>
      <c r="Q248" s="1281">
        <f>Q250</f>
        <v>160.48421052631579</v>
      </c>
      <c r="R248" s="2633">
        <v>0.8</v>
      </c>
      <c r="S248" s="2633">
        <v>0.95</v>
      </c>
      <c r="T248" s="2633"/>
      <c r="U248" s="2633"/>
      <c r="V248" s="2633" t="s">
        <v>1104</v>
      </c>
      <c r="X248" s="2633"/>
      <c r="Y248" s="3569"/>
      <c r="Z248" s="142"/>
      <c r="AA248" s="2633"/>
      <c r="AB248" s="2633" t="s">
        <v>649</v>
      </c>
      <c r="AC248" s="1848" t="s">
        <v>1549</v>
      </c>
    </row>
    <row r="249" spans="1:30" x14ac:dyDescent="0.25">
      <c r="A249" s="48" t="s">
        <v>263</v>
      </c>
      <c r="B249" s="1848">
        <v>106118116</v>
      </c>
      <c r="C249" s="1358" t="s">
        <v>3184</v>
      </c>
      <c r="D249" s="1383" t="s">
        <v>3185</v>
      </c>
      <c r="E249" s="1356" t="s">
        <v>3186</v>
      </c>
      <c r="F249" s="1083">
        <f t="shared" si="46"/>
        <v>49</v>
      </c>
      <c r="G249" s="1083">
        <f t="shared" ref="G249:G280" si="50">LEN(E249)</f>
        <v>42</v>
      </c>
      <c r="H249" s="3832" t="s">
        <v>3800</v>
      </c>
      <c r="I249" s="2504">
        <v>152.45555555555555</v>
      </c>
      <c r="J249" s="1351">
        <v>152.5</v>
      </c>
      <c r="K249" s="1351">
        <v>152.72</v>
      </c>
      <c r="M249" s="3836">
        <f>M248</f>
        <v>152.46</v>
      </c>
      <c r="N249" s="1318" t="e">
        <f t="shared" si="49"/>
        <v>#DIV/0!</v>
      </c>
      <c r="O249" s="1318">
        <f t="shared" si="48"/>
        <v>-2.9143897996361566E-4</v>
      </c>
      <c r="P249" s="1281">
        <f t="shared" ref="P249:P258" si="51">M249/R249</f>
        <v>190.57499999999999</v>
      </c>
      <c r="Q249" s="1281">
        <f t="shared" ref="Q249:Q258" si="52">M249/S249</f>
        <v>160.48421052631579</v>
      </c>
      <c r="R249" s="2633">
        <v>0.8</v>
      </c>
      <c r="S249" s="2633">
        <v>0.95</v>
      </c>
      <c r="T249" s="2633"/>
      <c r="U249" s="2633"/>
      <c r="V249" s="2633" t="s">
        <v>1104</v>
      </c>
      <c r="X249" s="2633"/>
      <c r="Y249" s="3569"/>
      <c r="Z249" s="142"/>
      <c r="AA249" s="2633"/>
      <c r="AB249" s="2633">
        <v>106118981</v>
      </c>
      <c r="AC249" s="1848" t="s">
        <v>1549</v>
      </c>
    </row>
    <row r="250" spans="1:30" x14ac:dyDescent="0.25">
      <c r="A250" s="1383" t="s">
        <v>263</v>
      </c>
      <c r="B250" s="1848">
        <v>106118976</v>
      </c>
      <c r="C250" s="1358" t="s">
        <v>2831</v>
      </c>
      <c r="D250" s="1383" t="s">
        <v>3187</v>
      </c>
      <c r="E250" s="1356" t="s">
        <v>3188</v>
      </c>
      <c r="F250" s="1083">
        <f t="shared" ref="F250:F281" si="53">LEN(D250)</f>
        <v>50</v>
      </c>
      <c r="G250" s="1083">
        <f t="shared" si="50"/>
        <v>43</v>
      </c>
      <c r="H250" s="3832" t="s">
        <v>3800</v>
      </c>
      <c r="I250" s="2504">
        <v>137</v>
      </c>
      <c r="J250" s="1351">
        <v>137</v>
      </c>
      <c r="K250" s="1351">
        <v>182.37</v>
      </c>
      <c r="M250" s="3836">
        <f>M248</f>
        <v>152.46</v>
      </c>
      <c r="N250" s="1318" t="e">
        <f t="shared" si="49"/>
        <v>#DIV/0!</v>
      </c>
      <c r="O250" s="1318">
        <f t="shared" si="48"/>
        <v>0</v>
      </c>
      <c r="P250" s="1281">
        <f t="shared" si="51"/>
        <v>190.57499999999999</v>
      </c>
      <c r="Q250" s="1281">
        <f t="shared" si="52"/>
        <v>160.48421052631579</v>
      </c>
      <c r="R250" s="1804">
        <v>0.8</v>
      </c>
      <c r="S250" s="1804">
        <v>0.95</v>
      </c>
      <c r="V250" s="2633" t="s">
        <v>1104</v>
      </c>
      <c r="W250" s="3217"/>
      <c r="X250" s="2621"/>
      <c r="Y250" s="142"/>
      <c r="Z250" s="2118"/>
      <c r="AA250" s="1804"/>
      <c r="AB250" s="2633">
        <v>106118981</v>
      </c>
      <c r="AC250" s="2633" t="s">
        <v>1549</v>
      </c>
    </row>
    <row r="251" spans="1:30" x14ac:dyDescent="0.25">
      <c r="A251" s="1082" t="s">
        <v>127</v>
      </c>
      <c r="B251" s="1848">
        <v>106205032</v>
      </c>
      <c r="C251" s="1287" t="s">
        <v>2442</v>
      </c>
      <c r="D251" s="1358" t="s">
        <v>2321</v>
      </c>
      <c r="E251" s="1356" t="s">
        <v>2322</v>
      </c>
      <c r="F251" s="1083">
        <f t="shared" si="53"/>
        <v>41</v>
      </c>
      <c r="G251" s="1083">
        <f t="shared" si="50"/>
        <v>36</v>
      </c>
      <c r="H251" s="3832" t="s">
        <v>3800</v>
      </c>
      <c r="I251" s="2504">
        <v>32.077777777777776</v>
      </c>
      <c r="J251" s="2356">
        <v>25.17</v>
      </c>
      <c r="K251" s="2356">
        <v>24.96</v>
      </c>
      <c r="L251" s="1281">
        <v>24.4</v>
      </c>
      <c r="M251" s="3836">
        <v>32.08</v>
      </c>
      <c r="N251" s="1318">
        <f t="shared" si="49"/>
        <v>3.1557377049180456E-2</v>
      </c>
      <c r="O251" s="1318">
        <f t="shared" si="48"/>
        <v>0.27444488588707883</v>
      </c>
      <c r="P251" s="1281">
        <f t="shared" si="51"/>
        <v>40.099999999999994</v>
      </c>
      <c r="Q251" s="1281">
        <f t="shared" si="52"/>
        <v>33.768421052631581</v>
      </c>
      <c r="R251" s="1280">
        <v>0.8</v>
      </c>
      <c r="S251" s="1280">
        <v>0.95</v>
      </c>
      <c r="T251" s="1383"/>
      <c r="U251" s="2190"/>
      <c r="V251" s="2190"/>
      <c r="W251" s="2633" t="s">
        <v>1104</v>
      </c>
      <c r="X251" s="2190"/>
      <c r="Y251" s="2190"/>
      <c r="Z251" s="2190"/>
      <c r="AB251" s="2190"/>
      <c r="AC251" s="2190" t="s">
        <v>1549</v>
      </c>
    </row>
    <row r="252" spans="1:30" x14ac:dyDescent="0.25">
      <c r="A252" s="1082" t="s">
        <v>285</v>
      </c>
      <c r="B252" s="1848">
        <v>106205033</v>
      </c>
      <c r="C252" s="1287" t="s">
        <v>2443</v>
      </c>
      <c r="D252" s="1358" t="s">
        <v>2323</v>
      </c>
      <c r="E252" s="1356" t="s">
        <v>2324</v>
      </c>
      <c r="F252" s="1083">
        <f t="shared" si="53"/>
        <v>32</v>
      </c>
      <c r="G252" s="1083">
        <f t="shared" si="50"/>
        <v>37</v>
      </c>
      <c r="H252" s="3832" t="s">
        <v>3800</v>
      </c>
      <c r="I252" s="2504">
        <v>59.62222222222222</v>
      </c>
      <c r="J252" s="2356">
        <v>59.62</v>
      </c>
      <c r="K252" s="2356">
        <v>59.62</v>
      </c>
      <c r="L252" s="1281">
        <v>59.62</v>
      </c>
      <c r="M252" s="3836">
        <v>59.62</v>
      </c>
      <c r="N252" s="1318">
        <f t="shared" si="49"/>
        <v>0</v>
      </c>
      <c r="O252" s="1318">
        <f t="shared" si="48"/>
        <v>3.7273100003733139E-5</v>
      </c>
      <c r="P252" s="1281">
        <f t="shared" si="51"/>
        <v>74.524999999999991</v>
      </c>
      <c r="Q252" s="1281">
        <f t="shared" si="52"/>
        <v>62.757894736842104</v>
      </c>
      <c r="R252" s="1280">
        <v>0.8</v>
      </c>
      <c r="S252" s="1280">
        <v>0.95</v>
      </c>
      <c r="T252" s="1383"/>
      <c r="U252" s="2190"/>
      <c r="V252" s="2190"/>
      <c r="W252" s="2633" t="s">
        <v>1104</v>
      </c>
      <c r="X252" s="2190"/>
      <c r="Y252" s="2190"/>
      <c r="Z252" s="2190"/>
      <c r="AB252" s="2190"/>
      <c r="AC252" s="2190" t="s">
        <v>1549</v>
      </c>
    </row>
    <row r="253" spans="1:30" x14ac:dyDescent="0.25">
      <c r="A253" s="1082" t="s">
        <v>290</v>
      </c>
      <c r="B253" s="1848">
        <v>106205035</v>
      </c>
      <c r="C253" s="1287" t="s">
        <v>2444</v>
      </c>
      <c r="D253" s="1358" t="s">
        <v>2382</v>
      </c>
      <c r="E253" s="1356" t="s">
        <v>2383</v>
      </c>
      <c r="F253" s="1083">
        <f t="shared" si="53"/>
        <v>42</v>
      </c>
      <c r="G253" s="1083">
        <f t="shared" si="50"/>
        <v>37</v>
      </c>
      <c r="H253" s="3832" t="s">
        <v>3800</v>
      </c>
      <c r="I253" s="2504">
        <v>508.18888888888887</v>
      </c>
      <c r="J253" s="2356">
        <v>508.19</v>
      </c>
      <c r="K253" s="2356">
        <v>508.2</v>
      </c>
      <c r="L253" s="1281">
        <v>508.19</v>
      </c>
      <c r="M253" s="3836">
        <v>508.19</v>
      </c>
      <c r="N253" s="1318">
        <f t="shared" si="49"/>
        <v>0</v>
      </c>
      <c r="O253" s="1318">
        <f t="shared" si="48"/>
        <v>-2.186408845370921E-6</v>
      </c>
      <c r="P253" s="1281">
        <f t="shared" si="51"/>
        <v>635.23749999999995</v>
      </c>
      <c r="Q253" s="1281">
        <f t="shared" si="52"/>
        <v>534.93684210526317</v>
      </c>
      <c r="R253" s="1280">
        <v>0.8</v>
      </c>
      <c r="S253" s="1280">
        <v>0.95</v>
      </c>
      <c r="T253" s="1383"/>
      <c r="U253" s="2190"/>
      <c r="V253" s="2190"/>
      <c r="W253" s="2633" t="s">
        <v>1104</v>
      </c>
      <c r="X253" s="2190"/>
      <c r="Y253" s="2190"/>
      <c r="Z253" s="2190"/>
      <c r="AB253" s="2190"/>
      <c r="AC253" s="2190" t="s">
        <v>1549</v>
      </c>
    </row>
    <row r="254" spans="1:30" x14ac:dyDescent="0.25">
      <c r="A254" s="1082" t="s">
        <v>290</v>
      </c>
      <c r="B254" s="1848">
        <v>106205036</v>
      </c>
      <c r="C254" s="1287" t="s">
        <v>2445</v>
      </c>
      <c r="D254" s="1358" t="s">
        <v>2319</v>
      </c>
      <c r="E254" s="1356" t="s">
        <v>2320</v>
      </c>
      <c r="F254" s="1083">
        <f t="shared" si="53"/>
        <v>42</v>
      </c>
      <c r="G254" s="1083">
        <f t="shared" si="50"/>
        <v>37</v>
      </c>
      <c r="H254" s="3832" t="s">
        <v>3800</v>
      </c>
      <c r="I254" s="2504">
        <v>917.21111111111111</v>
      </c>
      <c r="J254" s="2356">
        <v>917.21</v>
      </c>
      <c r="K254" s="2356">
        <v>837.01</v>
      </c>
      <c r="L254" s="1281">
        <v>837.01</v>
      </c>
      <c r="M254" s="3836">
        <v>917.21</v>
      </c>
      <c r="N254" s="1318">
        <f t="shared" si="49"/>
        <v>9.5817254274142533E-2</v>
      </c>
      <c r="O254" s="1318">
        <f t="shared" si="48"/>
        <v>1.2114031803754919E-6</v>
      </c>
      <c r="P254" s="1281">
        <f t="shared" si="51"/>
        <v>1146.5125</v>
      </c>
      <c r="Q254" s="1281">
        <f t="shared" si="52"/>
        <v>965.48421052631591</v>
      </c>
      <c r="R254" s="1280">
        <v>0.8</v>
      </c>
      <c r="S254" s="1280">
        <v>0.95</v>
      </c>
      <c r="T254" s="1383"/>
      <c r="U254" s="2190"/>
      <c r="V254" s="2190"/>
      <c r="W254" s="2633" t="s">
        <v>1104</v>
      </c>
      <c r="X254" s="2190"/>
      <c r="Y254" s="2190"/>
      <c r="Z254" s="2190"/>
      <c r="AB254" s="2190"/>
      <c r="AC254" s="2190" t="s">
        <v>1549</v>
      </c>
    </row>
    <row r="255" spans="1:30" x14ac:dyDescent="0.25">
      <c r="A255" s="1082" t="s">
        <v>263</v>
      </c>
      <c r="B255" s="1848">
        <v>106205172</v>
      </c>
      <c r="C255" s="1287" t="s">
        <v>2446</v>
      </c>
      <c r="D255" s="1358" t="s">
        <v>2537</v>
      </c>
      <c r="E255" s="1356" t="s">
        <v>2538</v>
      </c>
      <c r="F255" s="1083">
        <f t="shared" si="53"/>
        <v>52</v>
      </c>
      <c r="G255" s="1083">
        <f t="shared" si="50"/>
        <v>45</v>
      </c>
      <c r="H255" s="3832" t="s">
        <v>3800</v>
      </c>
      <c r="I255" s="2504">
        <v>242.77777777777777</v>
      </c>
      <c r="J255" s="2356">
        <v>242.78</v>
      </c>
      <c r="K255" s="2356">
        <v>242.78</v>
      </c>
      <c r="L255" s="1281">
        <v>242.78</v>
      </c>
      <c r="M255" s="3836">
        <v>242.78</v>
      </c>
      <c r="N255" s="1318">
        <f t="shared" si="49"/>
        <v>0</v>
      </c>
      <c r="O255" s="1318">
        <f t="shared" si="48"/>
        <v>-9.153234295368956E-6</v>
      </c>
      <c r="P255" s="1281">
        <f t="shared" si="51"/>
        <v>303.47499999999997</v>
      </c>
      <c r="Q255" s="1281">
        <f t="shared" si="52"/>
        <v>255.55789473684212</v>
      </c>
      <c r="R255" s="1280">
        <v>0.8</v>
      </c>
      <c r="S255" s="1280">
        <v>0.95</v>
      </c>
      <c r="T255" s="1383"/>
      <c r="U255" s="2190"/>
      <c r="V255" s="2190"/>
      <c r="W255" s="2633" t="s">
        <v>1104</v>
      </c>
      <c r="X255" s="2190"/>
      <c r="Y255" s="2190"/>
      <c r="Z255" s="2190"/>
      <c r="AB255" s="2190"/>
      <c r="AC255" s="2190" t="s">
        <v>1549</v>
      </c>
    </row>
    <row r="256" spans="1:30" x14ac:dyDescent="0.25">
      <c r="A256" s="1082" t="s">
        <v>1598</v>
      </c>
      <c r="B256" s="1848">
        <v>106205206</v>
      </c>
      <c r="C256" s="291" t="s">
        <v>2430</v>
      </c>
      <c r="D256" s="1358" t="s">
        <v>1599</v>
      </c>
      <c r="E256" s="1356" t="s">
        <v>1600</v>
      </c>
      <c r="F256" s="1083">
        <f t="shared" si="53"/>
        <v>16</v>
      </c>
      <c r="G256" s="1083">
        <f t="shared" si="50"/>
        <v>9</v>
      </c>
      <c r="H256" s="3832" t="s">
        <v>3801</v>
      </c>
      <c r="I256" s="2504">
        <v>22.011111111111109</v>
      </c>
      <c r="J256" s="2356">
        <v>22.01</v>
      </c>
      <c r="K256" s="2356">
        <v>22.01</v>
      </c>
      <c r="L256" s="1281">
        <v>22.01</v>
      </c>
      <c r="M256" s="3836">
        <v>22.01</v>
      </c>
      <c r="N256" s="1318">
        <f t="shared" si="49"/>
        <v>0</v>
      </c>
      <c r="O256" s="1318">
        <f t="shared" si="48"/>
        <v>5.0482104093945115E-5</v>
      </c>
      <c r="P256" s="1281">
        <f t="shared" si="51"/>
        <v>36.683333333333337</v>
      </c>
      <c r="Q256" s="1281">
        <f t="shared" si="52"/>
        <v>27.512499999999999</v>
      </c>
      <c r="R256" s="2351">
        <v>0.6</v>
      </c>
      <c r="S256" s="1347">
        <v>0.8</v>
      </c>
      <c r="T256" s="1383"/>
      <c r="U256" s="2190"/>
      <c r="V256" s="2190"/>
      <c r="W256" s="2633" t="s">
        <v>1104</v>
      </c>
      <c r="X256" s="2190"/>
      <c r="Y256" s="2190"/>
      <c r="Z256" s="2190"/>
      <c r="AB256" s="2190"/>
      <c r="AC256" s="2190"/>
    </row>
    <row r="257" spans="1:30" x14ac:dyDescent="0.25">
      <c r="A257" s="1082" t="s">
        <v>328</v>
      </c>
      <c r="B257" s="1848">
        <v>106205209</v>
      </c>
      <c r="C257" s="1287" t="s">
        <v>2447</v>
      </c>
      <c r="D257" s="1358" t="s">
        <v>1615</v>
      </c>
      <c r="E257" s="1356" t="s">
        <v>1616</v>
      </c>
      <c r="F257" s="1083">
        <f t="shared" si="53"/>
        <v>41</v>
      </c>
      <c r="G257" s="1083">
        <f t="shared" si="50"/>
        <v>36</v>
      </c>
      <c r="H257" s="3832" t="s">
        <v>3800</v>
      </c>
      <c r="I257" s="2504">
        <v>108.22222222222223</v>
      </c>
      <c r="J257" s="2356">
        <v>108.22</v>
      </c>
      <c r="K257" s="2356">
        <v>108.22</v>
      </c>
      <c r="L257" s="1281">
        <v>108.22</v>
      </c>
      <c r="M257" s="3836">
        <v>108.22</v>
      </c>
      <c r="N257" s="1318">
        <f t="shared" si="49"/>
        <v>0</v>
      </c>
      <c r="O257" s="1318">
        <f t="shared" si="48"/>
        <v>2.0534302552482674E-5</v>
      </c>
      <c r="P257" s="1281">
        <f t="shared" si="51"/>
        <v>135.27499999999998</v>
      </c>
      <c r="Q257" s="1281">
        <f t="shared" si="52"/>
        <v>113.91578947368421</v>
      </c>
      <c r="R257" s="1280">
        <v>0.8</v>
      </c>
      <c r="S257" s="1280">
        <v>0.95</v>
      </c>
      <c r="T257" s="1383"/>
      <c r="U257" s="2190"/>
      <c r="V257" s="2190"/>
      <c r="W257" s="2633" t="s">
        <v>1104</v>
      </c>
      <c r="X257" s="2190"/>
      <c r="Y257" s="2190"/>
      <c r="Z257" s="2190"/>
      <c r="AB257" s="2190"/>
      <c r="AC257" s="2190" t="s">
        <v>1549</v>
      </c>
    </row>
    <row r="258" spans="1:30" s="1351" customFormat="1" x14ac:dyDescent="0.25">
      <c r="A258" s="2352" t="s">
        <v>298</v>
      </c>
      <c r="B258" s="2353">
        <v>106205211</v>
      </c>
      <c r="C258" s="2354" t="s">
        <v>2448</v>
      </c>
      <c r="D258" s="1358" t="s">
        <v>2973</v>
      </c>
      <c r="E258" s="2365" t="s">
        <v>2974</v>
      </c>
      <c r="F258" s="2355">
        <f t="shared" si="53"/>
        <v>28</v>
      </c>
      <c r="G258" s="2355">
        <f t="shared" si="50"/>
        <v>25</v>
      </c>
      <c r="H258" s="3832" t="s">
        <v>3799</v>
      </c>
      <c r="I258" s="2504">
        <v>47.111111111111107</v>
      </c>
      <c r="J258" s="2356">
        <v>47.13</v>
      </c>
      <c r="K258" s="2356">
        <v>39.44</v>
      </c>
      <c r="L258" s="2356">
        <v>39.44</v>
      </c>
      <c r="M258" s="3836">
        <v>47.13</v>
      </c>
      <c r="N258" s="1318">
        <f t="shared" si="49"/>
        <v>0.19497971602434092</v>
      </c>
      <c r="O258" s="1318">
        <f t="shared" si="48"/>
        <v>-4.0078270504764253E-4</v>
      </c>
      <c r="P258" s="2356">
        <f t="shared" si="51"/>
        <v>78.550000000000011</v>
      </c>
      <c r="Q258" s="2356">
        <f t="shared" si="52"/>
        <v>58.912500000000001</v>
      </c>
      <c r="R258" s="1280">
        <v>0.6</v>
      </c>
      <c r="S258" s="1280">
        <v>0.8</v>
      </c>
      <c r="U258" s="142"/>
      <c r="V258" s="142"/>
      <c r="W258" s="142" t="s">
        <v>1104</v>
      </c>
      <c r="X258" s="142" t="s">
        <v>1104</v>
      </c>
      <c r="Y258" s="142"/>
      <c r="Z258" s="142"/>
      <c r="AA258" s="751"/>
      <c r="AB258" s="142" t="s">
        <v>649</v>
      </c>
      <c r="AC258" s="142"/>
    </row>
    <row r="259" spans="1:30" x14ac:dyDescent="0.25">
      <c r="A259" s="1383" t="s">
        <v>1632</v>
      </c>
      <c r="B259" s="1848">
        <v>106205458</v>
      </c>
      <c r="C259" s="794" t="s">
        <v>2017</v>
      </c>
      <c r="D259" s="1349" t="s">
        <v>3033</v>
      </c>
      <c r="E259" s="1496" t="s">
        <v>3034</v>
      </c>
      <c r="F259" s="1083">
        <f t="shared" si="53"/>
        <v>27</v>
      </c>
      <c r="G259" s="1083">
        <f t="shared" si="50"/>
        <v>24</v>
      </c>
      <c r="H259" s="3832" t="s">
        <v>3799</v>
      </c>
      <c r="I259" s="2504">
        <v>67.911111111111111</v>
      </c>
      <c r="J259" s="2356">
        <v>78.44</v>
      </c>
      <c r="K259" s="2356">
        <v>72.680000000000007</v>
      </c>
      <c r="L259" s="1383">
        <v>76.680000000000007</v>
      </c>
      <c r="M259" s="3836">
        <v>67.91</v>
      </c>
      <c r="O259" s="1318">
        <f t="shared" si="48"/>
        <v>-0.13422856819083231</v>
      </c>
      <c r="P259" s="1281">
        <v>191.70000000000002</v>
      </c>
      <c r="Q259" s="1281">
        <v>127.80000000000001</v>
      </c>
      <c r="R259" s="2190">
        <v>0.4</v>
      </c>
      <c r="S259" s="1347">
        <v>0.6</v>
      </c>
      <c r="T259" s="1383"/>
      <c r="U259" s="1383"/>
      <c r="V259" s="2190" t="s">
        <v>1104</v>
      </c>
      <c r="W259" s="1383"/>
      <c r="X259" s="1383"/>
      <c r="Y259" s="1383"/>
      <c r="Z259" s="1383"/>
      <c r="AB259" s="2190"/>
      <c r="AC259" s="1383"/>
    </row>
    <row r="260" spans="1:30" x14ac:dyDescent="0.25">
      <c r="B260" s="1848" t="s">
        <v>1383</v>
      </c>
      <c r="C260" s="411" t="s">
        <v>2010</v>
      </c>
      <c r="D260" s="1349" t="s">
        <v>2011</v>
      </c>
      <c r="E260" s="1496" t="s">
        <v>2012</v>
      </c>
      <c r="F260" s="1083">
        <f t="shared" si="53"/>
        <v>38</v>
      </c>
      <c r="G260" s="1083">
        <f t="shared" si="50"/>
        <v>36</v>
      </c>
      <c r="H260" s="3832" t="s">
        <v>3802</v>
      </c>
      <c r="I260" s="2504">
        <v>246.26801922050186</v>
      </c>
      <c r="J260" s="2356">
        <v>242.82</v>
      </c>
      <c r="K260" s="2356">
        <v>221.17</v>
      </c>
      <c r="L260" s="1281">
        <v>233.3</v>
      </c>
      <c r="M260" s="3836">
        <v>246.27</v>
      </c>
      <c r="N260" s="1318">
        <f>(J260-L260)/L260</f>
        <v>4.0805829404200522E-2</v>
      </c>
      <c r="O260" s="1318">
        <f t="shared" si="48"/>
        <v>1.4199897951164907E-2</v>
      </c>
      <c r="Q260" s="1281">
        <f t="shared" ref="Q260:Q294" si="54">M260/S260</f>
        <v>307.83749999999998</v>
      </c>
      <c r="R260" s="2190"/>
      <c r="S260" s="1347">
        <v>0.8</v>
      </c>
      <c r="T260" s="2218"/>
      <c r="U260" s="2190"/>
      <c r="V260" s="2190"/>
      <c r="X260" s="2190"/>
      <c r="Y260" s="2190"/>
      <c r="Z260" s="2190"/>
      <c r="AA260" s="2621" t="s">
        <v>1104</v>
      </c>
      <c r="AB260" s="2190"/>
      <c r="AC260" s="2190"/>
    </row>
    <row r="261" spans="1:30" x14ac:dyDescent="0.25">
      <c r="B261" s="1848" t="s">
        <v>1384</v>
      </c>
      <c r="C261" s="411" t="s">
        <v>2013</v>
      </c>
      <c r="D261" s="1349" t="s">
        <v>2014</v>
      </c>
      <c r="E261" s="1497" t="s">
        <v>3035</v>
      </c>
      <c r="F261" s="1083">
        <f t="shared" si="53"/>
        <v>29</v>
      </c>
      <c r="G261" s="1083">
        <f t="shared" si="50"/>
        <v>30</v>
      </c>
      <c r="H261" s="3832" t="s">
        <v>3796</v>
      </c>
      <c r="I261" s="2504">
        <v>548.77736252002137</v>
      </c>
      <c r="J261" s="2356">
        <v>561.08000000000004</v>
      </c>
      <c r="K261" s="2356">
        <v>597.79999999999995</v>
      </c>
      <c r="L261" s="1281">
        <v>522.94000000000005</v>
      </c>
      <c r="M261" s="3836">
        <v>548.78</v>
      </c>
      <c r="N261" s="1318">
        <f>(J261-L261)/L261</f>
        <v>7.2933797376372012E-2</v>
      </c>
      <c r="O261" s="1318">
        <f t="shared" si="48"/>
        <v>-2.1926708276856544E-2</v>
      </c>
      <c r="Q261" s="1281">
        <f t="shared" si="54"/>
        <v>914.63333333333333</v>
      </c>
      <c r="R261" s="2190"/>
      <c r="S261" s="1347">
        <v>0.6</v>
      </c>
      <c r="T261" s="2218"/>
      <c r="U261" s="2190"/>
      <c r="V261" s="2190"/>
      <c r="X261" s="2190"/>
      <c r="Y261" s="2190"/>
      <c r="Z261" s="2190"/>
      <c r="AA261" s="2621" t="s">
        <v>1104</v>
      </c>
      <c r="AB261" s="2190"/>
      <c r="AC261" s="2190"/>
    </row>
    <row r="262" spans="1:30" x14ac:dyDescent="0.25">
      <c r="B262" s="2218" t="s">
        <v>1500</v>
      </c>
      <c r="C262" s="1358" t="s">
        <v>1501</v>
      </c>
      <c r="D262" s="1383" t="s">
        <v>1149</v>
      </c>
      <c r="E262" s="1356" t="s">
        <v>1149</v>
      </c>
      <c r="F262" s="1083">
        <f t="shared" si="53"/>
        <v>26</v>
      </c>
      <c r="G262" s="1083">
        <f t="shared" si="50"/>
        <v>26</v>
      </c>
      <c r="H262" s="3832" t="s">
        <v>3796</v>
      </c>
      <c r="I262" s="2504">
        <v>127.06666666666666</v>
      </c>
      <c r="J262" s="2356">
        <v>127.39</v>
      </c>
      <c r="K262" s="2356">
        <v>134.62</v>
      </c>
      <c r="L262" s="1383">
        <v>138.97</v>
      </c>
      <c r="M262" s="3836">
        <v>127.39</v>
      </c>
      <c r="N262" s="1318"/>
      <c r="O262" s="1318">
        <f t="shared" si="48"/>
        <v>-2.5381374780857027E-3</v>
      </c>
      <c r="P262" s="1281">
        <f t="shared" ref="P262:P294" si="55">M262/R262</f>
        <v>318.47499999999997</v>
      </c>
      <c r="Q262" s="1281">
        <f t="shared" si="54"/>
        <v>212.31666666666666</v>
      </c>
      <c r="R262" s="2351">
        <v>0.4</v>
      </c>
      <c r="S262" s="1347">
        <v>0.6</v>
      </c>
      <c r="T262" s="2218"/>
      <c r="U262" s="2190"/>
      <c r="V262" s="2190"/>
      <c r="X262" s="2190"/>
      <c r="Y262" s="2190"/>
      <c r="Z262" s="2190" t="s">
        <v>1104</v>
      </c>
      <c r="AB262" s="2190"/>
      <c r="AC262" s="2190"/>
      <c r="AD262" s="86"/>
    </row>
    <row r="263" spans="1:30" x14ac:dyDescent="0.25">
      <c r="A263" s="1383" t="s">
        <v>263</v>
      </c>
      <c r="B263" s="1848">
        <v>106118967</v>
      </c>
      <c r="C263" s="1358" t="s">
        <v>2832</v>
      </c>
      <c r="D263" s="1383" t="s">
        <v>3189</v>
      </c>
      <c r="E263" s="1356" t="s">
        <v>3190</v>
      </c>
      <c r="F263" s="1083">
        <f t="shared" si="53"/>
        <v>41</v>
      </c>
      <c r="G263" s="1083">
        <f t="shared" si="50"/>
        <v>39</v>
      </c>
      <c r="H263" s="3832" t="s">
        <v>3797</v>
      </c>
      <c r="I263" s="2504">
        <v>110.3111111111111</v>
      </c>
      <c r="J263" s="1351">
        <v>110.32</v>
      </c>
      <c r="K263" s="1351">
        <v>130.56</v>
      </c>
      <c r="M263" s="3836">
        <v>110.32</v>
      </c>
      <c r="N263" s="1318" t="e">
        <f t="shared" ref="N263:N294" si="56">(J263-L263)/L263</f>
        <v>#DIV/0!</v>
      </c>
      <c r="O263" s="1318">
        <f t="shared" si="48"/>
        <v>-8.0573684634610942E-5</v>
      </c>
      <c r="P263" s="1281">
        <f t="shared" si="55"/>
        <v>137.89999999999998</v>
      </c>
      <c r="Q263" s="1281">
        <f t="shared" si="54"/>
        <v>116.12631578947368</v>
      </c>
      <c r="R263" s="2633">
        <v>0.8</v>
      </c>
      <c r="S263" s="2633">
        <v>0.95</v>
      </c>
      <c r="V263" s="2633" t="s">
        <v>1104</v>
      </c>
      <c r="W263" s="3217"/>
      <c r="X263" s="2621"/>
      <c r="Y263" s="142"/>
      <c r="Z263" s="2118"/>
      <c r="AA263" s="1804"/>
      <c r="AB263" s="2633"/>
      <c r="AC263" s="1848">
        <v>106118976</v>
      </c>
    </row>
    <row r="264" spans="1:30" x14ac:dyDescent="0.25">
      <c r="A264" s="1383" t="s">
        <v>263</v>
      </c>
      <c r="B264" s="1848">
        <v>106119494</v>
      </c>
      <c r="C264" s="1358" t="s">
        <v>2833</v>
      </c>
      <c r="D264" s="1383" t="s">
        <v>2525</v>
      </c>
      <c r="E264" s="1356" t="s">
        <v>2518</v>
      </c>
      <c r="F264" s="1083">
        <f t="shared" si="53"/>
        <v>43</v>
      </c>
      <c r="G264" s="1083">
        <f t="shared" si="50"/>
        <v>43</v>
      </c>
      <c r="H264" s="3832" t="s">
        <v>3801</v>
      </c>
      <c r="I264" s="2504">
        <v>5</v>
      </c>
      <c r="J264" s="1351">
        <v>5</v>
      </c>
      <c r="K264" s="1351">
        <v>7.72</v>
      </c>
      <c r="M264" s="3836">
        <v>5</v>
      </c>
      <c r="N264" s="1318" t="e">
        <f t="shared" si="56"/>
        <v>#DIV/0!</v>
      </c>
      <c r="O264" s="1318">
        <f t="shared" si="48"/>
        <v>0</v>
      </c>
      <c r="P264" s="1281">
        <f t="shared" si="55"/>
        <v>6.25</v>
      </c>
      <c r="Q264" s="1281">
        <f t="shared" si="54"/>
        <v>5.2631578947368425</v>
      </c>
      <c r="R264" s="2633">
        <v>0.8</v>
      </c>
      <c r="S264" s="2633">
        <v>0.95</v>
      </c>
      <c r="V264" s="2633" t="s">
        <v>1104</v>
      </c>
      <c r="W264" s="3217"/>
      <c r="X264" s="2621"/>
      <c r="Y264" s="142"/>
      <c r="Z264" s="2118"/>
      <c r="AA264" s="1804"/>
      <c r="AB264" s="2633"/>
      <c r="AC264" s="1848">
        <v>106118976</v>
      </c>
    </row>
    <row r="265" spans="1:30" x14ac:dyDescent="0.25">
      <c r="A265" s="1383" t="s">
        <v>263</v>
      </c>
      <c r="B265" s="1848">
        <v>106118968</v>
      </c>
      <c r="C265" s="1358" t="s">
        <v>2834</v>
      </c>
      <c r="D265" s="1383" t="s">
        <v>2524</v>
      </c>
      <c r="E265" s="1356" t="s">
        <v>2519</v>
      </c>
      <c r="F265" s="1083">
        <f t="shared" si="53"/>
        <v>48</v>
      </c>
      <c r="G265" s="1083">
        <f t="shared" si="50"/>
        <v>58</v>
      </c>
      <c r="H265" s="3832" t="s">
        <v>3801</v>
      </c>
      <c r="I265" s="2504">
        <v>4.3666666666666671</v>
      </c>
      <c r="J265" s="1351">
        <v>4.3600000000000003</v>
      </c>
      <c r="K265" s="1351">
        <v>8.18</v>
      </c>
      <c r="M265" s="3836">
        <v>4.37</v>
      </c>
      <c r="N265" s="1318" t="e">
        <f t="shared" si="56"/>
        <v>#DIV/0!</v>
      </c>
      <c r="O265" s="1318">
        <f t="shared" ref="O265:O296" si="57">(I265-J265)/J265</f>
        <v>1.5290519877676192E-3</v>
      </c>
      <c r="P265" s="1281">
        <f t="shared" si="55"/>
        <v>5.4624999999999995</v>
      </c>
      <c r="Q265" s="1281">
        <f t="shared" si="54"/>
        <v>4.6000000000000005</v>
      </c>
      <c r="R265" s="2633">
        <v>0.8</v>
      </c>
      <c r="S265" s="2633">
        <v>0.95</v>
      </c>
      <c r="V265" s="2633" t="s">
        <v>1104</v>
      </c>
      <c r="W265" s="3217"/>
      <c r="X265" s="2621"/>
      <c r="Y265" s="142"/>
      <c r="Z265" s="2118"/>
      <c r="AA265" s="1804"/>
      <c r="AB265" s="2633"/>
      <c r="AC265" s="1848">
        <v>106118976</v>
      </c>
    </row>
    <row r="266" spans="1:30" x14ac:dyDescent="0.25">
      <c r="A266" s="1383" t="s">
        <v>263</v>
      </c>
      <c r="B266" s="1848">
        <v>106118969</v>
      </c>
      <c r="C266" s="1358" t="s">
        <v>2835</v>
      </c>
      <c r="D266" s="1383" t="s">
        <v>2523</v>
      </c>
      <c r="E266" s="1356" t="s">
        <v>2520</v>
      </c>
      <c r="F266" s="1083">
        <f t="shared" si="53"/>
        <v>47</v>
      </c>
      <c r="G266" s="1083">
        <f t="shared" si="50"/>
        <v>59</v>
      </c>
      <c r="H266" s="3832" t="s">
        <v>3801</v>
      </c>
      <c r="I266" s="2504">
        <v>4.3666666666666671</v>
      </c>
      <c r="J266" s="1351">
        <v>4.3600000000000003</v>
      </c>
      <c r="K266" s="1351">
        <v>8.18</v>
      </c>
      <c r="M266" s="3836">
        <v>4.37</v>
      </c>
      <c r="N266" s="1318" t="e">
        <f t="shared" si="56"/>
        <v>#DIV/0!</v>
      </c>
      <c r="O266" s="1318">
        <f t="shared" si="57"/>
        <v>1.5290519877676192E-3</v>
      </c>
      <c r="P266" s="1281">
        <f t="shared" si="55"/>
        <v>5.4624999999999995</v>
      </c>
      <c r="Q266" s="1281">
        <f t="shared" si="54"/>
        <v>4.6000000000000005</v>
      </c>
      <c r="R266" s="2633">
        <v>0.8</v>
      </c>
      <c r="S266" s="2633">
        <v>0.95</v>
      </c>
      <c r="V266" s="2633" t="s">
        <v>1104</v>
      </c>
      <c r="W266" s="3217"/>
      <c r="X266" s="2621"/>
      <c r="Y266" s="142"/>
      <c r="Z266" s="2118"/>
      <c r="AA266" s="1804"/>
      <c r="AB266" s="2633"/>
      <c r="AC266" s="1848">
        <v>106118976</v>
      </c>
    </row>
    <row r="267" spans="1:30" x14ac:dyDescent="0.25">
      <c r="A267" s="1383" t="s">
        <v>263</v>
      </c>
      <c r="B267" s="1848">
        <v>106118975</v>
      </c>
      <c r="C267" s="1358" t="s">
        <v>2836</v>
      </c>
      <c r="D267" s="1383" t="s">
        <v>2522</v>
      </c>
      <c r="E267" s="1356" t="s">
        <v>2521</v>
      </c>
      <c r="F267" s="1083">
        <f t="shared" si="53"/>
        <v>36</v>
      </c>
      <c r="G267" s="1083">
        <f t="shared" si="50"/>
        <v>38</v>
      </c>
      <c r="H267" s="3832" t="s">
        <v>3797</v>
      </c>
      <c r="I267" s="2504">
        <v>3.333333333333333</v>
      </c>
      <c r="J267" s="1351">
        <v>3.34</v>
      </c>
      <c r="K267" s="1351">
        <v>7.67</v>
      </c>
      <c r="M267" s="3836">
        <v>3.34</v>
      </c>
      <c r="N267" s="1318" t="e">
        <f t="shared" si="56"/>
        <v>#DIV/0!</v>
      </c>
      <c r="O267" s="1318">
        <f t="shared" si="57"/>
        <v>-1.9960079840319824E-3</v>
      </c>
      <c r="P267" s="1281">
        <f t="shared" si="55"/>
        <v>4.1749999999999998</v>
      </c>
      <c r="Q267" s="1281">
        <f t="shared" si="54"/>
        <v>3.5157894736842104</v>
      </c>
      <c r="R267" s="2633">
        <v>0.8</v>
      </c>
      <c r="S267" s="2633">
        <v>0.95</v>
      </c>
      <c r="V267" s="2633" t="s">
        <v>1104</v>
      </c>
      <c r="W267" s="3217"/>
      <c r="X267" s="2621"/>
      <c r="Y267" s="142"/>
      <c r="Z267" s="2118"/>
      <c r="AA267" s="1804"/>
      <c r="AB267" s="2633"/>
      <c r="AC267" s="1848">
        <v>106118976</v>
      </c>
    </row>
    <row r="268" spans="1:30" x14ac:dyDescent="0.25">
      <c r="A268" s="1383" t="s">
        <v>71</v>
      </c>
      <c r="B268" s="1848">
        <v>106204781</v>
      </c>
      <c r="C268" s="1358" t="s">
        <v>2837</v>
      </c>
      <c r="D268" s="1383" t="s">
        <v>2508</v>
      </c>
      <c r="E268" s="1356" t="s">
        <v>2509</v>
      </c>
      <c r="F268" s="1083">
        <f t="shared" si="53"/>
        <v>49</v>
      </c>
      <c r="G268" s="1083">
        <f t="shared" si="50"/>
        <v>44</v>
      </c>
      <c r="H268" s="3832" t="s">
        <v>3800</v>
      </c>
      <c r="I268" s="2504">
        <v>1356.0444444444445</v>
      </c>
      <c r="J268" s="1351">
        <v>1450.01</v>
      </c>
      <c r="K268" s="1351">
        <v>1046.2</v>
      </c>
      <c r="M268" s="3836">
        <f>M289</f>
        <v>1731.59</v>
      </c>
      <c r="N268" s="1318" t="e">
        <f t="shared" si="56"/>
        <v>#DIV/0!</v>
      </c>
      <c r="O268" s="1318">
        <f t="shared" si="57"/>
        <v>-6.4803384497731403E-2</v>
      </c>
      <c r="P268" s="1281">
        <f t="shared" si="55"/>
        <v>2164.4874999999997</v>
      </c>
      <c r="Q268" s="1281">
        <f t="shared" si="54"/>
        <v>1822.7263157894736</v>
      </c>
      <c r="R268" s="2633">
        <v>0.8</v>
      </c>
      <c r="S268" s="2633">
        <v>0.95</v>
      </c>
      <c r="V268" s="2633" t="s">
        <v>1104</v>
      </c>
      <c r="W268" s="3217"/>
      <c r="X268" s="2621"/>
      <c r="Y268" s="142"/>
      <c r="Z268" s="2118"/>
      <c r="AA268" s="1804"/>
      <c r="AB268" s="2633" t="s">
        <v>4186</v>
      </c>
      <c r="AC268" s="2633" t="s">
        <v>1549</v>
      </c>
    </row>
    <row r="269" spans="1:30" x14ac:dyDescent="0.25">
      <c r="A269" s="1383" t="s">
        <v>71</v>
      </c>
      <c r="B269" s="1848">
        <v>106101365</v>
      </c>
      <c r="C269" s="1358" t="s">
        <v>2838</v>
      </c>
      <c r="D269" s="1383" t="s">
        <v>2504</v>
      </c>
      <c r="E269" s="1356" t="s">
        <v>2505</v>
      </c>
      <c r="F269" s="1083">
        <f t="shared" si="53"/>
        <v>40</v>
      </c>
      <c r="G269" s="1083">
        <f t="shared" si="50"/>
        <v>40</v>
      </c>
      <c r="H269" s="3832" t="s">
        <v>3797</v>
      </c>
      <c r="I269" s="2504">
        <v>1220.9333333333332</v>
      </c>
      <c r="J269" s="1351">
        <v>1310.17</v>
      </c>
      <c r="K269" s="1351">
        <v>786.13</v>
      </c>
      <c r="M269" s="3836">
        <f>M291</f>
        <v>1621.22</v>
      </c>
      <c r="N269" s="1318" t="e">
        <f t="shared" si="56"/>
        <v>#DIV/0!</v>
      </c>
      <c r="O269" s="1318">
        <f t="shared" si="57"/>
        <v>-6.8110754075171087E-2</v>
      </c>
      <c r="P269" s="1281">
        <f t="shared" si="55"/>
        <v>2026.5249999999999</v>
      </c>
      <c r="Q269" s="1281">
        <f t="shared" si="54"/>
        <v>1706.5473684210529</v>
      </c>
      <c r="R269" s="2633">
        <v>0.8</v>
      </c>
      <c r="S269" s="2633">
        <v>0.95</v>
      </c>
      <c r="V269" s="2633" t="s">
        <v>1104</v>
      </c>
      <c r="W269" s="3217"/>
      <c r="X269" s="2621"/>
      <c r="Y269" s="142"/>
      <c r="Z269" s="2118"/>
      <c r="AA269" s="1804"/>
      <c r="AB269" s="2633"/>
      <c r="AC269" s="1848">
        <v>106204781</v>
      </c>
    </row>
    <row r="270" spans="1:30" x14ac:dyDescent="0.25">
      <c r="A270" s="1383" t="s">
        <v>71</v>
      </c>
      <c r="B270" s="1848">
        <v>106101464</v>
      </c>
      <c r="C270" s="1358" t="s">
        <v>2839</v>
      </c>
      <c r="D270" s="1383" t="s">
        <v>2542</v>
      </c>
      <c r="E270" s="1356" t="s">
        <v>2543</v>
      </c>
      <c r="F270" s="1083">
        <f t="shared" si="53"/>
        <v>44</v>
      </c>
      <c r="G270" s="1083">
        <f t="shared" si="50"/>
        <v>46</v>
      </c>
      <c r="H270" s="3832" t="s">
        <v>3797</v>
      </c>
      <c r="I270" s="2504">
        <v>85.75555555555556</v>
      </c>
      <c r="J270" s="1351"/>
      <c r="K270" s="1351">
        <v>85.68</v>
      </c>
      <c r="M270" s="3836">
        <v>85.76</v>
      </c>
      <c r="N270" s="1318" t="e">
        <f t="shared" si="56"/>
        <v>#DIV/0!</v>
      </c>
      <c r="O270" s="1318" t="e">
        <f t="shared" si="57"/>
        <v>#DIV/0!</v>
      </c>
      <c r="P270" s="1281">
        <f t="shared" si="55"/>
        <v>107.2</v>
      </c>
      <c r="Q270" s="1281">
        <f t="shared" si="54"/>
        <v>90.273684210526326</v>
      </c>
      <c r="R270" s="2633">
        <v>0.8</v>
      </c>
      <c r="S270" s="2633">
        <v>0.95</v>
      </c>
      <c r="V270" s="2633" t="s">
        <v>1104</v>
      </c>
      <c r="W270" s="3217"/>
      <c r="X270" s="2621"/>
      <c r="Y270" s="142"/>
      <c r="Z270" s="2118"/>
      <c r="AA270" s="1804"/>
      <c r="AB270" s="2633"/>
      <c r="AC270" s="1848">
        <v>106204781</v>
      </c>
    </row>
    <row r="271" spans="1:30" x14ac:dyDescent="0.25">
      <c r="A271" s="1383" t="s">
        <v>71</v>
      </c>
      <c r="B271" s="1848">
        <v>106110738</v>
      </c>
      <c r="C271" s="1358" t="s">
        <v>2840</v>
      </c>
      <c r="D271" s="1383" t="s">
        <v>2554</v>
      </c>
      <c r="E271" s="1356" t="s">
        <v>2555</v>
      </c>
      <c r="F271" s="1083">
        <f t="shared" si="53"/>
        <v>64</v>
      </c>
      <c r="G271" s="1083">
        <f t="shared" si="50"/>
        <v>51</v>
      </c>
      <c r="H271" s="3832" t="s">
        <v>3801</v>
      </c>
      <c r="I271" s="2504">
        <v>43.699999999999996</v>
      </c>
      <c r="J271" s="1351">
        <v>44.86</v>
      </c>
      <c r="K271" s="1351">
        <v>56.89</v>
      </c>
      <c r="M271" s="3836">
        <v>44.86</v>
      </c>
      <c r="N271" s="1318" t="e">
        <f t="shared" si="56"/>
        <v>#DIV/0!</v>
      </c>
      <c r="O271" s="1318">
        <f t="shared" si="57"/>
        <v>-2.5858225590726789E-2</v>
      </c>
      <c r="P271" s="1281">
        <f t="shared" si="55"/>
        <v>56.074999999999996</v>
      </c>
      <c r="Q271" s="1281">
        <f t="shared" si="54"/>
        <v>47.221052631578949</v>
      </c>
      <c r="R271" s="2633">
        <v>0.8</v>
      </c>
      <c r="S271" s="2633">
        <v>0.95</v>
      </c>
      <c r="V271" s="2633" t="s">
        <v>1104</v>
      </c>
      <c r="W271" s="3217"/>
      <c r="X271" s="2621"/>
      <c r="Y271" s="142"/>
      <c r="Z271" s="2118"/>
      <c r="AA271" s="1804"/>
      <c r="AB271" s="2633"/>
      <c r="AC271" s="1848">
        <v>106204781</v>
      </c>
    </row>
    <row r="272" spans="1:30" x14ac:dyDescent="0.25">
      <c r="A272" s="48" t="s">
        <v>328</v>
      </c>
      <c r="B272" s="1848">
        <v>106119611</v>
      </c>
      <c r="C272" s="1358" t="s">
        <v>2841</v>
      </c>
      <c r="D272" s="1383" t="s">
        <v>2547</v>
      </c>
      <c r="E272" s="1356" t="s">
        <v>2548</v>
      </c>
      <c r="F272" s="1083">
        <f t="shared" si="53"/>
        <v>37</v>
      </c>
      <c r="G272" s="1083">
        <f t="shared" si="50"/>
        <v>32</v>
      </c>
      <c r="H272" s="3832" t="s">
        <v>3798</v>
      </c>
      <c r="I272" s="2504">
        <v>97.066666666666663</v>
      </c>
      <c r="J272" s="1351">
        <v>96.9</v>
      </c>
      <c r="K272" s="1351">
        <v>96.9</v>
      </c>
      <c r="M272" s="3836">
        <v>97.07</v>
      </c>
      <c r="N272" s="1318" t="e">
        <f t="shared" si="56"/>
        <v>#DIV/0!</v>
      </c>
      <c r="O272" s="1318">
        <f t="shared" si="57"/>
        <v>1.7199862401099813E-3</v>
      </c>
      <c r="P272" s="1281">
        <f t="shared" si="55"/>
        <v>121.33749999999999</v>
      </c>
      <c r="Q272" s="1281">
        <f t="shared" si="54"/>
        <v>102.17894736842105</v>
      </c>
      <c r="R272" s="2633">
        <v>0.8</v>
      </c>
      <c r="S272" s="2633">
        <v>0.95</v>
      </c>
      <c r="V272" s="2633" t="s">
        <v>1104</v>
      </c>
      <c r="W272" s="3217"/>
      <c r="X272" s="2621"/>
      <c r="Y272" s="142"/>
      <c r="Z272" s="2118"/>
      <c r="AA272" s="1804"/>
      <c r="AB272" s="2633" t="s">
        <v>649</v>
      </c>
      <c r="AC272" s="2633"/>
    </row>
    <row r="273" spans="1:29" x14ac:dyDescent="0.25">
      <c r="B273" s="1848">
        <v>106122086</v>
      </c>
      <c r="C273" s="1358" t="s">
        <v>2842</v>
      </c>
      <c r="D273" s="1383" t="s">
        <v>2551</v>
      </c>
      <c r="E273" s="1356" t="s">
        <v>2552</v>
      </c>
      <c r="F273" s="1083">
        <f t="shared" si="53"/>
        <v>40</v>
      </c>
      <c r="G273" s="1083">
        <f t="shared" si="50"/>
        <v>45</v>
      </c>
      <c r="H273" s="3832" t="s">
        <v>3801</v>
      </c>
      <c r="I273" s="2504">
        <v>37.777777777777779</v>
      </c>
      <c r="J273" s="1351">
        <v>38.89</v>
      </c>
      <c r="K273" s="1351">
        <v>50</v>
      </c>
      <c r="M273" s="3836">
        <v>38.89</v>
      </c>
      <c r="N273" s="1318" t="e">
        <f t="shared" si="56"/>
        <v>#DIV/0!</v>
      </c>
      <c r="O273" s="1318">
        <f t="shared" si="57"/>
        <v>-2.8599182880489123E-2</v>
      </c>
      <c r="P273" s="1281">
        <f t="shared" si="55"/>
        <v>48.612499999999997</v>
      </c>
      <c r="Q273" s="1281">
        <f t="shared" si="54"/>
        <v>40.93684210526316</v>
      </c>
      <c r="R273" s="2633">
        <v>0.8</v>
      </c>
      <c r="S273" s="2633">
        <v>0.95</v>
      </c>
      <c r="V273" s="2633" t="s">
        <v>1104</v>
      </c>
      <c r="W273" s="3217"/>
      <c r="X273" s="2621"/>
      <c r="Y273" s="142"/>
      <c r="Z273" s="2118"/>
      <c r="AA273" s="1804"/>
      <c r="AB273" s="2633"/>
      <c r="AC273" s="2633"/>
    </row>
    <row r="274" spans="1:29" x14ac:dyDescent="0.25">
      <c r="A274" s="48" t="s">
        <v>2489</v>
      </c>
      <c r="B274" s="1848">
        <v>106119667</v>
      </c>
      <c r="C274" s="1358" t="s">
        <v>2843</v>
      </c>
      <c r="D274" s="1383" t="s">
        <v>2592</v>
      </c>
      <c r="E274" s="1356" t="s">
        <v>2593</v>
      </c>
      <c r="F274" s="1083">
        <f t="shared" si="53"/>
        <v>23</v>
      </c>
      <c r="G274" s="1083">
        <f t="shared" si="50"/>
        <v>20</v>
      </c>
      <c r="H274" s="3832" t="s">
        <v>3798</v>
      </c>
      <c r="I274" s="2504">
        <v>8.0222222222222221</v>
      </c>
      <c r="J274" s="1351">
        <v>8.02</v>
      </c>
      <c r="K274" s="1351">
        <v>8.02</v>
      </c>
      <c r="M274" s="3836">
        <v>8.02</v>
      </c>
      <c r="N274" s="1318" t="e">
        <f t="shared" si="56"/>
        <v>#DIV/0!</v>
      </c>
      <c r="O274" s="1318">
        <f t="shared" si="57"/>
        <v>2.7708506511503364E-4</v>
      </c>
      <c r="P274" s="1281">
        <f t="shared" si="55"/>
        <v>10.024999999999999</v>
      </c>
      <c r="Q274" s="1281">
        <f t="shared" si="54"/>
        <v>8.4421052631578952</v>
      </c>
      <c r="R274" s="2633">
        <v>0.8</v>
      </c>
      <c r="S274" s="2633">
        <v>0.95</v>
      </c>
      <c r="V274" s="2633" t="s">
        <v>1104</v>
      </c>
      <c r="W274" s="3217"/>
      <c r="X274" s="2621"/>
      <c r="Y274" s="142"/>
      <c r="Z274" s="2118"/>
      <c r="AA274" s="1804"/>
      <c r="AB274" s="2633" t="s">
        <v>649</v>
      </c>
      <c r="AC274" s="2633"/>
    </row>
    <row r="275" spans="1:29" x14ac:dyDescent="0.25">
      <c r="A275" s="48" t="s">
        <v>2490</v>
      </c>
      <c r="B275" s="1848">
        <v>106119669</v>
      </c>
      <c r="C275" s="1358" t="s">
        <v>2844</v>
      </c>
      <c r="D275" s="1383" t="s">
        <v>2594</v>
      </c>
      <c r="E275" s="1356" t="s">
        <v>2595</v>
      </c>
      <c r="F275" s="1083">
        <f t="shared" si="53"/>
        <v>24</v>
      </c>
      <c r="G275" s="1083">
        <f t="shared" si="50"/>
        <v>16</v>
      </c>
      <c r="H275" s="3832" t="s">
        <v>3798</v>
      </c>
      <c r="I275" s="2504">
        <v>13.366666666666665</v>
      </c>
      <c r="J275" s="1351">
        <v>13.37</v>
      </c>
      <c r="K275" s="1351">
        <v>13.37</v>
      </c>
      <c r="M275" s="3836">
        <v>13.37</v>
      </c>
      <c r="N275" s="1318" t="e">
        <f t="shared" si="56"/>
        <v>#DIV/0!</v>
      </c>
      <c r="O275" s="1318">
        <f t="shared" si="57"/>
        <v>-2.4931438544007888E-4</v>
      </c>
      <c r="P275" s="1281">
        <f t="shared" si="55"/>
        <v>16.712499999999999</v>
      </c>
      <c r="Q275" s="1281">
        <f t="shared" si="54"/>
        <v>14.073684210526316</v>
      </c>
      <c r="R275" s="2633">
        <v>0.8</v>
      </c>
      <c r="S275" s="2633">
        <v>0.95</v>
      </c>
      <c r="V275" s="2633" t="s">
        <v>1104</v>
      </c>
      <c r="W275" s="3217"/>
      <c r="X275" s="2621"/>
      <c r="Y275" s="142"/>
      <c r="Z275" s="2118"/>
      <c r="AA275" s="1804"/>
      <c r="AB275" s="2633" t="s">
        <v>649</v>
      </c>
      <c r="AC275" s="2633"/>
    </row>
    <row r="276" spans="1:29" x14ac:dyDescent="0.25">
      <c r="A276" s="48" t="s">
        <v>127</v>
      </c>
      <c r="B276" s="1848">
        <v>106120322</v>
      </c>
      <c r="C276" s="1358" t="s">
        <v>2845</v>
      </c>
      <c r="D276" s="1383" t="s">
        <v>2545</v>
      </c>
      <c r="E276" s="1356" t="s">
        <v>2546</v>
      </c>
      <c r="F276" s="1083">
        <f t="shared" si="53"/>
        <v>37</v>
      </c>
      <c r="G276" s="1083">
        <f t="shared" si="50"/>
        <v>32</v>
      </c>
      <c r="H276" s="3832" t="s">
        <v>3798</v>
      </c>
      <c r="I276" s="2504">
        <v>31.088888888888889</v>
      </c>
      <c r="J276" s="1351">
        <v>28.74</v>
      </c>
      <c r="K276" s="1351">
        <v>37.4</v>
      </c>
      <c r="M276" s="3836">
        <v>31.09</v>
      </c>
      <c r="N276" s="1318" t="e">
        <f t="shared" si="56"/>
        <v>#DIV/0!</v>
      </c>
      <c r="O276" s="1318">
        <f t="shared" si="57"/>
        <v>8.1728910538931457E-2</v>
      </c>
      <c r="P276" s="1281">
        <f t="shared" si="55"/>
        <v>38.862499999999997</v>
      </c>
      <c r="Q276" s="1281">
        <f t="shared" si="54"/>
        <v>32.726315789473688</v>
      </c>
      <c r="R276" s="2633">
        <v>0.8</v>
      </c>
      <c r="S276" s="2633">
        <v>0.95</v>
      </c>
      <c r="V276" s="2633" t="s">
        <v>1104</v>
      </c>
      <c r="Y276" s="2621"/>
      <c r="Z276" s="142"/>
      <c r="AA276" s="2118"/>
      <c r="AB276" s="2633" t="s">
        <v>649</v>
      </c>
      <c r="AC276" s="1383"/>
    </row>
    <row r="277" spans="1:29" x14ac:dyDescent="0.25">
      <c r="A277" s="48" t="s">
        <v>127</v>
      </c>
      <c r="B277" s="1848">
        <v>106205276</v>
      </c>
      <c r="C277" s="1358" t="s">
        <v>2846</v>
      </c>
      <c r="D277" s="1383" t="s">
        <v>2811</v>
      </c>
      <c r="E277" s="1356" t="s">
        <v>2812</v>
      </c>
      <c r="F277" s="1083">
        <f t="shared" si="53"/>
        <v>47</v>
      </c>
      <c r="G277" s="1083">
        <f t="shared" si="50"/>
        <v>42</v>
      </c>
      <c r="H277" s="3832" t="s">
        <v>3800</v>
      </c>
      <c r="I277" s="2504">
        <v>31.088888888888889</v>
      </c>
      <c r="J277" s="1351">
        <v>31.11</v>
      </c>
      <c r="K277" s="1351">
        <v>37.4</v>
      </c>
      <c r="M277" s="3836">
        <f>M276</f>
        <v>31.09</v>
      </c>
      <c r="N277" s="1318" t="e">
        <f t="shared" si="56"/>
        <v>#DIV/0!</v>
      </c>
      <c r="O277" s="1318">
        <f t="shared" si="57"/>
        <v>-6.7859566413085365E-4</v>
      </c>
      <c r="P277" s="1281">
        <f t="shared" si="55"/>
        <v>38.862499999999997</v>
      </c>
      <c r="Q277" s="1281">
        <f t="shared" si="54"/>
        <v>32.726315789473688</v>
      </c>
      <c r="R277" s="2633">
        <v>0.8</v>
      </c>
      <c r="S277" s="2633">
        <v>0.95</v>
      </c>
      <c r="T277" s="2633"/>
      <c r="U277" s="2633"/>
      <c r="V277" s="2633" t="s">
        <v>1104</v>
      </c>
      <c r="X277" s="2633"/>
      <c r="Y277" s="2895"/>
      <c r="Z277" s="142"/>
      <c r="AA277" s="2633"/>
      <c r="AB277" s="2633"/>
      <c r="AC277" s="1848">
        <v>106120322</v>
      </c>
    </row>
    <row r="278" spans="1:29" x14ac:dyDescent="0.25">
      <c r="A278" s="48" t="s">
        <v>263</v>
      </c>
      <c r="B278" s="1848">
        <v>106204784</v>
      </c>
      <c r="C278" s="1358" t="s">
        <v>2999</v>
      </c>
      <c r="D278" s="1383" t="s">
        <v>2938</v>
      </c>
      <c r="E278" s="1356" t="s">
        <v>2939</v>
      </c>
      <c r="F278" s="1083">
        <f t="shared" si="53"/>
        <v>62</v>
      </c>
      <c r="G278" s="1083">
        <f t="shared" si="50"/>
        <v>55</v>
      </c>
      <c r="H278" s="3832" t="s">
        <v>3800</v>
      </c>
      <c r="I278" s="2504">
        <v>994.80000000000007</v>
      </c>
      <c r="J278" s="1351">
        <v>994.58</v>
      </c>
      <c r="K278" s="1351">
        <v>994.51</v>
      </c>
      <c r="M278" s="3836">
        <v>994.58</v>
      </c>
      <c r="N278" s="1318" t="e">
        <f t="shared" si="56"/>
        <v>#DIV/0!</v>
      </c>
      <c r="O278" s="1318">
        <f t="shared" si="57"/>
        <v>2.2119889802733544E-4</v>
      </c>
      <c r="P278" s="1281">
        <f t="shared" si="55"/>
        <v>1243.2249999999999</v>
      </c>
      <c r="Q278" s="1281">
        <f t="shared" si="54"/>
        <v>1046.9263157894738</v>
      </c>
      <c r="R278" s="2633">
        <v>0.8</v>
      </c>
      <c r="S278" s="2633">
        <v>0.95</v>
      </c>
      <c r="T278" s="2633"/>
      <c r="U278" s="2633"/>
      <c r="V278" s="2633" t="s">
        <v>1104</v>
      </c>
      <c r="X278" s="2633" t="s">
        <v>1104</v>
      </c>
      <c r="Y278" s="3217"/>
      <c r="Z278" s="142"/>
      <c r="AA278" s="2633"/>
      <c r="AB278" s="2633"/>
      <c r="AC278" s="1848" t="s">
        <v>1549</v>
      </c>
    </row>
    <row r="279" spans="1:29" x14ac:dyDescent="0.25">
      <c r="A279" s="48" t="s">
        <v>263</v>
      </c>
      <c r="B279" s="1848">
        <v>106120955</v>
      </c>
      <c r="C279" s="1358" t="s">
        <v>3000</v>
      </c>
      <c r="D279" s="1383" t="s">
        <v>2809</v>
      </c>
      <c r="E279" s="1356" t="s">
        <v>2810</v>
      </c>
      <c r="F279" s="1083">
        <f t="shared" si="53"/>
        <v>40</v>
      </c>
      <c r="G279" s="1083">
        <f t="shared" si="50"/>
        <v>52</v>
      </c>
      <c r="H279" s="3832" t="s">
        <v>3801</v>
      </c>
      <c r="I279" s="2504">
        <v>21.033333333333331</v>
      </c>
      <c r="J279" s="1351">
        <v>23.33</v>
      </c>
      <c r="K279" s="1351">
        <v>21.03</v>
      </c>
      <c r="M279" s="3836">
        <v>21.03</v>
      </c>
      <c r="N279" s="1318" t="e">
        <f t="shared" si="56"/>
        <v>#DIV/0!</v>
      </c>
      <c r="O279" s="1318">
        <f t="shared" si="57"/>
        <v>-9.8442634662094602E-2</v>
      </c>
      <c r="P279" s="1281">
        <f t="shared" si="55"/>
        <v>26.287500000000001</v>
      </c>
      <c r="Q279" s="1281">
        <f t="shared" si="54"/>
        <v>22.13684210526316</v>
      </c>
      <c r="R279" s="2633">
        <v>0.8</v>
      </c>
      <c r="S279" s="2633">
        <v>0.95</v>
      </c>
      <c r="T279" s="2633"/>
      <c r="U279" s="2633"/>
      <c r="V279" s="2633" t="s">
        <v>1104</v>
      </c>
      <c r="X279" s="2633" t="s">
        <v>1104</v>
      </c>
      <c r="Y279" s="3217"/>
      <c r="Z279" s="142"/>
      <c r="AA279" s="2633"/>
      <c r="AB279" s="2633"/>
      <c r="AC279" s="1848">
        <v>106204784</v>
      </c>
    </row>
    <row r="280" spans="1:29" x14ac:dyDescent="0.25">
      <c r="A280" s="48" t="s">
        <v>2891</v>
      </c>
      <c r="B280" s="1848">
        <v>106105692</v>
      </c>
      <c r="C280" s="1358" t="s">
        <v>3209</v>
      </c>
      <c r="D280" s="1383" t="s">
        <v>3210</v>
      </c>
      <c r="E280" s="1356" t="s">
        <v>3211</v>
      </c>
      <c r="F280" s="1083">
        <f t="shared" si="53"/>
        <v>13</v>
      </c>
      <c r="G280" s="1083">
        <f t="shared" si="50"/>
        <v>14</v>
      </c>
      <c r="H280" s="3832" t="s">
        <v>3797</v>
      </c>
      <c r="I280" s="2504">
        <v>3.5666666666666664</v>
      </c>
      <c r="J280" s="1351">
        <v>4.33</v>
      </c>
      <c r="K280" s="1351">
        <v>0.89</v>
      </c>
      <c r="M280" s="3836">
        <v>3.57</v>
      </c>
      <c r="N280" s="1318" t="e">
        <f t="shared" si="56"/>
        <v>#DIV/0!</v>
      </c>
      <c r="O280" s="1318">
        <f t="shared" si="57"/>
        <v>-0.17628945342571214</v>
      </c>
      <c r="P280" s="1281">
        <f t="shared" si="55"/>
        <v>4.4624999999999995</v>
      </c>
      <c r="Q280" s="1281">
        <f t="shared" si="54"/>
        <v>3.7578947368421054</v>
      </c>
      <c r="R280" s="2633">
        <v>0.8</v>
      </c>
      <c r="S280" s="2633">
        <v>0.95</v>
      </c>
      <c r="T280" s="2633"/>
      <c r="U280" s="2633"/>
      <c r="V280" s="2633"/>
      <c r="X280" s="2633" t="s">
        <v>1104</v>
      </c>
      <c r="Y280" s="3217"/>
      <c r="Z280" s="142"/>
      <c r="AA280" s="2633"/>
      <c r="AB280" s="2633"/>
      <c r="AC280" s="1848"/>
    </row>
    <row r="281" spans="1:29" x14ac:dyDescent="0.25">
      <c r="A281" s="48" t="s">
        <v>2803</v>
      </c>
      <c r="B281" s="1848">
        <v>106116452</v>
      </c>
      <c r="C281" s="1358" t="s">
        <v>3001</v>
      </c>
      <c r="D281" s="1383" t="s">
        <v>2814</v>
      </c>
      <c r="E281" s="1356" t="s">
        <v>2813</v>
      </c>
      <c r="F281" s="1083">
        <f t="shared" si="53"/>
        <v>26</v>
      </c>
      <c r="G281" s="1083">
        <f t="shared" ref="G281:G311" si="58">LEN(E281)</f>
        <v>20</v>
      </c>
      <c r="H281" s="3832" t="s">
        <v>3798</v>
      </c>
      <c r="I281" s="2504">
        <v>68.777777777777771</v>
      </c>
      <c r="J281" s="1351">
        <v>68.78</v>
      </c>
      <c r="K281" s="1351">
        <v>68.78</v>
      </c>
      <c r="M281" s="3836">
        <v>68.78</v>
      </c>
      <c r="N281" s="1318" t="e">
        <f t="shared" si="56"/>
        <v>#DIV/0!</v>
      </c>
      <c r="O281" s="1318">
        <f t="shared" si="57"/>
        <v>-3.2309133792231388E-5</v>
      </c>
      <c r="P281" s="1281">
        <f t="shared" si="55"/>
        <v>85.974999999999994</v>
      </c>
      <c r="Q281" s="1281">
        <f t="shared" si="54"/>
        <v>72.400000000000006</v>
      </c>
      <c r="R281" s="2633">
        <v>0.8</v>
      </c>
      <c r="S281" s="2633">
        <v>0.95</v>
      </c>
      <c r="T281" s="2633"/>
      <c r="U281" s="2633"/>
      <c r="V281" s="2633" t="s">
        <v>1104</v>
      </c>
      <c r="X281" s="2633" t="s">
        <v>1104</v>
      </c>
      <c r="Y281" s="3217"/>
      <c r="Z281" s="142"/>
      <c r="AA281" s="2633"/>
      <c r="AB281" s="2633" t="s">
        <v>649</v>
      </c>
      <c r="AC281" s="1848"/>
    </row>
    <row r="282" spans="1:29" x14ac:dyDescent="0.25">
      <c r="A282" s="48" t="s">
        <v>2801</v>
      </c>
      <c r="B282" s="1848">
        <v>106205250</v>
      </c>
      <c r="C282" s="1358" t="s">
        <v>3002</v>
      </c>
      <c r="D282" s="1383" t="s">
        <v>2820</v>
      </c>
      <c r="E282" s="1356" t="s">
        <v>2821</v>
      </c>
      <c r="F282" s="1083">
        <f t="shared" ref="F282:F312" si="59">LEN(D282)</f>
        <v>42</v>
      </c>
      <c r="G282" s="1083">
        <f t="shared" si="58"/>
        <v>33</v>
      </c>
      <c r="H282" s="3832" t="s">
        <v>3799</v>
      </c>
      <c r="I282" s="2504">
        <v>100.45555555555555</v>
      </c>
      <c r="J282" s="1351">
        <v>100.46</v>
      </c>
      <c r="K282" s="1351">
        <v>100.46</v>
      </c>
      <c r="M282" s="3836">
        <v>100.46</v>
      </c>
      <c r="N282" s="1318" t="e">
        <f t="shared" si="56"/>
        <v>#DIV/0!</v>
      </c>
      <c r="O282" s="1318">
        <f t="shared" si="57"/>
        <v>-4.4240936138215601E-5</v>
      </c>
      <c r="P282" s="1281">
        <f t="shared" si="55"/>
        <v>251.14999999999998</v>
      </c>
      <c r="Q282" s="1281">
        <f t="shared" si="54"/>
        <v>167.43333333333334</v>
      </c>
      <c r="R282" s="2633">
        <v>0.4</v>
      </c>
      <c r="S282" s="2633">
        <v>0.6</v>
      </c>
      <c r="T282" s="2633"/>
      <c r="U282" s="2633"/>
      <c r="V282" s="2633" t="s">
        <v>1104</v>
      </c>
      <c r="X282" s="2633" t="s">
        <v>1104</v>
      </c>
      <c r="Y282" s="3217"/>
      <c r="Z282" s="142"/>
      <c r="AA282" s="2633"/>
      <c r="AB282" s="2633"/>
      <c r="AC282" s="1848"/>
    </row>
    <row r="283" spans="1:29" x14ac:dyDescent="0.25">
      <c r="A283" s="48" t="s">
        <v>71</v>
      </c>
      <c r="B283" s="1848">
        <v>106206437</v>
      </c>
      <c r="C283" s="1358" t="s">
        <v>3003</v>
      </c>
      <c r="D283" s="1383" t="s">
        <v>2907</v>
      </c>
      <c r="E283" s="1356" t="s">
        <v>2908</v>
      </c>
      <c r="F283" s="1083">
        <f t="shared" si="59"/>
        <v>48</v>
      </c>
      <c r="G283" s="1083">
        <f t="shared" si="58"/>
        <v>43</v>
      </c>
      <c r="H283" s="3832" t="s">
        <v>3800</v>
      </c>
      <c r="I283" s="2504">
        <v>515.13333333333333</v>
      </c>
      <c r="J283" s="1351">
        <v>515.21</v>
      </c>
      <c r="K283" s="1351">
        <v>511.79</v>
      </c>
      <c r="M283" s="3836">
        <v>515.13</v>
      </c>
      <c r="N283" s="1318" t="e">
        <f t="shared" si="56"/>
        <v>#DIV/0!</v>
      </c>
      <c r="O283" s="1318">
        <f t="shared" si="57"/>
        <v>-1.4880663548205706E-4</v>
      </c>
      <c r="P283" s="1281">
        <f t="shared" si="55"/>
        <v>643.91249999999991</v>
      </c>
      <c r="Q283" s="1281">
        <f t="shared" si="54"/>
        <v>542.2421052631579</v>
      </c>
      <c r="R283" s="2633">
        <v>0.8</v>
      </c>
      <c r="S283" s="2633">
        <v>0.95</v>
      </c>
      <c r="T283" s="2633"/>
      <c r="U283" s="2633"/>
      <c r="V283" s="2633"/>
      <c r="X283" s="2633" t="s">
        <v>1104</v>
      </c>
      <c r="Y283" s="3217"/>
      <c r="Z283" s="142"/>
      <c r="AA283" s="2633"/>
      <c r="AB283" s="2633"/>
      <c r="AC283" s="1848" t="s">
        <v>1549</v>
      </c>
    </row>
    <row r="284" spans="1:29" x14ac:dyDescent="0.25">
      <c r="A284" s="48" t="s">
        <v>71</v>
      </c>
      <c r="B284" s="1848">
        <v>106119673</v>
      </c>
      <c r="C284" s="1358" t="s">
        <v>3004</v>
      </c>
      <c r="D284" s="1383" t="s">
        <v>2807</v>
      </c>
      <c r="E284" s="1356" t="s">
        <v>2808</v>
      </c>
      <c r="F284" s="1083">
        <f t="shared" si="59"/>
        <v>38</v>
      </c>
      <c r="G284" s="1083">
        <f t="shared" si="58"/>
        <v>45</v>
      </c>
      <c r="H284" s="3832" t="s">
        <v>3801</v>
      </c>
      <c r="I284" s="2504">
        <v>2.7777777777777777</v>
      </c>
      <c r="J284" s="1351">
        <v>2.78</v>
      </c>
      <c r="K284" s="1351">
        <v>2.78</v>
      </c>
      <c r="M284" s="3836">
        <v>2.78</v>
      </c>
      <c r="N284" s="1318" t="e">
        <f t="shared" si="56"/>
        <v>#DIV/0!</v>
      </c>
      <c r="O284" s="1318">
        <f t="shared" si="57"/>
        <v>-7.993605115906927E-4</v>
      </c>
      <c r="P284" s="1281">
        <f t="shared" si="55"/>
        <v>3.4749999999999996</v>
      </c>
      <c r="Q284" s="1281">
        <f t="shared" si="54"/>
        <v>2.926315789473684</v>
      </c>
      <c r="R284" s="2633">
        <v>0.8</v>
      </c>
      <c r="S284" s="2633">
        <v>0.95</v>
      </c>
      <c r="T284" s="2633"/>
      <c r="U284" s="2633"/>
      <c r="V284" s="2633" t="s">
        <v>1104</v>
      </c>
      <c r="X284" s="2633" t="s">
        <v>1104</v>
      </c>
      <c r="Y284" s="3217"/>
      <c r="Z284" s="142"/>
      <c r="AA284" s="2633"/>
      <c r="AB284" s="2633"/>
      <c r="AC284" s="1848">
        <v>106206437</v>
      </c>
    </row>
    <row r="285" spans="1:29" x14ac:dyDescent="0.25">
      <c r="A285" s="48" t="s">
        <v>71</v>
      </c>
      <c r="B285" s="1848">
        <v>106122926</v>
      </c>
      <c r="C285" s="1358" t="s">
        <v>3005</v>
      </c>
      <c r="D285" s="1383" t="s">
        <v>2932</v>
      </c>
      <c r="E285" s="1356" t="s">
        <v>2933</v>
      </c>
      <c r="F285" s="1083">
        <f t="shared" si="59"/>
        <v>22</v>
      </c>
      <c r="G285" s="1083">
        <f t="shared" si="58"/>
        <v>22</v>
      </c>
      <c r="H285" s="3832" t="s">
        <v>3801</v>
      </c>
      <c r="I285" s="2504">
        <v>18.033333333333335</v>
      </c>
      <c r="J285" s="1351">
        <v>18.03</v>
      </c>
      <c r="K285" s="1351">
        <v>18.03</v>
      </c>
      <c r="M285" s="3836">
        <v>18.03</v>
      </c>
      <c r="N285" s="1318" t="e">
        <f t="shared" si="56"/>
        <v>#DIV/0!</v>
      </c>
      <c r="O285" s="1318">
        <f t="shared" si="57"/>
        <v>1.8487705675728533E-4</v>
      </c>
      <c r="P285" s="1281">
        <f t="shared" si="55"/>
        <v>22.537500000000001</v>
      </c>
      <c r="Q285" s="1281">
        <f t="shared" si="54"/>
        <v>18.978947368421053</v>
      </c>
      <c r="R285" s="2633">
        <v>0.8</v>
      </c>
      <c r="S285" s="2633">
        <v>0.95</v>
      </c>
      <c r="T285" s="2633"/>
      <c r="U285" s="2633"/>
      <c r="V285" s="2633"/>
      <c r="X285" s="2633" t="s">
        <v>1104</v>
      </c>
      <c r="Y285" s="3217"/>
      <c r="Z285" s="142"/>
      <c r="AA285" s="2633"/>
      <c r="AB285" s="2633"/>
      <c r="AC285" s="1848">
        <v>106206437</v>
      </c>
    </row>
    <row r="286" spans="1:29" x14ac:dyDescent="0.25">
      <c r="A286" s="48" t="s">
        <v>2930</v>
      </c>
      <c r="B286" s="1848">
        <v>106122954</v>
      </c>
      <c r="C286" s="1358" t="s">
        <v>3006</v>
      </c>
      <c r="D286" s="1383" t="s">
        <v>2773</v>
      </c>
      <c r="E286" s="1356" t="s">
        <v>2774</v>
      </c>
      <c r="F286" s="1083">
        <f t="shared" si="59"/>
        <v>14</v>
      </c>
      <c r="G286" s="1083">
        <f t="shared" si="58"/>
        <v>15</v>
      </c>
      <c r="H286" s="3832" t="s">
        <v>3797</v>
      </c>
      <c r="I286" s="2504">
        <v>6.6555555555555559</v>
      </c>
      <c r="J286" s="1351">
        <v>6.66</v>
      </c>
      <c r="K286" s="1351">
        <v>6.66</v>
      </c>
      <c r="M286" s="3836">
        <v>6.66</v>
      </c>
      <c r="N286" s="1318" t="e">
        <f t="shared" si="56"/>
        <v>#DIV/0!</v>
      </c>
      <c r="O286" s="1318">
        <f t="shared" si="57"/>
        <v>-6.6733400066730497E-4</v>
      </c>
      <c r="P286" s="1281">
        <f t="shared" si="55"/>
        <v>8.3249999999999993</v>
      </c>
      <c r="Q286" s="1281">
        <f t="shared" si="54"/>
        <v>7.0105263157894742</v>
      </c>
      <c r="R286" s="2633">
        <v>0.8</v>
      </c>
      <c r="S286" s="2633">
        <v>0.95</v>
      </c>
      <c r="T286" s="2633"/>
      <c r="U286" s="2633"/>
      <c r="V286" s="2633" t="s">
        <v>1104</v>
      </c>
      <c r="X286" s="2633" t="s">
        <v>1104</v>
      </c>
      <c r="Y286" s="3217"/>
      <c r="Z286" s="142"/>
      <c r="AA286" s="2633"/>
      <c r="AB286" s="2633"/>
      <c r="AC286" s="1848"/>
    </row>
    <row r="287" spans="1:29" x14ac:dyDescent="0.25">
      <c r="A287" s="48" t="s">
        <v>2485</v>
      </c>
      <c r="B287" s="1848">
        <v>106122352</v>
      </c>
      <c r="C287" s="1358" t="s">
        <v>2423</v>
      </c>
      <c r="D287" s="1383" t="s">
        <v>2954</v>
      </c>
      <c r="E287" s="1356" t="s">
        <v>2955</v>
      </c>
      <c r="F287" s="1083">
        <f t="shared" si="59"/>
        <v>58</v>
      </c>
      <c r="G287" s="1083">
        <f t="shared" si="58"/>
        <v>44</v>
      </c>
      <c r="H287" s="3832" t="s">
        <v>3797</v>
      </c>
      <c r="I287" s="2504">
        <v>153.56666666666666</v>
      </c>
      <c r="J287" s="1351">
        <v>159.11000000000001</v>
      </c>
      <c r="K287" s="1351">
        <v>159.11000000000001</v>
      </c>
      <c r="M287" s="3836">
        <v>159.11000000000001</v>
      </c>
      <c r="N287" s="1318" t="e">
        <f t="shared" si="56"/>
        <v>#DIV/0!</v>
      </c>
      <c r="O287" s="1318">
        <f t="shared" si="57"/>
        <v>-3.4839628768357431E-2</v>
      </c>
      <c r="P287" s="1281">
        <f t="shared" si="55"/>
        <v>198.88750000000002</v>
      </c>
      <c r="Q287" s="1281">
        <f t="shared" si="54"/>
        <v>167.48421052631582</v>
      </c>
      <c r="R287" s="2633">
        <v>0.8</v>
      </c>
      <c r="S287" s="2633">
        <v>0.95</v>
      </c>
      <c r="T287" s="2633"/>
      <c r="U287" s="2633"/>
      <c r="V287" s="2633" t="s">
        <v>1104</v>
      </c>
      <c r="X287" s="2633" t="s">
        <v>1104</v>
      </c>
      <c r="Y287" s="3217"/>
      <c r="Z287" s="142"/>
      <c r="AA287" s="2633"/>
      <c r="AB287" s="2633"/>
      <c r="AC287" s="1848"/>
    </row>
    <row r="288" spans="1:29" x14ac:dyDescent="0.25">
      <c r="A288" s="48" t="s">
        <v>2902</v>
      </c>
      <c r="B288" s="1848">
        <v>106104448</v>
      </c>
      <c r="C288" s="1358" t="s">
        <v>3007</v>
      </c>
      <c r="D288" s="1383" t="s">
        <v>2936</v>
      </c>
      <c r="E288" s="1356" t="s">
        <v>2937</v>
      </c>
      <c r="F288" s="1083">
        <f t="shared" si="59"/>
        <v>18</v>
      </c>
      <c r="G288" s="1083">
        <f t="shared" si="58"/>
        <v>20</v>
      </c>
      <c r="H288" s="3832" t="s">
        <v>3797</v>
      </c>
      <c r="I288" s="2504">
        <v>6.5510000000000002</v>
      </c>
      <c r="J288" s="1351">
        <v>6.55</v>
      </c>
      <c r="K288" s="1351">
        <v>6.56</v>
      </c>
      <c r="M288" s="3836">
        <v>6.55</v>
      </c>
      <c r="N288" s="1318" t="e">
        <f t="shared" si="56"/>
        <v>#DIV/0!</v>
      </c>
      <c r="O288" s="1318">
        <f t="shared" si="57"/>
        <v>1.5267175572524183E-4</v>
      </c>
      <c r="P288" s="1281">
        <f t="shared" si="55"/>
        <v>8.1875</v>
      </c>
      <c r="Q288" s="1281">
        <f t="shared" si="54"/>
        <v>6.8947368421052637</v>
      </c>
      <c r="R288" s="2633">
        <v>0.8</v>
      </c>
      <c r="S288" s="2633">
        <v>0.95</v>
      </c>
      <c r="T288" s="2633"/>
      <c r="U288" s="2633"/>
      <c r="V288" s="2633"/>
      <c r="X288" s="2633" t="s">
        <v>1104</v>
      </c>
      <c r="Y288" s="3217"/>
      <c r="Z288" s="142"/>
      <c r="AA288" s="2633"/>
      <c r="AB288" s="2633"/>
      <c r="AC288" s="1848"/>
    </row>
    <row r="289" spans="1:29" x14ac:dyDescent="0.25">
      <c r="A289" s="48" t="s">
        <v>71</v>
      </c>
      <c r="B289" s="1848">
        <v>106204783</v>
      </c>
      <c r="C289" s="1358" t="s">
        <v>3010</v>
      </c>
      <c r="D289" s="1383" t="s">
        <v>2512</v>
      </c>
      <c r="E289" s="1356" t="s">
        <v>2513</v>
      </c>
      <c r="F289" s="1083">
        <f t="shared" si="59"/>
        <v>39</v>
      </c>
      <c r="G289" s="1083">
        <f t="shared" si="58"/>
        <v>34</v>
      </c>
      <c r="H289" s="3832" t="s">
        <v>3798</v>
      </c>
      <c r="I289" s="2504">
        <v>1731.588888888889</v>
      </c>
      <c r="J289" s="1351">
        <v>1731.59</v>
      </c>
      <c r="K289" s="1351">
        <v>1736.9</v>
      </c>
      <c r="M289" s="3836">
        <v>1731.59</v>
      </c>
      <c r="N289" s="1318" t="e">
        <f t="shared" si="56"/>
        <v>#DIV/0!</v>
      </c>
      <c r="O289" s="1318">
        <f t="shared" si="57"/>
        <v>-6.4167101389966336E-7</v>
      </c>
      <c r="P289" s="1281">
        <f t="shared" si="55"/>
        <v>2164.4874999999997</v>
      </c>
      <c r="Q289" s="1281">
        <f t="shared" si="54"/>
        <v>1822.7263157894736</v>
      </c>
      <c r="R289" s="2633">
        <v>0.8</v>
      </c>
      <c r="S289" s="2633">
        <v>0.95</v>
      </c>
      <c r="T289" s="2633"/>
      <c r="U289" s="2633"/>
      <c r="V289" s="2633" t="s">
        <v>1104</v>
      </c>
      <c r="X289" s="2633"/>
      <c r="Y289" s="3217"/>
      <c r="Z289" s="142"/>
      <c r="AA289" s="2633"/>
      <c r="AB289" s="2633" t="s">
        <v>649</v>
      </c>
      <c r="AC289" s="1848" t="s">
        <v>1549</v>
      </c>
    </row>
    <row r="290" spans="1:29" x14ac:dyDescent="0.25">
      <c r="A290" s="48" t="s">
        <v>71</v>
      </c>
      <c r="B290" s="1848">
        <v>106204782</v>
      </c>
      <c r="C290" s="1358" t="s">
        <v>3011</v>
      </c>
      <c r="D290" s="1383" t="s">
        <v>2510</v>
      </c>
      <c r="E290" s="1356" t="s">
        <v>2511</v>
      </c>
      <c r="F290" s="1083">
        <f t="shared" si="59"/>
        <v>43</v>
      </c>
      <c r="G290" s="1083">
        <f t="shared" si="58"/>
        <v>38</v>
      </c>
      <c r="H290" s="3832" t="s">
        <v>3800</v>
      </c>
      <c r="I290" s="2504">
        <v>1731.588888888889</v>
      </c>
      <c r="J290" s="1351">
        <v>1731.59</v>
      </c>
      <c r="K290" s="1351">
        <v>1736.9</v>
      </c>
      <c r="M290" s="3836">
        <f>M289</f>
        <v>1731.59</v>
      </c>
      <c r="N290" s="1318" t="e">
        <f t="shared" si="56"/>
        <v>#DIV/0!</v>
      </c>
      <c r="O290" s="1318">
        <f t="shared" si="57"/>
        <v>-6.4167101389966336E-7</v>
      </c>
      <c r="P290" s="1281">
        <f t="shared" si="55"/>
        <v>2164.4874999999997</v>
      </c>
      <c r="Q290" s="1281">
        <f t="shared" si="54"/>
        <v>1822.7263157894736</v>
      </c>
      <c r="R290" s="2633">
        <v>0.8</v>
      </c>
      <c r="S290" s="2633">
        <v>0.95</v>
      </c>
      <c r="T290" s="2633"/>
      <c r="U290" s="2633"/>
      <c r="V290" s="2633" t="s">
        <v>1104</v>
      </c>
      <c r="X290" s="2633"/>
      <c r="Y290" s="3217"/>
      <c r="Z290" s="142"/>
      <c r="AA290" s="2633"/>
      <c r="AB290" s="2633">
        <v>106204783</v>
      </c>
      <c r="AC290" s="1848" t="s">
        <v>1549</v>
      </c>
    </row>
    <row r="291" spans="1:29" x14ac:dyDescent="0.25">
      <c r="A291" s="48" t="s">
        <v>71</v>
      </c>
      <c r="B291" s="1848">
        <v>106118749</v>
      </c>
      <c r="C291" s="1358" t="s">
        <v>3012</v>
      </c>
      <c r="D291" s="1383" t="s">
        <v>2506</v>
      </c>
      <c r="E291" s="1356" t="s">
        <v>2507</v>
      </c>
      <c r="F291" s="1083">
        <f t="shared" si="59"/>
        <v>34</v>
      </c>
      <c r="G291" s="1083">
        <f t="shared" si="58"/>
        <v>34</v>
      </c>
      <c r="H291" s="3832" t="s">
        <v>3797</v>
      </c>
      <c r="I291" s="2504">
        <v>1621.2222222222222</v>
      </c>
      <c r="J291" s="1351">
        <v>1621.22</v>
      </c>
      <c r="K291" s="1351">
        <v>1621.2</v>
      </c>
      <c r="M291" s="3836">
        <v>1621.22</v>
      </c>
      <c r="N291" s="1318" t="e">
        <f t="shared" si="56"/>
        <v>#DIV/0!</v>
      </c>
      <c r="O291" s="1318">
        <f t="shared" si="57"/>
        <v>1.3707098494617694E-6</v>
      </c>
      <c r="P291" s="1281">
        <f t="shared" si="55"/>
        <v>2026.5249999999999</v>
      </c>
      <c r="Q291" s="1281">
        <f t="shared" si="54"/>
        <v>1706.5473684210529</v>
      </c>
      <c r="R291" s="2633">
        <v>0.8</v>
      </c>
      <c r="S291" s="2633">
        <v>0.95</v>
      </c>
      <c r="T291" s="2633"/>
      <c r="U291" s="2633"/>
      <c r="V291" s="2633" t="s">
        <v>1104</v>
      </c>
      <c r="X291" s="2633"/>
      <c r="Y291" s="3217"/>
      <c r="Z291" s="142"/>
      <c r="AA291" s="2633"/>
      <c r="AB291" s="2633"/>
      <c r="AC291" s="1848">
        <v>106204782</v>
      </c>
    </row>
    <row r="292" spans="1:29" x14ac:dyDescent="0.25">
      <c r="A292" s="48" t="s">
        <v>71</v>
      </c>
      <c r="B292" s="1848">
        <v>106118750</v>
      </c>
      <c r="C292" s="1358" t="s">
        <v>1700</v>
      </c>
      <c r="D292" s="1383" t="s">
        <v>2514</v>
      </c>
      <c r="E292" s="1356" t="s">
        <v>2539</v>
      </c>
      <c r="F292" s="1083">
        <f t="shared" si="59"/>
        <v>45</v>
      </c>
      <c r="G292" s="1083">
        <f t="shared" si="58"/>
        <v>37</v>
      </c>
      <c r="H292" s="3832" t="s">
        <v>3801</v>
      </c>
      <c r="I292" s="2504">
        <v>14.222222222222223</v>
      </c>
      <c r="J292" s="1351">
        <v>14.22</v>
      </c>
      <c r="K292" s="1351">
        <v>14.22</v>
      </c>
      <c r="M292" s="3836">
        <v>14.22</v>
      </c>
      <c r="N292" s="1318" t="e">
        <f t="shared" si="56"/>
        <v>#DIV/0!</v>
      </c>
      <c r="O292" s="1318">
        <f t="shared" si="57"/>
        <v>1.5627441787781783E-4</v>
      </c>
      <c r="P292" s="1281">
        <f t="shared" si="55"/>
        <v>17.774999999999999</v>
      </c>
      <c r="Q292" s="1281">
        <f t="shared" si="54"/>
        <v>14.96842105263158</v>
      </c>
      <c r="R292" s="2633">
        <v>0.8</v>
      </c>
      <c r="S292" s="2633">
        <v>0.95</v>
      </c>
      <c r="T292" s="2633"/>
      <c r="U292" s="2633"/>
      <c r="V292" s="2633" t="s">
        <v>1104</v>
      </c>
      <c r="X292" s="2633"/>
      <c r="Y292" s="3217"/>
      <c r="Z292" s="142"/>
      <c r="AA292" s="2633"/>
      <c r="AB292" s="2633"/>
      <c r="AC292" s="1848">
        <v>106204782</v>
      </c>
    </row>
    <row r="293" spans="1:29" x14ac:dyDescent="0.25">
      <c r="A293" s="48" t="s">
        <v>71</v>
      </c>
      <c r="B293" s="1848">
        <v>106118751</v>
      </c>
      <c r="C293" s="1358" t="s">
        <v>1751</v>
      </c>
      <c r="D293" s="1383" t="s">
        <v>2540</v>
      </c>
      <c r="E293" s="1356" t="s">
        <v>2541</v>
      </c>
      <c r="F293" s="1083">
        <f t="shared" si="59"/>
        <v>38</v>
      </c>
      <c r="G293" s="1083">
        <f t="shared" si="58"/>
        <v>40</v>
      </c>
      <c r="H293" s="3832" t="s">
        <v>3801</v>
      </c>
      <c r="I293" s="2504">
        <v>59.466666666666669</v>
      </c>
      <c r="J293" s="1351">
        <v>59.47</v>
      </c>
      <c r="K293" s="1351">
        <v>57.78</v>
      </c>
      <c r="M293" s="3836">
        <v>59.47</v>
      </c>
      <c r="N293" s="1318" t="e">
        <f t="shared" si="56"/>
        <v>#DIV/0!</v>
      </c>
      <c r="O293" s="1318">
        <f t="shared" si="57"/>
        <v>-5.6050669805453201E-5</v>
      </c>
      <c r="P293" s="1281">
        <f t="shared" si="55"/>
        <v>74.337499999999991</v>
      </c>
      <c r="Q293" s="1281">
        <f t="shared" si="54"/>
        <v>62.6</v>
      </c>
      <c r="R293" s="2633">
        <v>0.8</v>
      </c>
      <c r="S293" s="2633">
        <v>0.95</v>
      </c>
      <c r="T293" s="2633"/>
      <c r="U293" s="2633"/>
      <c r="V293" s="2633" t="s">
        <v>1104</v>
      </c>
      <c r="X293" s="2633"/>
      <c r="Y293" s="3217"/>
      <c r="Z293" s="142"/>
      <c r="AA293" s="2633"/>
      <c r="AB293" s="2633"/>
      <c r="AC293" s="1848">
        <v>106204782</v>
      </c>
    </row>
    <row r="294" spans="1:29" x14ac:dyDescent="0.25">
      <c r="A294" s="48" t="s">
        <v>71</v>
      </c>
      <c r="B294" s="1848">
        <v>106205256</v>
      </c>
      <c r="C294" s="1358" t="s">
        <v>3013</v>
      </c>
      <c r="D294" s="1383" t="s">
        <v>2556</v>
      </c>
      <c r="E294" s="1356" t="s">
        <v>2557</v>
      </c>
      <c r="F294" s="1083">
        <f t="shared" si="59"/>
        <v>58</v>
      </c>
      <c r="G294" s="1083">
        <f t="shared" si="58"/>
        <v>45</v>
      </c>
      <c r="H294" s="3832" t="s">
        <v>3801</v>
      </c>
      <c r="I294" s="2504">
        <v>36.677777777777777</v>
      </c>
      <c r="J294" s="1351">
        <v>36.68</v>
      </c>
      <c r="K294" s="1351">
        <v>43.69</v>
      </c>
      <c r="M294" s="3836">
        <v>36.68</v>
      </c>
      <c r="N294" s="1318" t="e">
        <f t="shared" si="56"/>
        <v>#DIV/0!</v>
      </c>
      <c r="O294" s="1318">
        <f t="shared" si="57"/>
        <v>-6.0584030049688372E-5</v>
      </c>
      <c r="P294" s="1281">
        <f t="shared" si="55"/>
        <v>45.849999999999994</v>
      </c>
      <c r="Q294" s="1281">
        <f t="shared" si="54"/>
        <v>38.610526315789478</v>
      </c>
      <c r="R294" s="2633">
        <v>0.8</v>
      </c>
      <c r="S294" s="2633">
        <v>0.95</v>
      </c>
      <c r="T294" s="2633"/>
      <c r="U294" s="2633"/>
      <c r="V294" s="2633" t="s">
        <v>1104</v>
      </c>
      <c r="X294" s="2633"/>
      <c r="Y294" s="3217"/>
      <c r="Z294" s="142"/>
      <c r="AA294" s="2633"/>
      <c r="AB294" s="2633"/>
      <c r="AC294" s="1848">
        <v>106204782</v>
      </c>
    </row>
    <row r="295" spans="1:29" x14ac:dyDescent="0.25">
      <c r="A295" s="48" t="s">
        <v>2493</v>
      </c>
      <c r="B295" s="1848">
        <v>106205966</v>
      </c>
      <c r="C295" s="1358" t="s">
        <v>3014</v>
      </c>
      <c r="D295" s="1383" t="s">
        <v>2775</v>
      </c>
      <c r="E295" s="1356" t="s">
        <v>2785</v>
      </c>
      <c r="F295" s="1083">
        <f t="shared" si="59"/>
        <v>30</v>
      </c>
      <c r="G295" s="1083">
        <f t="shared" si="58"/>
        <v>33</v>
      </c>
      <c r="H295" s="3832" t="s">
        <v>3819</v>
      </c>
      <c r="I295" s="2504">
        <v>2072.2111111111112</v>
      </c>
      <c r="J295" s="1351">
        <v>2217.88</v>
      </c>
      <c r="K295" s="1351">
        <v>2540.6</v>
      </c>
      <c r="M295" s="1569">
        <v>2540.6</v>
      </c>
      <c r="N295" s="1318" t="e">
        <f t="shared" ref="N295:N316" si="60">(J295-L295)/L295</f>
        <v>#DIV/0!</v>
      </c>
      <c r="O295" s="1318">
        <f t="shared" si="57"/>
        <v>-6.5679337425329096E-2</v>
      </c>
      <c r="P295" s="1281">
        <v>6373.6</v>
      </c>
      <c r="Q295" s="1281">
        <v>3649.4500000000003</v>
      </c>
      <c r="R295" s="2633"/>
      <c r="S295" s="2633"/>
      <c r="T295" s="2633"/>
      <c r="U295" s="2633"/>
      <c r="V295" s="2633" t="s">
        <v>1104</v>
      </c>
      <c r="X295" s="2633"/>
      <c r="Y295" s="3217"/>
      <c r="Z295" s="142"/>
      <c r="AA295" s="2633"/>
      <c r="AB295" s="2633"/>
      <c r="AC295" s="1848"/>
    </row>
    <row r="296" spans="1:29" x14ac:dyDescent="0.25">
      <c r="A296" s="48" t="s">
        <v>2494</v>
      </c>
      <c r="B296" s="1848">
        <v>106205968</v>
      </c>
      <c r="C296" s="1358" t="s">
        <v>3015</v>
      </c>
      <c r="D296" s="1383" t="s">
        <v>2776</v>
      </c>
      <c r="E296" s="1356" t="s">
        <v>2777</v>
      </c>
      <c r="F296" s="1083">
        <f t="shared" si="59"/>
        <v>30</v>
      </c>
      <c r="G296" s="1083">
        <f t="shared" si="58"/>
        <v>33</v>
      </c>
      <c r="H296" s="3832" t="s">
        <v>3819</v>
      </c>
      <c r="I296" s="2504">
        <v>2072.2111111111112</v>
      </c>
      <c r="J296" s="1351">
        <v>2217.88</v>
      </c>
      <c r="K296" s="1351">
        <v>2540.6</v>
      </c>
      <c r="M296" s="1569">
        <v>2540.6</v>
      </c>
      <c r="N296" s="1318" t="e">
        <f t="shared" si="60"/>
        <v>#DIV/0!</v>
      </c>
      <c r="O296" s="1318">
        <f t="shared" si="57"/>
        <v>-6.5679337425329096E-2</v>
      </c>
      <c r="P296" s="1281">
        <v>7712.0560000000005</v>
      </c>
      <c r="Q296" s="1281">
        <v>4415.8344999999999</v>
      </c>
      <c r="R296" s="2633"/>
      <c r="S296" s="2633"/>
      <c r="T296" s="2633"/>
      <c r="U296" s="2633"/>
      <c r="V296" s="2633" t="s">
        <v>1104</v>
      </c>
      <c r="X296" s="2633"/>
      <c r="Y296" s="3217"/>
      <c r="Z296" s="142"/>
      <c r="AA296" s="2633"/>
      <c r="AB296" s="2633"/>
      <c r="AC296" s="1848"/>
    </row>
    <row r="297" spans="1:29" x14ac:dyDescent="0.25">
      <c r="A297" s="48" t="s">
        <v>2827</v>
      </c>
      <c r="B297" s="1848">
        <v>106206534</v>
      </c>
      <c r="C297" s="1358" t="s">
        <v>3016</v>
      </c>
      <c r="D297" s="1383" t="s">
        <v>2825</v>
      </c>
      <c r="E297" s="1356" t="s">
        <v>2826</v>
      </c>
      <c r="F297" s="1083">
        <f t="shared" si="59"/>
        <v>30</v>
      </c>
      <c r="G297" s="1083">
        <f t="shared" si="58"/>
        <v>33</v>
      </c>
      <c r="H297" s="3832" t="s">
        <v>3819</v>
      </c>
      <c r="I297" s="2504">
        <v>2070.6222222222223</v>
      </c>
      <c r="J297" s="1351">
        <v>2219.83</v>
      </c>
      <c r="K297" s="1351">
        <v>2540.6</v>
      </c>
      <c r="M297" s="1569">
        <v>2540.6</v>
      </c>
      <c r="N297" s="1318" t="e">
        <f t="shared" si="60"/>
        <v>#DIV/0!</v>
      </c>
      <c r="O297" s="1318">
        <f t="shared" ref="O297:O327" si="61">(I297-J297)/J297</f>
        <v>-6.7215857870998083E-2</v>
      </c>
      <c r="P297" s="1281">
        <v>8374.0499999999993</v>
      </c>
      <c r="Q297" s="1281">
        <v>4794.91</v>
      </c>
      <c r="R297" s="2633"/>
      <c r="S297" s="2633"/>
      <c r="T297" s="2633"/>
      <c r="U297" s="2633"/>
      <c r="V297" s="2633" t="s">
        <v>1104</v>
      </c>
      <c r="X297" s="2633"/>
      <c r="Y297" s="4096"/>
      <c r="Z297" s="142"/>
      <c r="AA297" s="2633"/>
      <c r="AB297" s="2633"/>
      <c r="AC297" s="1848"/>
    </row>
    <row r="298" spans="1:29" x14ac:dyDescent="0.25">
      <c r="A298" s="48" t="s">
        <v>2824</v>
      </c>
      <c r="B298" s="1848">
        <v>106206535</v>
      </c>
      <c r="C298" s="1358" t="s">
        <v>3052</v>
      </c>
      <c r="D298" s="1383" t="s">
        <v>3142</v>
      </c>
      <c r="E298" s="1356" t="s">
        <v>3143</v>
      </c>
      <c r="F298" s="1083">
        <f t="shared" si="59"/>
        <v>33</v>
      </c>
      <c r="G298" s="1083">
        <f t="shared" si="58"/>
        <v>36</v>
      </c>
      <c r="H298" s="3832" t="s">
        <v>3819</v>
      </c>
      <c r="I298" s="2504">
        <v>2070.6222222222223</v>
      </c>
      <c r="J298" s="1351">
        <v>2219.83</v>
      </c>
      <c r="K298" s="1351">
        <v>2540.6</v>
      </c>
      <c r="M298" s="1569">
        <v>2540.6</v>
      </c>
      <c r="N298" s="1318" t="e">
        <f t="shared" si="60"/>
        <v>#DIV/0!</v>
      </c>
      <c r="O298" s="1318">
        <f t="shared" si="61"/>
        <v>-6.7215857870998083E-2</v>
      </c>
      <c r="P298" s="1281">
        <v>8374.0499999999993</v>
      </c>
      <c r="Q298" s="1281">
        <v>4794.91</v>
      </c>
      <c r="R298" s="2633"/>
      <c r="S298" s="2633"/>
      <c r="T298" s="2633"/>
      <c r="U298" s="2633"/>
      <c r="V298" s="2633" t="s">
        <v>1104</v>
      </c>
      <c r="X298" s="2633"/>
      <c r="Y298" s="3350"/>
      <c r="Z298" s="142"/>
      <c r="AA298" s="2633"/>
      <c r="AB298" s="2633"/>
      <c r="AC298" s="1848"/>
    </row>
    <row r="299" spans="1:29" x14ac:dyDescent="0.25">
      <c r="A299" s="48" t="s">
        <v>2495</v>
      </c>
      <c r="B299" s="1848">
        <v>106205970</v>
      </c>
      <c r="C299" s="1358" t="s">
        <v>3017</v>
      </c>
      <c r="D299" s="1383" t="s">
        <v>2778</v>
      </c>
      <c r="E299" s="1356" t="s">
        <v>2786</v>
      </c>
      <c r="F299" s="1083">
        <f t="shared" si="59"/>
        <v>30</v>
      </c>
      <c r="G299" s="1083">
        <f t="shared" si="58"/>
        <v>33</v>
      </c>
      <c r="H299" s="3832" t="s">
        <v>3819</v>
      </c>
      <c r="I299" s="2504">
        <v>2072.2111111111112</v>
      </c>
      <c r="J299" s="1351">
        <v>2217.88</v>
      </c>
      <c r="K299" s="1351">
        <v>2540.6</v>
      </c>
      <c r="M299" s="1569">
        <v>2540.6</v>
      </c>
      <c r="N299" s="1318" t="e">
        <f t="shared" si="60"/>
        <v>#DIV/0!</v>
      </c>
      <c r="O299" s="1318">
        <f t="shared" si="61"/>
        <v>-6.5679337425329096E-2</v>
      </c>
      <c r="P299" s="1281">
        <v>8808.8644000000004</v>
      </c>
      <c r="Q299" s="1281">
        <v>5043.88</v>
      </c>
      <c r="R299" s="2633"/>
      <c r="S299" s="2633"/>
      <c r="T299" s="2633"/>
      <c r="U299" s="2633"/>
      <c r="V299" s="2633" t="s">
        <v>1104</v>
      </c>
      <c r="X299" s="2633"/>
      <c r="Y299" s="3217"/>
      <c r="Z299" s="142"/>
      <c r="AA299" s="2633"/>
      <c r="AB299" s="2633"/>
      <c r="AC299" s="1848"/>
    </row>
    <row r="300" spans="1:29" x14ac:dyDescent="0.25">
      <c r="A300" s="48" t="s">
        <v>2496</v>
      </c>
      <c r="B300" s="1848">
        <v>106205972</v>
      </c>
      <c r="C300" s="1358" t="s">
        <v>3018</v>
      </c>
      <c r="D300" s="1383" t="s">
        <v>2779</v>
      </c>
      <c r="E300" s="1356" t="s">
        <v>2782</v>
      </c>
      <c r="F300" s="1083">
        <f t="shared" si="59"/>
        <v>30</v>
      </c>
      <c r="G300" s="1083">
        <f t="shared" si="58"/>
        <v>33</v>
      </c>
      <c r="H300" s="3832" t="s">
        <v>3819</v>
      </c>
      <c r="I300" s="2504">
        <v>2072.2111111111112</v>
      </c>
      <c r="J300" s="1351">
        <v>2217.88</v>
      </c>
      <c r="K300" s="1351">
        <v>2540.6</v>
      </c>
      <c r="M300" s="1569">
        <v>2540.6</v>
      </c>
      <c r="N300" s="1318" t="e">
        <f t="shared" si="60"/>
        <v>#DIV/0!</v>
      </c>
      <c r="O300" s="1318">
        <f t="shared" si="61"/>
        <v>-6.5679337425329096E-2</v>
      </c>
      <c r="P300" s="1281">
        <v>9401</v>
      </c>
      <c r="Q300" s="1281">
        <v>5358.57</v>
      </c>
      <c r="R300" s="2633"/>
      <c r="S300" s="2633"/>
      <c r="T300" s="2633"/>
      <c r="U300" s="2633"/>
      <c r="V300" s="2633" t="s">
        <v>1104</v>
      </c>
      <c r="X300" s="2633"/>
      <c r="Y300" s="3217"/>
      <c r="Z300" s="142"/>
      <c r="AA300" s="2633"/>
      <c r="AB300" s="2633"/>
      <c r="AC300" s="1848"/>
    </row>
    <row r="301" spans="1:29" x14ac:dyDescent="0.25">
      <c r="A301" s="48" t="s">
        <v>2497</v>
      </c>
      <c r="B301" s="1848">
        <v>106205974</v>
      </c>
      <c r="C301" s="1358" t="s">
        <v>3019</v>
      </c>
      <c r="D301" s="1383" t="s">
        <v>2780</v>
      </c>
      <c r="E301" s="1356" t="s">
        <v>2783</v>
      </c>
      <c r="F301" s="1083">
        <f t="shared" si="59"/>
        <v>30</v>
      </c>
      <c r="G301" s="1083">
        <f t="shared" si="58"/>
        <v>33</v>
      </c>
      <c r="H301" s="3832" t="s">
        <v>3819</v>
      </c>
      <c r="I301" s="2504">
        <v>2072.2111111111112</v>
      </c>
      <c r="J301" s="1351">
        <v>2217.88</v>
      </c>
      <c r="K301" s="1351">
        <v>2540.6</v>
      </c>
      <c r="M301" s="1569">
        <v>2540.6</v>
      </c>
      <c r="N301" s="1318" t="e">
        <f t="shared" si="60"/>
        <v>#DIV/0!</v>
      </c>
      <c r="O301" s="1318">
        <f t="shared" si="61"/>
        <v>-6.5679337425329096E-2</v>
      </c>
      <c r="P301" s="1281">
        <v>9495.01</v>
      </c>
      <c r="Q301" s="1281">
        <v>5412.15</v>
      </c>
      <c r="R301" s="2633"/>
      <c r="S301" s="2633"/>
      <c r="T301" s="2633"/>
      <c r="U301" s="2633"/>
      <c r="V301" s="2633" t="s">
        <v>1104</v>
      </c>
      <c r="X301" s="2633"/>
      <c r="Y301" s="3217"/>
      <c r="Z301" s="142"/>
      <c r="AA301" s="2633"/>
      <c r="AB301" s="2633"/>
      <c r="AC301" s="1848"/>
    </row>
    <row r="302" spans="1:29" x14ac:dyDescent="0.25">
      <c r="A302" s="48" t="s">
        <v>2498</v>
      </c>
      <c r="B302" s="1848">
        <v>106205976</v>
      </c>
      <c r="C302" s="1358" t="s">
        <v>2499</v>
      </c>
      <c r="D302" s="1383" t="s">
        <v>2781</v>
      </c>
      <c r="E302" s="1356" t="s">
        <v>2784</v>
      </c>
      <c r="F302" s="1083">
        <f t="shared" si="59"/>
        <v>30</v>
      </c>
      <c r="G302" s="1083">
        <f t="shared" si="58"/>
        <v>33</v>
      </c>
      <c r="H302" s="3832" t="s">
        <v>3819</v>
      </c>
      <c r="I302" s="2504">
        <v>2072.2111111111112</v>
      </c>
      <c r="J302" s="1351">
        <v>2217.88</v>
      </c>
      <c r="K302" s="1351">
        <v>2540.6</v>
      </c>
      <c r="M302" s="1569">
        <v>2540.6</v>
      </c>
      <c r="N302" s="1318" t="e">
        <f t="shared" si="60"/>
        <v>#DIV/0!</v>
      </c>
      <c r="O302" s="1318">
        <f t="shared" si="61"/>
        <v>-6.5679337425329096E-2</v>
      </c>
      <c r="P302" s="1281">
        <v>9495.01</v>
      </c>
      <c r="Q302" s="1281">
        <v>5412.15</v>
      </c>
      <c r="R302" s="2633"/>
      <c r="S302" s="2633"/>
      <c r="T302" s="2633"/>
      <c r="U302" s="2633"/>
      <c r="V302" s="2633" t="s">
        <v>1104</v>
      </c>
      <c r="X302" s="2633"/>
      <c r="Y302" s="3217"/>
      <c r="Z302" s="142"/>
      <c r="AA302" s="2633"/>
      <c r="AB302" s="2633"/>
      <c r="AC302" s="1848"/>
    </row>
    <row r="303" spans="1:29" x14ac:dyDescent="0.25">
      <c r="A303" s="48" t="s">
        <v>3038</v>
      </c>
      <c r="B303" s="1848">
        <v>106112043</v>
      </c>
      <c r="C303" s="1358" t="s">
        <v>3036</v>
      </c>
      <c r="D303" s="1383" t="s">
        <v>2950</v>
      </c>
      <c r="E303" s="1356" t="s">
        <v>2951</v>
      </c>
      <c r="F303" s="1083">
        <f t="shared" si="59"/>
        <v>41</v>
      </c>
      <c r="G303" s="1083">
        <f t="shared" si="58"/>
        <v>35</v>
      </c>
      <c r="H303" s="3832" t="s">
        <v>3797</v>
      </c>
      <c r="I303" s="2504">
        <v>186.88888888888889</v>
      </c>
      <c r="J303" s="1351">
        <v>186.89</v>
      </c>
      <c r="K303" s="1351">
        <v>187.13</v>
      </c>
      <c r="M303" s="3836">
        <v>186.89</v>
      </c>
      <c r="N303" s="1318" t="e">
        <f t="shared" si="60"/>
        <v>#DIV/0!</v>
      </c>
      <c r="O303" s="1318">
        <f t="shared" si="61"/>
        <v>-5.9452678639875155E-6</v>
      </c>
      <c r="P303" s="1281">
        <f t="shared" ref="P303:P308" si="62">M303/R303</f>
        <v>233.61249999999998</v>
      </c>
      <c r="Q303" s="1281">
        <f t="shared" ref="Q303:Q308" si="63">M303/S303</f>
        <v>196.72631578947369</v>
      </c>
      <c r="R303" s="2633">
        <v>0.8</v>
      </c>
      <c r="S303" s="2633">
        <v>0.95</v>
      </c>
      <c r="T303" s="2633"/>
      <c r="U303" s="2633" t="s">
        <v>1104</v>
      </c>
      <c r="V303" s="2633" t="s">
        <v>1104</v>
      </c>
      <c r="X303" s="2633"/>
      <c r="Y303" s="3275"/>
      <c r="Z303" s="142"/>
      <c r="AA303" s="2633"/>
      <c r="AB303" s="2633"/>
      <c r="AC303" s="1848"/>
    </row>
    <row r="304" spans="1:29" x14ac:dyDescent="0.25">
      <c r="A304" s="48" t="s">
        <v>24</v>
      </c>
      <c r="B304" s="1848">
        <v>106117762</v>
      </c>
      <c r="C304" s="1358" t="s">
        <v>3037</v>
      </c>
      <c r="D304" s="1383" t="s">
        <v>2952</v>
      </c>
      <c r="E304" s="1356" t="s">
        <v>2953</v>
      </c>
      <c r="F304" s="1083">
        <f t="shared" si="59"/>
        <v>42</v>
      </c>
      <c r="G304" s="1083">
        <f t="shared" si="58"/>
        <v>33</v>
      </c>
      <c r="H304" s="3832" t="s">
        <v>3801</v>
      </c>
      <c r="I304" s="2504">
        <v>5.6666666666666661</v>
      </c>
      <c r="J304" s="1351">
        <v>5.66</v>
      </c>
      <c r="K304" s="1351">
        <v>5.67</v>
      </c>
      <c r="M304" s="3836">
        <v>5.67</v>
      </c>
      <c r="N304" s="1318" t="e">
        <f t="shared" si="60"/>
        <v>#DIV/0!</v>
      </c>
      <c r="O304" s="1318">
        <f t="shared" si="61"/>
        <v>1.1778563015310834E-3</v>
      </c>
      <c r="P304" s="1281">
        <f t="shared" si="62"/>
        <v>7.0874999999999995</v>
      </c>
      <c r="Q304" s="1281">
        <f t="shared" si="63"/>
        <v>5.9684210526315793</v>
      </c>
      <c r="R304" s="2633">
        <v>0.8</v>
      </c>
      <c r="S304" s="2633">
        <v>0.95</v>
      </c>
      <c r="T304" s="2633"/>
      <c r="U304" s="2633" t="s">
        <v>1104</v>
      </c>
      <c r="V304" s="2633" t="s">
        <v>1104</v>
      </c>
      <c r="X304" s="2633"/>
      <c r="Y304" s="3275"/>
      <c r="Z304" s="142"/>
      <c r="AA304" s="2633"/>
      <c r="AB304" s="2633"/>
      <c r="AC304" s="1848"/>
    </row>
    <row r="305" spans="1:29" x14ac:dyDescent="0.25">
      <c r="A305" s="48" t="s">
        <v>3119</v>
      </c>
      <c r="B305" s="1848">
        <v>106206611</v>
      </c>
      <c r="C305" s="1358" t="s">
        <v>3120</v>
      </c>
      <c r="D305" s="1383" t="s">
        <v>3031</v>
      </c>
      <c r="E305" s="1356" t="s">
        <v>3032</v>
      </c>
      <c r="F305" s="1083">
        <f t="shared" si="59"/>
        <v>28</v>
      </c>
      <c r="G305" s="1083">
        <f t="shared" si="58"/>
        <v>25</v>
      </c>
      <c r="H305" s="3832" t="s">
        <v>3796</v>
      </c>
      <c r="I305" s="2504">
        <v>47.022222222222219</v>
      </c>
      <c r="J305" s="1351">
        <v>47.52</v>
      </c>
      <c r="K305" s="1351">
        <v>39.96</v>
      </c>
      <c r="M305" s="3836">
        <v>47.02</v>
      </c>
      <c r="N305" s="1318" t="e">
        <f t="shared" si="60"/>
        <v>#DIV/0!</v>
      </c>
      <c r="O305" s="1318">
        <f t="shared" si="61"/>
        <v>-1.0475121586232839E-2</v>
      </c>
      <c r="P305" s="1281">
        <f t="shared" si="62"/>
        <v>117.55</v>
      </c>
      <c r="Q305" s="1281">
        <f t="shared" si="63"/>
        <v>78.366666666666674</v>
      </c>
      <c r="R305" s="2633">
        <v>0.4</v>
      </c>
      <c r="S305" s="2633">
        <v>0.6</v>
      </c>
      <c r="T305" s="2633"/>
      <c r="U305" s="2633"/>
      <c r="V305" s="2633" t="s">
        <v>1104</v>
      </c>
      <c r="X305" s="2633"/>
      <c r="Y305" s="3569"/>
      <c r="Z305" s="142"/>
      <c r="AA305" s="2633"/>
      <c r="AB305" s="2633"/>
      <c r="AC305" s="1848"/>
    </row>
    <row r="306" spans="1:29" x14ac:dyDescent="0.25">
      <c r="A306" s="48" t="s">
        <v>2771</v>
      </c>
      <c r="B306" s="1848">
        <v>106206389</v>
      </c>
      <c r="C306" s="1358" t="s">
        <v>3121</v>
      </c>
      <c r="D306" s="1383" t="s">
        <v>2588</v>
      </c>
      <c r="E306" s="1356" t="s">
        <v>2589</v>
      </c>
      <c r="F306" s="1083">
        <f t="shared" si="59"/>
        <v>42</v>
      </c>
      <c r="G306" s="1083">
        <f t="shared" si="58"/>
        <v>33</v>
      </c>
      <c r="H306" s="3832" t="s">
        <v>3799</v>
      </c>
      <c r="I306" s="2504">
        <v>19.688888888888886</v>
      </c>
      <c r="J306" s="1351">
        <v>19.62</v>
      </c>
      <c r="K306" s="1351">
        <v>24.98</v>
      </c>
      <c r="M306" s="3836">
        <v>19.690000000000001</v>
      </c>
      <c r="N306" s="1318" t="e">
        <f t="shared" si="60"/>
        <v>#DIV/0!</v>
      </c>
      <c r="O306" s="1318">
        <f t="shared" si="61"/>
        <v>3.5111564163550174E-3</v>
      </c>
      <c r="P306" s="1281">
        <f t="shared" si="62"/>
        <v>49.225000000000001</v>
      </c>
      <c r="Q306" s="1281">
        <f t="shared" si="63"/>
        <v>32.81666666666667</v>
      </c>
      <c r="R306" s="2633">
        <v>0.4</v>
      </c>
      <c r="S306" s="2633">
        <v>0.6</v>
      </c>
      <c r="T306" s="2633"/>
      <c r="U306" s="2633"/>
      <c r="V306" s="2633" t="s">
        <v>1104</v>
      </c>
      <c r="X306" s="2633"/>
      <c r="Y306" s="3569"/>
      <c r="Z306" s="142"/>
      <c r="AA306" s="2633"/>
      <c r="AB306" s="2633"/>
      <c r="AC306" s="1848"/>
    </row>
    <row r="307" spans="1:29" x14ac:dyDescent="0.25">
      <c r="A307" s="48" t="s">
        <v>2772</v>
      </c>
      <c r="B307" s="1848">
        <v>106205983</v>
      </c>
      <c r="C307" s="1358" t="s">
        <v>3122</v>
      </c>
      <c r="D307" s="1383" t="s">
        <v>1951</v>
      </c>
      <c r="E307" s="1356" t="s">
        <v>576</v>
      </c>
      <c r="F307" s="1083">
        <f t="shared" si="59"/>
        <v>29</v>
      </c>
      <c r="G307" s="1083">
        <f t="shared" si="58"/>
        <v>35</v>
      </c>
      <c r="H307" s="3832" t="s">
        <v>3799</v>
      </c>
      <c r="I307" s="2504">
        <v>58.411111111111111</v>
      </c>
      <c r="J307" s="1351">
        <v>58.22</v>
      </c>
      <c r="K307" s="1351">
        <v>61.1</v>
      </c>
      <c r="M307" s="3836">
        <v>58.22</v>
      </c>
      <c r="N307" s="1318" t="e">
        <f t="shared" si="60"/>
        <v>#DIV/0!</v>
      </c>
      <c r="O307" s="1318">
        <f t="shared" si="61"/>
        <v>3.2825680369480002E-3</v>
      </c>
      <c r="P307" s="1281">
        <f t="shared" si="62"/>
        <v>145.54999999999998</v>
      </c>
      <c r="Q307" s="1281">
        <f t="shared" si="63"/>
        <v>97.033333333333331</v>
      </c>
      <c r="R307" s="2633">
        <v>0.4</v>
      </c>
      <c r="S307" s="2633">
        <v>0.6</v>
      </c>
      <c r="T307" s="2633"/>
      <c r="U307" s="2633"/>
      <c r="V307" s="2633" t="s">
        <v>1104</v>
      </c>
      <c r="X307" s="2633"/>
      <c r="Y307" s="3569"/>
      <c r="Z307" s="142"/>
      <c r="AA307" s="2633"/>
      <c r="AB307" s="2633"/>
      <c r="AC307" s="1848"/>
    </row>
    <row r="308" spans="1:29" x14ac:dyDescent="0.25">
      <c r="A308" s="48" t="s">
        <v>3126</v>
      </c>
      <c r="B308" s="1848">
        <v>106206368</v>
      </c>
      <c r="C308" s="1358" t="s">
        <v>3123</v>
      </c>
      <c r="D308" s="1383" t="s">
        <v>2906</v>
      </c>
      <c r="E308" s="1356" t="s">
        <v>2956</v>
      </c>
      <c r="F308" s="1083">
        <f t="shared" si="59"/>
        <v>45</v>
      </c>
      <c r="G308" s="1083">
        <f t="shared" si="58"/>
        <v>28</v>
      </c>
      <c r="H308" s="3832" t="s">
        <v>3799</v>
      </c>
      <c r="I308" s="2504">
        <v>19.477777777777778</v>
      </c>
      <c r="J308" s="1351">
        <v>17.13</v>
      </c>
      <c r="K308" s="1351">
        <v>18.489999999999998</v>
      </c>
      <c r="M308" s="3836">
        <v>19.48</v>
      </c>
      <c r="N308" s="1318" t="e">
        <f t="shared" si="60"/>
        <v>#DIV/0!</v>
      </c>
      <c r="O308" s="1318">
        <f t="shared" si="61"/>
        <v>0.13705649607576059</v>
      </c>
      <c r="P308" s="1281">
        <f t="shared" si="62"/>
        <v>48.699999999999996</v>
      </c>
      <c r="Q308" s="1281">
        <f t="shared" si="63"/>
        <v>32.466666666666669</v>
      </c>
      <c r="R308" s="2633">
        <v>0.4</v>
      </c>
      <c r="S308" s="2633">
        <v>0.6</v>
      </c>
      <c r="T308" s="2633"/>
      <c r="U308" s="2633"/>
      <c r="V308" s="2633" t="s">
        <v>1104</v>
      </c>
      <c r="X308" s="2633" t="s">
        <v>1104</v>
      </c>
      <c r="Y308" s="3569"/>
      <c r="Z308" s="142"/>
      <c r="AA308" s="2633"/>
      <c r="AB308" s="2633"/>
      <c r="AC308" s="1848"/>
    </row>
    <row r="309" spans="1:29" x14ac:dyDescent="0.25">
      <c r="A309" s="48" t="s">
        <v>3135</v>
      </c>
      <c r="B309" s="1848">
        <v>106205967</v>
      </c>
      <c r="C309" s="1358" t="s">
        <v>3177</v>
      </c>
      <c r="D309" s="1383" t="s">
        <v>3136</v>
      </c>
      <c r="E309" s="1356" t="s">
        <v>3137</v>
      </c>
      <c r="F309" s="1083">
        <f t="shared" si="59"/>
        <v>33</v>
      </c>
      <c r="G309" s="1083">
        <f t="shared" si="58"/>
        <v>36</v>
      </c>
      <c r="H309" s="3832" t="s">
        <v>3819</v>
      </c>
      <c r="I309" s="2504">
        <v>2072.2111111111112</v>
      </c>
      <c r="J309" s="1351">
        <v>2217.88</v>
      </c>
      <c r="K309" s="1351">
        <v>2540.6</v>
      </c>
      <c r="M309" s="1569">
        <v>2540.6</v>
      </c>
      <c r="N309" s="1318" t="e">
        <f t="shared" si="60"/>
        <v>#DIV/0!</v>
      </c>
      <c r="O309" s="1318">
        <f t="shared" si="61"/>
        <v>-6.5679337425329096E-2</v>
      </c>
      <c r="P309" s="1281">
        <v>6373.6</v>
      </c>
      <c r="Q309" s="1281">
        <v>3649.4500000000003</v>
      </c>
      <c r="R309" s="2633"/>
      <c r="S309" s="2633"/>
      <c r="T309" s="2633"/>
      <c r="U309" s="2633"/>
      <c r="V309" s="2633" t="s">
        <v>1104</v>
      </c>
      <c r="X309" s="2633"/>
      <c r="Y309" s="3569"/>
      <c r="Z309" s="142"/>
      <c r="AA309" s="2633"/>
      <c r="AB309" s="2633"/>
      <c r="AC309" s="1848"/>
    </row>
    <row r="310" spans="1:29" x14ac:dyDescent="0.25">
      <c r="A310" s="48" t="s">
        <v>3138</v>
      </c>
      <c r="B310" s="1848">
        <v>106205969</v>
      </c>
      <c r="C310" s="1358" t="s">
        <v>3178</v>
      </c>
      <c r="D310" s="1383" t="s">
        <v>3139</v>
      </c>
      <c r="E310" s="1356" t="s">
        <v>3140</v>
      </c>
      <c r="F310" s="1083">
        <f t="shared" si="59"/>
        <v>33</v>
      </c>
      <c r="G310" s="1083">
        <f t="shared" si="58"/>
        <v>36</v>
      </c>
      <c r="H310" s="3832" t="s">
        <v>3819</v>
      </c>
      <c r="I310" s="2504">
        <v>2072.2111111111112</v>
      </c>
      <c r="J310" s="1351"/>
      <c r="K310" s="1351">
        <v>2540.6</v>
      </c>
      <c r="M310" s="1569">
        <v>2540.6</v>
      </c>
      <c r="N310" s="1318" t="e">
        <f t="shared" si="60"/>
        <v>#DIV/0!</v>
      </c>
      <c r="O310" s="1318" t="e">
        <f t="shared" si="61"/>
        <v>#DIV/0!</v>
      </c>
      <c r="P310" s="1281">
        <v>7712.0560000000005</v>
      </c>
      <c r="Q310" s="1281">
        <v>4415.8344999999999</v>
      </c>
      <c r="R310" s="2633"/>
      <c r="S310" s="2633"/>
      <c r="T310" s="2633"/>
      <c r="U310" s="2633"/>
      <c r="V310" s="2633" t="s">
        <v>1104</v>
      </c>
      <c r="X310" s="2633"/>
      <c r="Y310" s="3569"/>
      <c r="Z310" s="142"/>
      <c r="AA310" s="2633"/>
      <c r="AB310" s="2633"/>
      <c r="AC310" s="1848"/>
    </row>
    <row r="311" spans="1:29" x14ac:dyDescent="0.25">
      <c r="A311" s="48" t="s">
        <v>3141</v>
      </c>
      <c r="B311" s="1848">
        <v>106206543</v>
      </c>
      <c r="C311" s="1358" t="s">
        <v>3179</v>
      </c>
      <c r="D311" s="1383" t="s">
        <v>3142</v>
      </c>
      <c r="E311" s="1356" t="s">
        <v>3143</v>
      </c>
      <c r="F311" s="1083">
        <f t="shared" si="59"/>
        <v>33</v>
      </c>
      <c r="G311" s="1083">
        <f t="shared" si="58"/>
        <v>36</v>
      </c>
      <c r="H311" s="3832" t="s">
        <v>3819</v>
      </c>
      <c r="I311" s="2504">
        <v>2072.2111111111112</v>
      </c>
      <c r="J311" s="1351">
        <v>2217.88</v>
      </c>
      <c r="K311" s="1351">
        <v>2540.6</v>
      </c>
      <c r="M311" s="1569">
        <v>2540.6</v>
      </c>
      <c r="N311" s="1318" t="e">
        <f t="shared" si="60"/>
        <v>#DIV/0!</v>
      </c>
      <c r="O311" s="1318">
        <f t="shared" si="61"/>
        <v>-6.5679337425329096E-2</v>
      </c>
      <c r="P311" s="1281">
        <v>8374.0499999999993</v>
      </c>
      <c r="Q311" s="1281">
        <v>4794.91</v>
      </c>
      <c r="R311" s="2633"/>
      <c r="S311" s="2633"/>
      <c r="T311" s="2633"/>
      <c r="U311" s="2633"/>
      <c r="V311" s="2633" t="s">
        <v>1104</v>
      </c>
      <c r="X311" s="2633"/>
      <c r="Y311" s="3569"/>
      <c r="Z311" s="142"/>
      <c r="AA311" s="2633"/>
      <c r="AB311" s="2633"/>
      <c r="AC311" s="1848"/>
    </row>
    <row r="312" spans="1:29" x14ac:dyDescent="0.25">
      <c r="A312" s="48" t="s">
        <v>3144</v>
      </c>
      <c r="B312" s="1848">
        <v>106205971</v>
      </c>
      <c r="C312" s="1358" t="s">
        <v>3180</v>
      </c>
      <c r="D312" s="1383" t="s">
        <v>3145</v>
      </c>
      <c r="E312" s="1356" t="s">
        <v>3146</v>
      </c>
      <c r="F312" s="1083">
        <f t="shared" si="59"/>
        <v>33</v>
      </c>
      <c r="G312" s="1083">
        <f t="shared" ref="G312:G343" si="64">LEN(E312)</f>
        <v>36</v>
      </c>
      <c r="H312" s="3832" t="s">
        <v>3819</v>
      </c>
      <c r="I312" s="2504">
        <v>2072.2111111111112</v>
      </c>
      <c r="J312" s="1351">
        <v>2217.88</v>
      </c>
      <c r="K312" s="1351">
        <v>2540.6</v>
      </c>
      <c r="M312" s="1569">
        <v>2540.6</v>
      </c>
      <c r="N312" s="1318" t="e">
        <f t="shared" si="60"/>
        <v>#DIV/0!</v>
      </c>
      <c r="O312" s="1318">
        <f t="shared" si="61"/>
        <v>-6.5679337425329096E-2</v>
      </c>
      <c r="P312" s="1281">
        <v>8808.8644000000004</v>
      </c>
      <c r="Q312" s="1281">
        <v>5043.88</v>
      </c>
      <c r="R312" s="2633"/>
      <c r="S312" s="2633"/>
      <c r="T312" s="2633"/>
      <c r="U312" s="2633"/>
      <c r="V312" s="2633" t="s">
        <v>1104</v>
      </c>
      <c r="X312" s="2633"/>
      <c r="Y312" s="3569"/>
      <c r="Z312" s="142"/>
      <c r="AA312" s="2633"/>
      <c r="AB312" s="2633"/>
      <c r="AC312" s="1848"/>
    </row>
    <row r="313" spans="1:29" x14ac:dyDescent="0.25">
      <c r="A313" s="48" t="s">
        <v>3147</v>
      </c>
      <c r="B313" s="1848">
        <v>106205973</v>
      </c>
      <c r="C313" s="1358" t="s">
        <v>3181</v>
      </c>
      <c r="D313" s="1383" t="s">
        <v>3148</v>
      </c>
      <c r="E313" s="1356" t="s">
        <v>3149</v>
      </c>
      <c r="F313" s="1083">
        <f t="shared" ref="F313:F345" si="65">LEN(D313)</f>
        <v>33</v>
      </c>
      <c r="G313" s="1083">
        <f t="shared" si="64"/>
        <v>36</v>
      </c>
      <c r="H313" s="3832" t="s">
        <v>3819</v>
      </c>
      <c r="I313" s="2504">
        <v>2072.2111111111112</v>
      </c>
      <c r="J313" s="1351">
        <v>2217.88</v>
      </c>
      <c r="K313" s="1351">
        <v>2540.6</v>
      </c>
      <c r="M313" s="1569">
        <v>2540.6</v>
      </c>
      <c r="N313" s="1318" t="e">
        <f t="shared" si="60"/>
        <v>#DIV/0!</v>
      </c>
      <c r="O313" s="1318">
        <f t="shared" si="61"/>
        <v>-6.5679337425329096E-2</v>
      </c>
      <c r="P313" s="1281">
        <v>9401</v>
      </c>
      <c r="Q313" s="1281">
        <v>5358.57</v>
      </c>
      <c r="R313" s="2633"/>
      <c r="S313" s="2633"/>
      <c r="T313" s="2633"/>
      <c r="U313" s="2633"/>
      <c r="V313" s="2633" t="s">
        <v>1104</v>
      </c>
      <c r="X313" s="2633"/>
      <c r="Y313" s="3569"/>
      <c r="Z313" s="142"/>
      <c r="AA313" s="2633"/>
      <c r="AB313" s="2633"/>
      <c r="AC313" s="1848"/>
    </row>
    <row r="314" spans="1:29" x14ac:dyDescent="0.25">
      <c r="A314" s="48" t="s">
        <v>3150</v>
      </c>
      <c r="B314" s="1848">
        <v>106205975</v>
      </c>
      <c r="C314" s="1358" t="s">
        <v>3182</v>
      </c>
      <c r="D314" s="1383" t="s">
        <v>3151</v>
      </c>
      <c r="E314" s="1356" t="s">
        <v>3152</v>
      </c>
      <c r="F314" s="1083">
        <f t="shared" si="65"/>
        <v>33</v>
      </c>
      <c r="G314" s="1083">
        <f t="shared" si="64"/>
        <v>36</v>
      </c>
      <c r="H314" s="3832" t="s">
        <v>3819</v>
      </c>
      <c r="I314" s="2504">
        <v>2072.2111111111112</v>
      </c>
      <c r="J314" s="1351">
        <v>2217.88</v>
      </c>
      <c r="K314" s="1351">
        <v>2540.6</v>
      </c>
      <c r="M314" s="1569">
        <v>2540.6</v>
      </c>
      <c r="N314" s="1318" t="e">
        <f t="shared" si="60"/>
        <v>#DIV/0!</v>
      </c>
      <c r="O314" s="1318">
        <f t="shared" si="61"/>
        <v>-6.5679337425329096E-2</v>
      </c>
      <c r="P314" s="1281">
        <v>9495.01</v>
      </c>
      <c r="Q314" s="1281">
        <v>5412.15</v>
      </c>
      <c r="R314" s="2633"/>
      <c r="S314" s="2633"/>
      <c r="T314" s="2633"/>
      <c r="U314" s="2633"/>
      <c r="V314" s="2633" t="s">
        <v>1104</v>
      </c>
      <c r="X314" s="2633"/>
      <c r="Y314" s="3569"/>
      <c r="Z314" s="142"/>
      <c r="AA314" s="2633"/>
      <c r="AB314" s="2633"/>
      <c r="AC314" s="1848"/>
    </row>
    <row r="315" spans="1:29" x14ac:dyDescent="0.25">
      <c r="A315" s="48" t="s">
        <v>3109</v>
      </c>
      <c r="B315" s="1848">
        <v>106119150</v>
      </c>
      <c r="C315" s="1358" t="s">
        <v>3224</v>
      </c>
      <c r="D315" s="1383" t="s">
        <v>3110</v>
      </c>
      <c r="E315" s="1356" t="s">
        <v>3110</v>
      </c>
      <c r="F315" s="1083">
        <f t="shared" si="65"/>
        <v>21</v>
      </c>
      <c r="G315" s="1083">
        <f t="shared" si="64"/>
        <v>21</v>
      </c>
      <c r="H315" s="3832" t="s">
        <v>3798</v>
      </c>
      <c r="I315" s="2504">
        <v>444.44444444444446</v>
      </c>
      <c r="J315" s="1351">
        <v>444.44</v>
      </c>
      <c r="K315" s="1351">
        <v>444.44</v>
      </c>
      <c r="M315" s="3836">
        <v>444.44</v>
      </c>
      <c r="N315" s="1318" t="e">
        <f t="shared" si="60"/>
        <v>#DIV/0!</v>
      </c>
      <c r="O315" s="1318">
        <f t="shared" si="61"/>
        <v>1.0000100001033547E-5</v>
      </c>
      <c r="P315" s="1281">
        <f t="shared" ref="P315:P321" si="66">M315/R315</f>
        <v>555.54999999999995</v>
      </c>
      <c r="Q315" s="1281">
        <f t="shared" ref="Q315:Q321" si="67">M315/S315</f>
        <v>467.83157894736843</v>
      </c>
      <c r="R315" s="2633">
        <v>0.8</v>
      </c>
      <c r="S315" s="2633">
        <v>0.95</v>
      </c>
      <c r="T315" s="2633"/>
      <c r="U315" s="2633"/>
      <c r="V315" s="2633" t="s">
        <v>1104</v>
      </c>
      <c r="X315" s="2633"/>
      <c r="Y315" s="3591"/>
      <c r="Z315" s="142"/>
      <c r="AA315" s="2633"/>
      <c r="AB315" s="2633" t="s">
        <v>649</v>
      </c>
      <c r="AC315" s="1848"/>
    </row>
    <row r="316" spans="1:29" x14ac:dyDescent="0.25">
      <c r="A316" s="48" t="s">
        <v>2486</v>
      </c>
      <c r="B316" s="1848">
        <v>106125296</v>
      </c>
      <c r="C316" s="1358" t="s">
        <v>3118</v>
      </c>
      <c r="D316" s="1383" t="s">
        <v>2587</v>
      </c>
      <c r="E316" s="1356" t="s">
        <v>2587</v>
      </c>
      <c r="F316" s="1083">
        <f t="shared" si="65"/>
        <v>22</v>
      </c>
      <c r="G316" s="1083">
        <f t="shared" si="64"/>
        <v>22</v>
      </c>
      <c r="H316" s="3832" t="s">
        <v>3801</v>
      </c>
      <c r="I316" s="2504">
        <v>473.42222222222222</v>
      </c>
      <c r="J316" s="1351"/>
      <c r="K316" s="1351">
        <v>833.33</v>
      </c>
      <c r="M316" s="3836">
        <v>705</v>
      </c>
      <c r="N316" s="1318" t="e">
        <f t="shared" si="60"/>
        <v>#DIV/0!</v>
      </c>
      <c r="O316" s="1318" t="e">
        <f t="shared" si="61"/>
        <v>#DIV/0!</v>
      </c>
      <c r="P316" s="1281">
        <f t="shared" si="66"/>
        <v>881.25</v>
      </c>
      <c r="Q316" s="1281">
        <f t="shared" si="67"/>
        <v>742.1052631578948</v>
      </c>
      <c r="R316" s="2633">
        <v>0.8</v>
      </c>
      <c r="S316" s="2633">
        <v>0.95</v>
      </c>
      <c r="T316" s="2633"/>
      <c r="U316" s="2633"/>
      <c r="V316" s="2633" t="s">
        <v>1104</v>
      </c>
      <c r="X316" s="2633"/>
      <c r="Y316" s="3594"/>
      <c r="Z316" s="142"/>
      <c r="AA316" s="2633"/>
      <c r="AB316" s="2633"/>
      <c r="AC316" s="1848"/>
    </row>
    <row r="317" spans="1:29" x14ac:dyDescent="0.25">
      <c r="A317" s="48" t="s">
        <v>122</v>
      </c>
      <c r="B317" s="1848">
        <v>106125374</v>
      </c>
      <c r="C317" s="1358" t="s">
        <v>3274</v>
      </c>
      <c r="D317" s="1383" t="s">
        <v>3275</v>
      </c>
      <c r="E317" s="1356" t="s">
        <v>3276</v>
      </c>
      <c r="F317" s="1083">
        <f t="shared" si="65"/>
        <v>38</v>
      </c>
      <c r="G317" s="1083">
        <f t="shared" si="64"/>
        <v>26</v>
      </c>
      <c r="H317" s="3832" t="s">
        <v>3797</v>
      </c>
      <c r="I317" s="2504">
        <v>170</v>
      </c>
      <c r="J317" s="1351">
        <v>175</v>
      </c>
      <c r="K317" s="1351">
        <v>170</v>
      </c>
      <c r="M317" s="3836">
        <v>170</v>
      </c>
      <c r="N317" s="1318"/>
      <c r="O317" s="1318">
        <f t="shared" si="61"/>
        <v>-2.8571428571428571E-2</v>
      </c>
      <c r="P317" s="1281">
        <f t="shared" si="66"/>
        <v>212.5</v>
      </c>
      <c r="Q317" s="1281">
        <f t="shared" si="67"/>
        <v>178.94736842105263</v>
      </c>
      <c r="R317" s="2633">
        <v>0.8</v>
      </c>
      <c r="S317" s="2633">
        <v>0.95</v>
      </c>
      <c r="T317" s="2633"/>
      <c r="U317" s="2633"/>
      <c r="V317" s="2633" t="s">
        <v>1104</v>
      </c>
      <c r="X317" s="2633"/>
      <c r="Y317" s="3596"/>
      <c r="Z317" s="142"/>
      <c r="AA317" s="2633"/>
      <c r="AB317" s="2633"/>
      <c r="AC317" s="1848"/>
    </row>
    <row r="318" spans="1:29" x14ac:dyDescent="0.25">
      <c r="A318" s="48" t="s">
        <v>263</v>
      </c>
      <c r="B318" s="1848">
        <v>106118132</v>
      </c>
      <c r="C318" s="1358" t="s">
        <v>3282</v>
      </c>
      <c r="D318" s="1383" t="s">
        <v>2975</v>
      </c>
      <c r="E318" s="1356" t="s">
        <v>2976</v>
      </c>
      <c r="F318" s="1083">
        <f t="shared" si="65"/>
        <v>53</v>
      </c>
      <c r="G318" s="1083">
        <f t="shared" si="64"/>
        <v>51</v>
      </c>
      <c r="H318" s="3832" t="s">
        <v>3797</v>
      </c>
      <c r="I318" s="2504">
        <v>556.88888888888891</v>
      </c>
      <c r="J318" s="1351">
        <v>556.89</v>
      </c>
      <c r="K318" s="1351"/>
      <c r="M318" s="3836">
        <v>556.89</v>
      </c>
      <c r="N318" s="1318"/>
      <c r="O318" s="1318">
        <f t="shared" si="61"/>
        <v>-1.9952075114873762E-6</v>
      </c>
      <c r="P318" s="1281">
        <f t="shared" si="66"/>
        <v>696.11249999999995</v>
      </c>
      <c r="Q318" s="1281">
        <f t="shared" si="67"/>
        <v>586.20000000000005</v>
      </c>
      <c r="R318" s="2633">
        <v>0.8</v>
      </c>
      <c r="S318" s="2633">
        <v>0.95</v>
      </c>
      <c r="T318" s="2633"/>
      <c r="U318" s="2633"/>
      <c r="V318" s="2633" t="s">
        <v>1104</v>
      </c>
      <c r="X318" s="2633" t="s">
        <v>1104</v>
      </c>
      <c r="Y318" s="3618"/>
      <c r="Z318" s="142"/>
      <c r="AA318" s="2633"/>
      <c r="AB318" s="2633"/>
      <c r="AC318" s="1848"/>
    </row>
    <row r="319" spans="1:29" x14ac:dyDescent="0.25">
      <c r="A319" s="48" t="s">
        <v>263</v>
      </c>
      <c r="B319" s="1848">
        <v>106119671</v>
      </c>
      <c r="C319" s="1358" t="s">
        <v>3283</v>
      </c>
      <c r="D319" s="1383" t="s">
        <v>2977</v>
      </c>
      <c r="E319" s="1356" t="s">
        <v>2978</v>
      </c>
      <c r="F319" s="1083">
        <f t="shared" si="65"/>
        <v>37</v>
      </c>
      <c r="G319" s="1083">
        <f t="shared" si="64"/>
        <v>40</v>
      </c>
      <c r="H319" s="3832" t="s">
        <v>3797</v>
      </c>
      <c r="I319" s="2504">
        <v>414.09999999999997</v>
      </c>
      <c r="J319" s="1351">
        <v>413.81</v>
      </c>
      <c r="K319" s="1351"/>
      <c r="M319" s="3836">
        <v>413.81</v>
      </c>
      <c r="N319" s="1318"/>
      <c r="O319" s="1318">
        <f t="shared" si="61"/>
        <v>7.0080471714062886E-4</v>
      </c>
      <c r="P319" s="1281">
        <f t="shared" si="66"/>
        <v>517.26249999999993</v>
      </c>
      <c r="Q319" s="1281">
        <f t="shared" si="67"/>
        <v>435.58947368421053</v>
      </c>
      <c r="R319" s="2633">
        <v>0.8</v>
      </c>
      <c r="S319" s="2633">
        <v>0.95</v>
      </c>
      <c r="T319" s="2633"/>
      <c r="U319" s="2633"/>
      <c r="V319" s="2633" t="s">
        <v>1104</v>
      </c>
      <c r="X319" s="2633" t="s">
        <v>1104</v>
      </c>
      <c r="Y319" s="3618"/>
      <c r="Z319" s="142"/>
      <c r="AA319" s="2633"/>
      <c r="AB319" s="2633"/>
      <c r="AC319" s="1848"/>
    </row>
    <row r="320" spans="1:29" x14ac:dyDescent="0.25">
      <c r="A320" s="48" t="s">
        <v>127</v>
      </c>
      <c r="B320" s="1848">
        <v>106205936</v>
      </c>
      <c r="C320" s="1358" t="s">
        <v>3284</v>
      </c>
      <c r="D320" s="1383" t="s">
        <v>2904</v>
      </c>
      <c r="E320" s="1356" t="s">
        <v>2905</v>
      </c>
      <c r="F320" s="1083">
        <f t="shared" si="65"/>
        <v>41</v>
      </c>
      <c r="G320" s="1083">
        <f t="shared" si="64"/>
        <v>36</v>
      </c>
      <c r="H320" s="3832" t="s">
        <v>3800</v>
      </c>
      <c r="I320" s="2504">
        <v>27</v>
      </c>
      <c r="J320" s="1351">
        <v>27.98</v>
      </c>
      <c r="K320" s="1351"/>
      <c r="M320" s="3836">
        <v>27.98</v>
      </c>
      <c r="N320" s="1318"/>
      <c r="O320" s="1318">
        <f t="shared" si="61"/>
        <v>-3.5025017869907089E-2</v>
      </c>
      <c r="P320" s="1281">
        <f t="shared" si="66"/>
        <v>34.975000000000001</v>
      </c>
      <c r="Q320" s="1281">
        <f t="shared" si="67"/>
        <v>29.452631578947368</v>
      </c>
      <c r="R320" s="2633">
        <v>0.8</v>
      </c>
      <c r="S320" s="2633">
        <v>0.95</v>
      </c>
      <c r="T320" s="2633"/>
      <c r="U320" s="2633"/>
      <c r="V320" s="2633"/>
      <c r="X320" s="2633" t="s">
        <v>1104</v>
      </c>
      <c r="Y320" s="3618"/>
      <c r="Z320" s="142"/>
      <c r="AA320" s="2633"/>
      <c r="AC320" s="2633" t="s">
        <v>1549</v>
      </c>
    </row>
    <row r="321" spans="1:29" x14ac:dyDescent="0.25">
      <c r="A321" s="48" t="s">
        <v>3043</v>
      </c>
      <c r="B321" s="1848">
        <v>106122040</v>
      </c>
      <c r="C321" s="1358" t="s">
        <v>3285</v>
      </c>
      <c r="D321" s="1383" t="s">
        <v>3044</v>
      </c>
      <c r="E321" s="1356" t="s">
        <v>3045</v>
      </c>
      <c r="F321" s="1083">
        <f t="shared" si="65"/>
        <v>25</v>
      </c>
      <c r="G321" s="1083">
        <f t="shared" si="64"/>
        <v>21</v>
      </c>
      <c r="H321" s="3832" t="s">
        <v>3797</v>
      </c>
      <c r="I321" s="2504">
        <v>1.7777777777777779</v>
      </c>
      <c r="J321" s="1351">
        <v>1.78</v>
      </c>
      <c r="K321" s="1351"/>
      <c r="M321" s="3836">
        <v>1.78</v>
      </c>
      <c r="N321" s="1318"/>
      <c r="O321" s="1318">
        <f t="shared" si="61"/>
        <v>-1.2484394506865873E-3</v>
      </c>
      <c r="P321" s="1281">
        <f t="shared" si="66"/>
        <v>2.2250000000000001</v>
      </c>
      <c r="Q321" s="1281">
        <f t="shared" si="67"/>
        <v>1.8736842105263158</v>
      </c>
      <c r="R321" s="2633">
        <v>0.8</v>
      </c>
      <c r="S321" s="2633">
        <v>0.95</v>
      </c>
      <c r="T321" s="2633"/>
      <c r="U321" s="2633"/>
      <c r="V321" s="2633"/>
      <c r="X321" s="2633" t="s">
        <v>1104</v>
      </c>
      <c r="Y321" s="3618"/>
      <c r="Z321" s="142"/>
      <c r="AA321" s="2633"/>
      <c r="AB321" s="2633"/>
      <c r="AC321" s="1848"/>
    </row>
    <row r="322" spans="1:29" x14ac:dyDescent="0.25">
      <c r="A322" s="48" t="s">
        <v>2895</v>
      </c>
      <c r="B322" s="1848">
        <v>106108526</v>
      </c>
      <c r="C322" s="1358" t="s">
        <v>3286</v>
      </c>
      <c r="D322" s="1383" t="s">
        <v>2971</v>
      </c>
      <c r="E322" s="1356" t="s">
        <v>2972</v>
      </c>
      <c r="F322" s="1083">
        <f t="shared" si="65"/>
        <v>15</v>
      </c>
      <c r="G322" s="1083">
        <f t="shared" si="64"/>
        <v>16</v>
      </c>
      <c r="H322" s="3832" t="s">
        <v>3797</v>
      </c>
      <c r="I322" s="2504">
        <v>6.822222222222222</v>
      </c>
      <c r="J322" s="1351" t="s">
        <v>3349</v>
      </c>
      <c r="K322" s="1351"/>
      <c r="M322" s="3836">
        <v>6.82</v>
      </c>
      <c r="N322" s="1318"/>
      <c r="O322" s="1318" t="e">
        <f t="shared" si="61"/>
        <v>#VALUE!</v>
      </c>
      <c r="P322" s="1281">
        <f t="shared" ref="P322" si="68">M322/R322</f>
        <v>8.5250000000000004</v>
      </c>
      <c r="Q322" s="1281">
        <f t="shared" ref="Q322" si="69">M322/S322</f>
        <v>7.1789473684210536</v>
      </c>
      <c r="R322" s="2633">
        <v>0.8</v>
      </c>
      <c r="S322" s="2633">
        <v>0.95</v>
      </c>
      <c r="T322" s="2633"/>
      <c r="U322" s="2633"/>
      <c r="V322" s="2633"/>
      <c r="X322" s="2633"/>
      <c r="Y322" s="3618"/>
      <c r="Z322" s="142"/>
      <c r="AA322" s="2633"/>
      <c r="AB322" s="2633"/>
      <c r="AC322" s="1848"/>
    </row>
    <row r="323" spans="1:29" x14ac:dyDescent="0.25">
      <c r="A323" s="48" t="s">
        <v>3056</v>
      </c>
      <c r="B323" s="1848">
        <v>106122008</v>
      </c>
      <c r="C323" s="1358" t="s">
        <v>3287</v>
      </c>
      <c r="D323" s="1383" t="s">
        <v>2934</v>
      </c>
      <c r="E323" s="1356" t="s">
        <v>2935</v>
      </c>
      <c r="F323" s="1083">
        <f t="shared" si="65"/>
        <v>22</v>
      </c>
      <c r="G323" s="1083">
        <f t="shared" si="64"/>
        <v>22</v>
      </c>
      <c r="H323" s="3832" t="s">
        <v>3798</v>
      </c>
      <c r="I323" s="2504">
        <v>54.444444444444443</v>
      </c>
      <c r="J323" s="1351">
        <v>54.44</v>
      </c>
      <c r="K323" s="1351"/>
      <c r="M323" s="3836">
        <v>54.44</v>
      </c>
      <c r="N323" s="1318"/>
      <c r="O323" s="1318">
        <f t="shared" si="61"/>
        <v>8.1639317495318511E-5</v>
      </c>
      <c r="P323" s="1281">
        <f>M323/R323</f>
        <v>68.05</v>
      </c>
      <c r="Q323" s="1281">
        <f>M323/S323</f>
        <v>57.305263157894736</v>
      </c>
      <c r="R323" s="2633">
        <v>0.8</v>
      </c>
      <c r="S323" s="2633">
        <v>0.95</v>
      </c>
      <c r="T323" s="2633"/>
      <c r="U323" s="2633"/>
      <c r="V323" s="2633"/>
      <c r="X323" s="2633" t="s">
        <v>1104</v>
      </c>
      <c r="Y323" s="3618"/>
      <c r="Z323" s="142"/>
      <c r="AA323" s="2633"/>
      <c r="AB323" s="2633" t="s">
        <v>649</v>
      </c>
      <c r="AC323" s="1848"/>
    </row>
    <row r="324" spans="1:29" x14ac:dyDescent="0.25">
      <c r="A324" s="48" t="s">
        <v>2931</v>
      </c>
      <c r="B324" s="1848">
        <v>106206106</v>
      </c>
      <c r="C324" s="1358" t="s">
        <v>3288</v>
      </c>
      <c r="D324" s="1383" t="s">
        <v>1951</v>
      </c>
      <c r="E324" s="1356" t="s">
        <v>576</v>
      </c>
      <c r="F324" s="1083">
        <f t="shared" si="65"/>
        <v>29</v>
      </c>
      <c r="G324" s="1083">
        <f t="shared" si="64"/>
        <v>35</v>
      </c>
      <c r="H324" s="3832" t="s">
        <v>3799</v>
      </c>
      <c r="I324" s="2504">
        <v>66.911111111111111</v>
      </c>
      <c r="J324" s="1351">
        <v>58.97</v>
      </c>
      <c r="K324" s="1351"/>
      <c r="M324" s="3836">
        <v>62.5</v>
      </c>
      <c r="N324" s="1318"/>
      <c r="O324" s="1318">
        <f t="shared" si="61"/>
        <v>0.13466357658319675</v>
      </c>
      <c r="P324" s="1281">
        <f>M324/R324</f>
        <v>156.25</v>
      </c>
      <c r="Q324" s="1281">
        <f>M324/S324</f>
        <v>104.16666666666667</v>
      </c>
      <c r="R324" s="2633">
        <v>0.4</v>
      </c>
      <c r="S324" s="2633">
        <v>0.6</v>
      </c>
      <c r="T324" s="2633"/>
      <c r="U324" s="2633"/>
      <c r="V324" s="2633"/>
      <c r="X324" s="2633" t="s">
        <v>1104</v>
      </c>
      <c r="Y324" s="3618"/>
      <c r="Z324" s="142"/>
      <c r="AA324" s="2633"/>
      <c r="AB324" s="2633"/>
      <c r="AC324" s="1848"/>
    </row>
    <row r="325" spans="1:29" x14ac:dyDescent="0.25">
      <c r="A325" s="48" t="s">
        <v>3063</v>
      </c>
      <c r="B325" s="1848">
        <v>106206422</v>
      </c>
      <c r="C325" s="1358" t="s">
        <v>3289</v>
      </c>
      <c r="D325" s="1383" t="s">
        <v>3073</v>
      </c>
      <c r="E325" s="1356" t="s">
        <v>3078</v>
      </c>
      <c r="F325" s="1083">
        <f t="shared" si="65"/>
        <v>35</v>
      </c>
      <c r="G325" s="1083">
        <f t="shared" si="64"/>
        <v>38</v>
      </c>
      <c r="H325" s="3832" t="s">
        <v>3819</v>
      </c>
      <c r="I325" s="2504">
        <v>2085.3111111111111</v>
      </c>
      <c r="J325" s="1351"/>
      <c r="K325" s="1351">
        <v>2319.4699999999998</v>
      </c>
      <c r="M325" s="1569"/>
      <c r="N325" s="1318"/>
      <c r="O325" s="1318" t="e">
        <f t="shared" si="61"/>
        <v>#DIV/0!</v>
      </c>
      <c r="P325" s="1281"/>
      <c r="Q325" s="1281"/>
      <c r="R325" s="2633"/>
      <c r="S325" s="2633"/>
      <c r="T325" s="2633"/>
      <c r="U325" s="2633"/>
      <c r="V325" s="2633"/>
      <c r="X325" s="2633"/>
      <c r="Y325" s="3618"/>
      <c r="Z325" s="142"/>
      <c r="AA325" s="2633"/>
      <c r="AB325" s="2633"/>
      <c r="AC325" s="1848"/>
    </row>
    <row r="326" spans="1:29" x14ac:dyDescent="0.25">
      <c r="A326" s="48" t="s">
        <v>3064</v>
      </c>
      <c r="B326" s="1848">
        <v>106206423</v>
      </c>
      <c r="C326" s="1358" t="s">
        <v>3290</v>
      </c>
      <c r="D326" s="1383" t="s">
        <v>3074</v>
      </c>
      <c r="E326" s="1356" t="s">
        <v>3079</v>
      </c>
      <c r="F326" s="1083">
        <f t="shared" si="65"/>
        <v>35</v>
      </c>
      <c r="G326" s="1083">
        <f t="shared" si="64"/>
        <v>38</v>
      </c>
      <c r="H326" s="3832" t="s">
        <v>3819</v>
      </c>
      <c r="I326" s="2504">
        <v>2085.3111111111111</v>
      </c>
      <c r="J326" s="3604">
        <v>2310.77</v>
      </c>
      <c r="K326" s="3604">
        <v>2394.5300000000002</v>
      </c>
      <c r="M326" s="1569"/>
      <c r="N326" s="1318"/>
      <c r="O326" s="1318">
        <f t="shared" si="61"/>
        <v>-9.7568727692019908E-2</v>
      </c>
      <c r="P326" s="1281">
        <v>7712.0560000000005</v>
      </c>
      <c r="Q326" s="1281">
        <v>4415.8344999999999</v>
      </c>
      <c r="R326" s="2633"/>
      <c r="S326" s="2633"/>
      <c r="T326" s="2633"/>
      <c r="U326" s="2633"/>
      <c r="V326" s="2633"/>
      <c r="X326" s="2633"/>
      <c r="Y326" s="3618"/>
      <c r="Z326" s="142"/>
      <c r="AA326" s="2633"/>
      <c r="AB326" s="2633"/>
      <c r="AC326" s="1848"/>
    </row>
    <row r="327" spans="1:29" x14ac:dyDescent="0.25">
      <c r="A327" s="48" t="s">
        <v>3065</v>
      </c>
      <c r="B327" s="1848">
        <v>106206424</v>
      </c>
      <c r="C327" s="1358" t="s">
        <v>3291</v>
      </c>
      <c r="D327" s="1383" t="s">
        <v>3075</v>
      </c>
      <c r="E327" s="1356" t="s">
        <v>3080</v>
      </c>
      <c r="F327" s="1083">
        <f t="shared" si="65"/>
        <v>35</v>
      </c>
      <c r="G327" s="1083">
        <f t="shared" si="64"/>
        <v>38</v>
      </c>
      <c r="H327" s="3832" t="s">
        <v>3819</v>
      </c>
      <c r="I327" s="2504">
        <v>2085.3111111111111</v>
      </c>
      <c r="J327" s="1351"/>
      <c r="K327" s="1351"/>
      <c r="M327" s="1569"/>
      <c r="N327" s="1318"/>
      <c r="O327" s="1318" t="e">
        <f t="shared" si="61"/>
        <v>#DIV/0!</v>
      </c>
      <c r="P327" s="1281"/>
      <c r="Q327" s="1281"/>
      <c r="R327" s="2633"/>
      <c r="S327" s="2633"/>
      <c r="T327" s="2633"/>
      <c r="U327" s="2633"/>
      <c r="V327" s="2633"/>
      <c r="X327" s="2633"/>
      <c r="Y327" s="3618"/>
      <c r="Z327" s="142"/>
      <c r="AA327" s="2633"/>
      <c r="AB327" s="2633"/>
      <c r="AC327" s="1848"/>
    </row>
    <row r="328" spans="1:29" x14ac:dyDescent="0.25">
      <c r="A328" s="48" t="s">
        <v>3066</v>
      </c>
      <c r="B328" s="1848">
        <v>106206425</v>
      </c>
      <c r="C328" s="1358" t="s">
        <v>3292</v>
      </c>
      <c r="D328" s="1383" t="s">
        <v>3076</v>
      </c>
      <c r="E328" s="1356" t="s">
        <v>3081</v>
      </c>
      <c r="F328" s="1083">
        <f t="shared" si="65"/>
        <v>35</v>
      </c>
      <c r="G328" s="1083">
        <f t="shared" si="64"/>
        <v>38</v>
      </c>
      <c r="H328" s="3832" t="s">
        <v>3819</v>
      </c>
      <c r="I328" s="2504">
        <v>2085.3111111111111</v>
      </c>
      <c r="J328" s="1351"/>
      <c r="K328" s="1351"/>
      <c r="M328" s="1569"/>
      <c r="N328" s="1318"/>
      <c r="O328" s="1318" t="e">
        <f t="shared" ref="O328:O346" si="70">(I328-J328)/J328</f>
        <v>#DIV/0!</v>
      </c>
      <c r="P328" s="1281"/>
      <c r="Q328" s="1281"/>
      <c r="R328" s="2633"/>
      <c r="S328" s="2633"/>
      <c r="T328" s="2633"/>
      <c r="U328" s="2633"/>
      <c r="V328" s="2633"/>
      <c r="X328" s="2633"/>
      <c r="Y328" s="3618"/>
      <c r="Z328" s="142"/>
      <c r="AA328" s="2633"/>
      <c r="AB328" s="2633"/>
      <c r="AC328" s="1848"/>
    </row>
    <row r="329" spans="1:29" x14ac:dyDescent="0.25">
      <c r="A329" s="48" t="s">
        <v>3067</v>
      </c>
      <c r="B329" s="1848">
        <v>106206421</v>
      </c>
      <c r="C329" s="1358" t="s">
        <v>3293</v>
      </c>
      <c r="D329" s="1383" t="s">
        <v>3077</v>
      </c>
      <c r="E329" s="1356" t="s">
        <v>3082</v>
      </c>
      <c r="F329" s="1083">
        <f t="shared" si="65"/>
        <v>35</v>
      </c>
      <c r="G329" s="1083">
        <f t="shared" si="64"/>
        <v>38</v>
      </c>
      <c r="H329" s="3832" t="s">
        <v>3819</v>
      </c>
      <c r="I329" s="2504">
        <v>2061.8444444444444</v>
      </c>
      <c r="J329" s="1351">
        <v>2319.4699999999998</v>
      </c>
      <c r="K329" s="1351"/>
      <c r="M329" s="1569"/>
      <c r="N329" s="1318"/>
      <c r="O329" s="1318">
        <f t="shared" si="70"/>
        <v>-0.11107087203350567</v>
      </c>
      <c r="P329" s="1281"/>
      <c r="Q329" s="1281"/>
      <c r="R329" s="2633"/>
      <c r="S329" s="2633"/>
      <c r="T329" s="2633"/>
      <c r="U329" s="2633"/>
      <c r="V329" s="2633"/>
      <c r="X329" s="2633"/>
      <c r="Y329" s="3618"/>
      <c r="Z329" s="142"/>
      <c r="AA329" s="2633"/>
      <c r="AB329" s="2633"/>
      <c r="AC329" s="1848"/>
    </row>
    <row r="330" spans="1:29" x14ac:dyDescent="0.25">
      <c r="A330" s="48" t="s">
        <v>71</v>
      </c>
      <c r="B330" s="1848">
        <v>106206386</v>
      </c>
      <c r="C330" s="1358" t="s">
        <v>3294</v>
      </c>
      <c r="D330" s="1383" t="s">
        <v>2922</v>
      </c>
      <c r="E330" s="1356" t="s">
        <v>2923</v>
      </c>
      <c r="F330" s="1083">
        <f t="shared" si="65"/>
        <v>42</v>
      </c>
      <c r="G330" s="1083">
        <f t="shared" si="64"/>
        <v>37</v>
      </c>
      <c r="H330" s="3832" t="s">
        <v>3800</v>
      </c>
      <c r="I330" s="2504">
        <v>1495.7</v>
      </c>
      <c r="J330" s="1351">
        <v>1495.7</v>
      </c>
      <c r="K330" s="1351"/>
      <c r="M330" s="3836">
        <v>1495.7</v>
      </c>
      <c r="N330" s="1318"/>
      <c r="O330" s="1318">
        <f t="shared" si="70"/>
        <v>0</v>
      </c>
      <c r="P330" s="1281">
        <f t="shared" ref="P330:P336" si="71">M330/R330</f>
        <v>1869.625</v>
      </c>
      <c r="Q330" s="1281">
        <f t="shared" ref="Q330:Q336" si="72">M330/S330</f>
        <v>1574.421052631579</v>
      </c>
      <c r="R330" s="2633">
        <v>0.8</v>
      </c>
      <c r="S330" s="2633">
        <v>0.95</v>
      </c>
      <c r="T330" s="2633"/>
      <c r="U330" s="2633"/>
      <c r="V330" s="2633"/>
      <c r="X330" s="2633" t="s">
        <v>1104</v>
      </c>
      <c r="Y330" s="3618"/>
      <c r="Z330" s="142"/>
      <c r="AA330" s="2633"/>
      <c r="AC330" s="2633" t="s">
        <v>1549</v>
      </c>
    </row>
    <row r="331" spans="1:29" x14ac:dyDescent="0.25">
      <c r="A331" s="48" t="s">
        <v>21</v>
      </c>
      <c r="B331" s="1848">
        <v>106101050</v>
      </c>
      <c r="C331" s="1358" t="s">
        <v>3295</v>
      </c>
      <c r="D331" s="1383" t="s">
        <v>2924</v>
      </c>
      <c r="E331" s="1356" t="s">
        <v>2925</v>
      </c>
      <c r="F331" s="1083">
        <f t="shared" si="65"/>
        <v>27</v>
      </c>
      <c r="G331" s="1083">
        <f t="shared" si="64"/>
        <v>26</v>
      </c>
      <c r="H331" s="3832" t="s">
        <v>3801</v>
      </c>
      <c r="I331" s="2504">
        <v>1077.2888888888888</v>
      </c>
      <c r="J331" s="1351">
        <v>1077.29</v>
      </c>
      <c r="K331" s="1351"/>
      <c r="M331" s="3836">
        <v>1077.29</v>
      </c>
      <c r="N331" s="1318"/>
      <c r="O331" s="1318">
        <f t="shared" si="70"/>
        <v>-1.0313946209339099E-6</v>
      </c>
      <c r="P331" s="1281">
        <f t="shared" si="71"/>
        <v>1346.6125</v>
      </c>
      <c r="Q331" s="1281">
        <f t="shared" si="72"/>
        <v>1133.9894736842105</v>
      </c>
      <c r="R331" s="2633">
        <v>0.8</v>
      </c>
      <c r="S331" s="2633">
        <v>0.95</v>
      </c>
      <c r="T331" s="2633"/>
      <c r="U331" s="2633"/>
      <c r="V331" s="2633"/>
      <c r="X331" s="2633" t="s">
        <v>1104</v>
      </c>
      <c r="Y331" s="3618"/>
      <c r="Z331" s="142"/>
      <c r="AA331" s="2633"/>
      <c r="AB331" s="2633"/>
      <c r="AC331" s="1848"/>
    </row>
    <row r="332" spans="1:29" x14ac:dyDescent="0.25">
      <c r="A332" s="48" t="s">
        <v>1143</v>
      </c>
      <c r="B332" s="1848">
        <v>106122942</v>
      </c>
      <c r="C332" s="1358" t="s">
        <v>3296</v>
      </c>
      <c r="D332" s="1383" t="s">
        <v>2899</v>
      </c>
      <c r="E332" s="1356" t="s">
        <v>2900</v>
      </c>
      <c r="F332" s="1083">
        <f t="shared" si="65"/>
        <v>31</v>
      </c>
      <c r="G332" s="1083">
        <f t="shared" si="64"/>
        <v>29</v>
      </c>
      <c r="H332" s="3832" t="s">
        <v>3797</v>
      </c>
      <c r="I332" s="2504">
        <v>38.888888888888886</v>
      </c>
      <c r="J332" s="1351">
        <v>38.89</v>
      </c>
      <c r="K332" s="1351"/>
      <c r="M332" s="3836">
        <v>38.89</v>
      </c>
      <c r="N332" s="1318"/>
      <c r="O332" s="1318">
        <f t="shared" si="70"/>
        <v>-2.8570612268316727E-5</v>
      </c>
      <c r="P332" s="1281">
        <f t="shared" si="71"/>
        <v>48.612499999999997</v>
      </c>
      <c r="Q332" s="1281">
        <f t="shared" si="72"/>
        <v>40.93684210526316</v>
      </c>
      <c r="R332" s="2633">
        <v>0.8</v>
      </c>
      <c r="S332" s="2633">
        <v>0.95</v>
      </c>
      <c r="T332" s="2633"/>
      <c r="U332" s="2633"/>
      <c r="V332" s="2633"/>
      <c r="X332" s="2633" t="s">
        <v>1104</v>
      </c>
      <c r="Y332" s="3618"/>
      <c r="Z332" s="142"/>
      <c r="AA332" s="2633"/>
      <c r="AB332" s="2633"/>
      <c r="AC332" s="1848"/>
    </row>
    <row r="333" spans="1:29" x14ac:dyDescent="0.25">
      <c r="A333" s="48" t="s">
        <v>2283</v>
      </c>
      <c r="B333" s="1848">
        <v>106206387</v>
      </c>
      <c r="C333" s="1358" t="s">
        <v>3297</v>
      </c>
      <c r="D333" s="1383" t="s">
        <v>2926</v>
      </c>
      <c r="E333" s="1356" t="s">
        <v>2927</v>
      </c>
      <c r="F333" s="1083">
        <f t="shared" si="65"/>
        <v>26</v>
      </c>
      <c r="G333" s="1083">
        <f t="shared" si="64"/>
        <v>25</v>
      </c>
      <c r="H333" s="3832" t="s">
        <v>3800</v>
      </c>
      <c r="I333" s="2504">
        <v>88.411111111111097</v>
      </c>
      <c r="J333" s="1351">
        <v>88.41</v>
      </c>
      <c r="K333" s="1351"/>
      <c r="M333" s="3836">
        <v>88.41</v>
      </c>
      <c r="N333" s="1318"/>
      <c r="O333" s="1318">
        <f t="shared" si="70"/>
        <v>1.256770852958519E-5</v>
      </c>
      <c r="P333" s="1281">
        <f t="shared" si="71"/>
        <v>110.51249999999999</v>
      </c>
      <c r="Q333" s="1281">
        <f t="shared" si="72"/>
        <v>93.063157894736847</v>
      </c>
      <c r="R333" s="2633">
        <v>0.8</v>
      </c>
      <c r="S333" s="2633">
        <v>0.95</v>
      </c>
      <c r="T333" s="2633"/>
      <c r="U333" s="2633"/>
      <c r="V333" s="2633"/>
      <c r="X333" s="2633" t="s">
        <v>1104</v>
      </c>
      <c r="Y333" s="3618"/>
      <c r="Z333" s="142"/>
      <c r="AA333" s="2633"/>
      <c r="AC333" s="2633" t="s">
        <v>1549</v>
      </c>
    </row>
    <row r="334" spans="1:29" x14ac:dyDescent="0.25">
      <c r="A334" s="48" t="s">
        <v>2805</v>
      </c>
      <c r="B334" s="1848">
        <v>106121538</v>
      </c>
      <c r="C334" s="1358" t="s">
        <v>3298</v>
      </c>
      <c r="D334" s="1383" t="s">
        <v>2906</v>
      </c>
      <c r="E334" s="1356" t="s">
        <v>2956</v>
      </c>
      <c r="F334" s="1083">
        <f t="shared" si="65"/>
        <v>45</v>
      </c>
      <c r="G334" s="1083">
        <f t="shared" si="64"/>
        <v>28</v>
      </c>
      <c r="H334" s="3832" t="s">
        <v>3797</v>
      </c>
      <c r="I334" s="2504">
        <v>7.7444444444444436</v>
      </c>
      <c r="J334" s="1351">
        <v>7.74</v>
      </c>
      <c r="K334" s="1351"/>
      <c r="M334" s="3836">
        <v>7.74</v>
      </c>
      <c r="N334" s="1318"/>
      <c r="O334" s="1318">
        <f t="shared" si="70"/>
        <v>5.7421762848105466E-4</v>
      </c>
      <c r="P334" s="1281">
        <f t="shared" si="71"/>
        <v>9.6749999999999989</v>
      </c>
      <c r="Q334" s="1281">
        <f t="shared" si="72"/>
        <v>8.1473684210526329</v>
      </c>
      <c r="R334" s="2633">
        <v>0.8</v>
      </c>
      <c r="S334" s="2633">
        <v>0.95</v>
      </c>
      <c r="T334" s="2633"/>
      <c r="U334" s="2633"/>
      <c r="V334" s="2633" t="s">
        <v>1104</v>
      </c>
      <c r="X334" s="2633"/>
      <c r="Y334" s="3618"/>
      <c r="Z334" s="142"/>
      <c r="AA334" s="2633"/>
      <c r="AB334" s="2633"/>
      <c r="AC334" s="1848"/>
    </row>
    <row r="335" spans="1:29" x14ac:dyDescent="0.25">
      <c r="A335" s="48" t="s">
        <v>138</v>
      </c>
      <c r="B335" s="1848">
        <v>106205336</v>
      </c>
      <c r="C335" s="1358" t="s">
        <v>3299</v>
      </c>
      <c r="D335" s="1383" t="s">
        <v>1985</v>
      </c>
      <c r="E335" s="1356" t="s">
        <v>1468</v>
      </c>
      <c r="F335" s="1083">
        <f t="shared" si="65"/>
        <v>24</v>
      </c>
      <c r="G335" s="1083">
        <f t="shared" si="64"/>
        <v>25</v>
      </c>
      <c r="H335" s="3832" t="s">
        <v>3798</v>
      </c>
      <c r="I335" s="2504">
        <v>11.755555555555555</v>
      </c>
      <c r="J335" s="1351">
        <v>11.67</v>
      </c>
      <c r="K335" s="1351"/>
      <c r="M335" s="3836">
        <v>11.76</v>
      </c>
      <c r="N335" s="1318"/>
      <c r="O335" s="1318">
        <f t="shared" si="70"/>
        <v>7.3312386937064884E-3</v>
      </c>
      <c r="P335" s="1281">
        <f t="shared" si="71"/>
        <v>14.7</v>
      </c>
      <c r="Q335" s="1281">
        <f t="shared" si="72"/>
        <v>12.378947368421054</v>
      </c>
      <c r="R335" s="2633">
        <v>0.8</v>
      </c>
      <c r="S335" s="2633">
        <v>0.95</v>
      </c>
      <c r="T335" s="2633"/>
      <c r="U335" s="2633"/>
      <c r="V335" s="2633" t="s">
        <v>1104</v>
      </c>
      <c r="X335" s="2633"/>
      <c r="Y335" s="3618"/>
      <c r="Z335" s="142"/>
      <c r="AA335" s="2633"/>
      <c r="AB335" s="2633" t="s">
        <v>649</v>
      </c>
      <c r="AC335" s="1848"/>
    </row>
    <row r="336" spans="1:29" x14ac:dyDescent="0.25">
      <c r="A336" s="48" t="s">
        <v>2600</v>
      </c>
      <c r="B336" s="1848">
        <v>106123347</v>
      </c>
      <c r="C336" s="1358" t="s">
        <v>3300</v>
      </c>
      <c r="D336" s="1383" t="s">
        <v>2816</v>
      </c>
      <c r="E336" s="1356" t="s">
        <v>2817</v>
      </c>
      <c r="F336" s="1083">
        <f t="shared" si="65"/>
        <v>14</v>
      </c>
      <c r="G336" s="1083">
        <f t="shared" si="64"/>
        <v>15</v>
      </c>
      <c r="H336" s="3832" t="s">
        <v>3798</v>
      </c>
      <c r="I336" s="2504">
        <v>7.7444444444444436</v>
      </c>
      <c r="J336" s="1351">
        <v>7.74</v>
      </c>
      <c r="K336" s="1351"/>
      <c r="M336" s="3836">
        <v>7.74</v>
      </c>
      <c r="N336" s="1318"/>
      <c r="O336" s="1318">
        <f t="shared" si="70"/>
        <v>5.7421762848105466E-4</v>
      </c>
      <c r="P336" s="1281">
        <f t="shared" si="71"/>
        <v>9.6749999999999989</v>
      </c>
      <c r="Q336" s="1281">
        <f t="shared" si="72"/>
        <v>8.1473684210526329</v>
      </c>
      <c r="R336" s="2633">
        <v>0.8</v>
      </c>
      <c r="S336" s="2633">
        <v>0.95</v>
      </c>
      <c r="T336" s="2633"/>
      <c r="U336" s="2633"/>
      <c r="V336" s="2633" t="s">
        <v>1104</v>
      </c>
      <c r="X336" s="2633"/>
      <c r="Y336" s="3618"/>
      <c r="Z336" s="142"/>
      <c r="AA336" s="2633"/>
      <c r="AB336" s="2633" t="s">
        <v>649</v>
      </c>
      <c r="AC336" s="1848"/>
    </row>
    <row r="337" spans="1:29" x14ac:dyDescent="0.25">
      <c r="A337" s="48" t="s">
        <v>71</v>
      </c>
      <c r="B337" s="1848">
        <v>106206537</v>
      </c>
      <c r="C337" s="1358" t="s">
        <v>3335</v>
      </c>
      <c r="D337" s="1383" t="s">
        <v>3322</v>
      </c>
      <c r="E337" s="1356" t="s">
        <v>3323</v>
      </c>
      <c r="F337" s="1083">
        <f t="shared" si="65"/>
        <v>39</v>
      </c>
      <c r="G337" s="1083">
        <f t="shared" si="64"/>
        <v>34</v>
      </c>
      <c r="H337" s="3832" t="s">
        <v>3796</v>
      </c>
      <c r="I337" s="2504">
        <v>1415.4333333333334</v>
      </c>
      <c r="J337" s="1351"/>
      <c r="K337" s="1351"/>
      <c r="M337" s="3836">
        <v>1415.43</v>
      </c>
      <c r="N337" s="1318"/>
      <c r="O337" s="1318" t="e">
        <f t="shared" si="70"/>
        <v>#DIV/0!</v>
      </c>
      <c r="P337" s="1281">
        <f t="shared" ref="P337:P344" si="73">M337/R337</f>
        <v>1769.2874999999999</v>
      </c>
      <c r="Q337" s="1281">
        <f t="shared" ref="Q337:Q344" si="74">M337/S337</f>
        <v>1489.9263157894738</v>
      </c>
      <c r="R337" s="2633">
        <v>0.8</v>
      </c>
      <c r="S337" s="2633">
        <v>0.95</v>
      </c>
      <c r="T337" s="2633"/>
      <c r="U337" s="2633"/>
      <c r="V337" s="2633"/>
      <c r="X337" s="2633"/>
      <c r="Y337" s="3618"/>
      <c r="Z337" s="142"/>
      <c r="AA337" s="2633"/>
      <c r="AB337" s="2633"/>
      <c r="AC337" s="1848"/>
    </row>
    <row r="338" spans="1:29" x14ac:dyDescent="0.25">
      <c r="A338" s="48" t="s">
        <v>71</v>
      </c>
      <c r="B338" s="1848">
        <v>106206798</v>
      </c>
      <c r="C338" s="1358" t="s">
        <v>3336</v>
      </c>
      <c r="D338" s="1383" t="s">
        <v>3324</v>
      </c>
      <c r="E338" s="1356" t="s">
        <v>3325</v>
      </c>
      <c r="F338" s="1083">
        <f t="shared" si="65"/>
        <v>38</v>
      </c>
      <c r="G338" s="1083">
        <f t="shared" si="64"/>
        <v>33</v>
      </c>
      <c r="H338" s="3832" t="s">
        <v>3796</v>
      </c>
      <c r="I338" s="2504">
        <v>1300.2222222222222</v>
      </c>
      <c r="J338" s="1351"/>
      <c r="K338" s="1351"/>
      <c r="M338" s="3836">
        <v>1300.22</v>
      </c>
      <c r="N338" s="1318"/>
      <c r="O338" s="1318" t="e">
        <f t="shared" si="70"/>
        <v>#DIV/0!</v>
      </c>
      <c r="P338" s="1281">
        <f t="shared" si="73"/>
        <v>1625.2749999999999</v>
      </c>
      <c r="Q338" s="1281">
        <f t="shared" si="74"/>
        <v>1368.6526315789474</v>
      </c>
      <c r="R338" s="2633">
        <v>0.8</v>
      </c>
      <c r="S338" s="2633">
        <v>0.95</v>
      </c>
      <c r="T338" s="2633"/>
      <c r="U338" s="2633"/>
      <c r="V338" s="2633"/>
      <c r="X338" s="2633"/>
      <c r="Y338" s="3618"/>
      <c r="Z338" s="142"/>
      <c r="AA338" s="2633"/>
      <c r="AB338" s="2633"/>
      <c r="AC338" s="1848"/>
    </row>
    <row r="339" spans="1:29" x14ac:dyDescent="0.25">
      <c r="A339" s="48" t="s">
        <v>71</v>
      </c>
      <c r="B339" s="1848">
        <v>106207328</v>
      </c>
      <c r="C339" s="1358" t="s">
        <v>3337</v>
      </c>
      <c r="D339" s="1383" t="s">
        <v>3326</v>
      </c>
      <c r="E339" s="1356" t="s">
        <v>3327</v>
      </c>
      <c r="F339" s="1083">
        <f t="shared" si="65"/>
        <v>55</v>
      </c>
      <c r="G339" s="1083">
        <f t="shared" si="64"/>
        <v>50</v>
      </c>
      <c r="H339" s="3832" t="s">
        <v>3796</v>
      </c>
      <c r="I339" s="2504">
        <v>1967.5</v>
      </c>
      <c r="J339" s="1351"/>
      <c r="K339" s="1351"/>
      <c r="M339" s="3836">
        <v>1967.5</v>
      </c>
      <c r="N339" s="1318"/>
      <c r="O339" s="1318" t="e">
        <f t="shared" si="70"/>
        <v>#DIV/0!</v>
      </c>
      <c r="P339" s="1281">
        <f t="shared" si="73"/>
        <v>2459.375</v>
      </c>
      <c r="Q339" s="1281">
        <f t="shared" si="74"/>
        <v>2071.0526315789475</v>
      </c>
      <c r="R339" s="2633">
        <v>0.8</v>
      </c>
      <c r="S339" s="2633">
        <v>0.95</v>
      </c>
      <c r="T339" s="2633"/>
      <c r="U339" s="2633"/>
      <c r="V339" s="2633"/>
      <c r="X339" s="2633"/>
      <c r="Y339" s="3618"/>
      <c r="Z339" s="142"/>
      <c r="AA339" s="2633"/>
      <c r="AB339" s="2633"/>
      <c r="AC339" s="1848"/>
    </row>
    <row r="340" spans="1:29" x14ac:dyDescent="0.25">
      <c r="A340" s="48" t="s">
        <v>71</v>
      </c>
      <c r="B340" s="1848">
        <v>106207329</v>
      </c>
      <c r="C340" s="1358" t="s">
        <v>3338</v>
      </c>
      <c r="D340" s="1383" t="s">
        <v>3328</v>
      </c>
      <c r="E340" s="1356" t="s">
        <v>3329</v>
      </c>
      <c r="F340" s="1083">
        <f t="shared" si="65"/>
        <v>55</v>
      </c>
      <c r="G340" s="1083">
        <f t="shared" si="64"/>
        <v>50</v>
      </c>
      <c r="H340" s="3832" t="s">
        <v>3796</v>
      </c>
      <c r="I340" s="2504">
        <v>1916.0555555555557</v>
      </c>
      <c r="J340" s="1351"/>
      <c r="K340" s="1351"/>
      <c r="M340" s="3836">
        <v>1916.06</v>
      </c>
      <c r="N340" s="1318"/>
      <c r="O340" s="1318" t="e">
        <f t="shared" si="70"/>
        <v>#DIV/0!</v>
      </c>
      <c r="P340" s="1281">
        <f t="shared" si="73"/>
        <v>2395.0749999999998</v>
      </c>
      <c r="Q340" s="1281">
        <f t="shared" si="74"/>
        <v>2016.9052631578948</v>
      </c>
      <c r="R340" s="2633">
        <v>0.8</v>
      </c>
      <c r="S340" s="2633">
        <v>0.95</v>
      </c>
      <c r="T340" s="2633"/>
      <c r="U340" s="2633"/>
      <c r="V340" s="2633"/>
      <c r="X340" s="2633"/>
      <c r="Y340" s="3618"/>
      <c r="Z340" s="142"/>
      <c r="AA340" s="2633"/>
      <c r="AB340" s="2633"/>
      <c r="AC340" s="1848"/>
    </row>
    <row r="341" spans="1:29" x14ac:dyDescent="0.25">
      <c r="A341" s="48" t="s">
        <v>71</v>
      </c>
      <c r="B341" s="1848">
        <v>106207353</v>
      </c>
      <c r="C341" s="1358" t="s">
        <v>3339</v>
      </c>
      <c r="D341" s="1383" t="s">
        <v>3330</v>
      </c>
      <c r="E341" s="1356" t="s">
        <v>3331</v>
      </c>
      <c r="F341" s="1083">
        <f t="shared" si="65"/>
        <v>54</v>
      </c>
      <c r="G341" s="1083">
        <f t="shared" si="64"/>
        <v>49</v>
      </c>
      <c r="H341" s="3832">
        <v>0</v>
      </c>
      <c r="I341" s="2504">
        <v>0</v>
      </c>
      <c r="J341" s="1351" t="s">
        <v>3349</v>
      </c>
      <c r="K341" s="1351"/>
      <c r="M341" s="3836"/>
      <c r="N341" s="1318"/>
      <c r="O341" s="1318" t="e">
        <f t="shared" si="70"/>
        <v>#VALUE!</v>
      </c>
      <c r="P341" s="1281" t="s">
        <v>0</v>
      </c>
      <c r="Q341" s="1281" t="s">
        <v>0</v>
      </c>
      <c r="R341" s="2633">
        <v>0.8</v>
      </c>
      <c r="S341" s="2633">
        <v>0.95</v>
      </c>
      <c r="T341" s="2633"/>
      <c r="U341" s="2633"/>
      <c r="V341" s="2633"/>
      <c r="X341" s="2633"/>
      <c r="Y341" s="3618"/>
      <c r="Z341" s="142"/>
      <c r="AA341" s="2633"/>
      <c r="AB341" s="2633"/>
      <c r="AC341" s="1848"/>
    </row>
    <row r="342" spans="1:29" x14ac:dyDescent="0.25">
      <c r="A342" s="48" t="s">
        <v>71</v>
      </c>
      <c r="B342" s="1848">
        <v>106207356</v>
      </c>
      <c r="C342" s="1358" t="s">
        <v>3340</v>
      </c>
      <c r="D342" s="1383" t="s">
        <v>3332</v>
      </c>
      <c r="E342" s="1356" t="s">
        <v>3677</v>
      </c>
      <c r="F342" s="1083">
        <f t="shared" si="65"/>
        <v>29</v>
      </c>
      <c r="G342" s="1083">
        <f t="shared" si="64"/>
        <v>20</v>
      </c>
      <c r="H342" s="3832" t="s">
        <v>3796</v>
      </c>
      <c r="I342" s="2504">
        <v>1249.877777777778</v>
      </c>
      <c r="J342" s="1351"/>
      <c r="K342" s="1351"/>
      <c r="M342" s="3836">
        <v>1249.8800000000001</v>
      </c>
      <c r="N342" s="1318"/>
      <c r="O342" s="1318" t="e">
        <f t="shared" si="70"/>
        <v>#DIV/0!</v>
      </c>
      <c r="P342" s="1281">
        <f t="shared" si="73"/>
        <v>1562.3500000000001</v>
      </c>
      <c r="Q342" s="1281">
        <f t="shared" si="74"/>
        <v>1315.663157894737</v>
      </c>
      <c r="R342" s="2633">
        <v>0.8</v>
      </c>
      <c r="S342" s="2633">
        <v>0.95</v>
      </c>
      <c r="T342" s="2633"/>
      <c r="U342" s="2633"/>
      <c r="V342" s="2633"/>
      <c r="X342" s="2633"/>
      <c r="Y342" s="3618"/>
      <c r="Z342" s="142"/>
      <c r="AA342" s="2633"/>
      <c r="AB342" s="2633"/>
      <c r="AC342" s="1848"/>
    </row>
    <row r="343" spans="1:29" x14ac:dyDescent="0.25">
      <c r="A343" s="48" t="s">
        <v>71</v>
      </c>
      <c r="B343" s="1848">
        <v>106207363</v>
      </c>
      <c r="C343" s="1358" t="s">
        <v>3341</v>
      </c>
      <c r="D343" s="1383" t="s">
        <v>3333</v>
      </c>
      <c r="E343" s="1356" t="s">
        <v>3678</v>
      </c>
      <c r="F343" s="1083">
        <f t="shared" si="65"/>
        <v>29</v>
      </c>
      <c r="G343" s="1083">
        <f t="shared" si="64"/>
        <v>20</v>
      </c>
      <c r="H343" s="3832" t="s">
        <v>3796</v>
      </c>
      <c r="I343" s="2504">
        <v>1137.0444444444445</v>
      </c>
      <c r="J343" s="1351"/>
      <c r="K343" s="1351"/>
      <c r="M343" s="3836">
        <v>1137.04</v>
      </c>
      <c r="N343" s="1318"/>
      <c r="O343" s="1318" t="e">
        <f t="shared" si="70"/>
        <v>#DIV/0!</v>
      </c>
      <c r="P343" s="1281">
        <f t="shared" si="73"/>
        <v>1421.3</v>
      </c>
      <c r="Q343" s="1281">
        <f t="shared" si="74"/>
        <v>1196.8842105263159</v>
      </c>
      <c r="R343" s="2633">
        <v>0.8</v>
      </c>
      <c r="S343" s="2633">
        <v>0.95</v>
      </c>
      <c r="T343" s="2633"/>
      <c r="U343" s="2633"/>
      <c r="V343" s="2633"/>
      <c r="X343" s="2633"/>
      <c r="Y343" s="3618"/>
      <c r="Z343" s="142"/>
      <c r="AA343" s="2633"/>
      <c r="AB343" s="2633"/>
      <c r="AC343" s="1848"/>
    </row>
    <row r="344" spans="1:29" x14ac:dyDescent="0.25">
      <c r="A344" s="48" t="s">
        <v>71</v>
      </c>
      <c r="B344" s="1848">
        <v>106207366</v>
      </c>
      <c r="C344" s="1358" t="s">
        <v>3342</v>
      </c>
      <c r="D344" s="1383" t="s">
        <v>3334</v>
      </c>
      <c r="E344" s="1356" t="s">
        <v>3679</v>
      </c>
      <c r="F344" s="1083">
        <f t="shared" si="65"/>
        <v>28</v>
      </c>
      <c r="G344" s="1083">
        <f t="shared" ref="G344:G356" si="75">LEN(E344)</f>
        <v>19</v>
      </c>
      <c r="H344" s="3832" t="s">
        <v>3796</v>
      </c>
      <c r="I344" s="2504">
        <v>884.47777777777776</v>
      </c>
      <c r="J344" s="1351"/>
      <c r="K344" s="1351"/>
      <c r="M344" s="3836">
        <v>884.48</v>
      </c>
      <c r="N344" s="1318"/>
      <c r="O344" s="1318" t="e">
        <f t="shared" si="70"/>
        <v>#DIV/0!</v>
      </c>
      <c r="P344" s="1281">
        <f t="shared" si="73"/>
        <v>1105.5999999999999</v>
      </c>
      <c r="Q344" s="1281">
        <f t="shared" si="74"/>
        <v>931.03157894736853</v>
      </c>
      <c r="R344" s="2633">
        <v>0.8</v>
      </c>
      <c r="S344" s="2633">
        <v>0.95</v>
      </c>
      <c r="T344" s="2633"/>
      <c r="U344" s="2633"/>
      <c r="V344" s="2633"/>
      <c r="X344" s="2633"/>
      <c r="Y344" s="3618"/>
      <c r="Z344" s="142"/>
      <c r="AA344" s="2633"/>
      <c r="AB344" s="2633"/>
      <c r="AC344" s="1848"/>
    </row>
    <row r="345" spans="1:29" x14ac:dyDescent="0.25">
      <c r="A345" s="1342" t="s">
        <v>3645</v>
      </c>
      <c r="B345" s="1848">
        <v>106115113</v>
      </c>
      <c r="C345" s="3754" t="s">
        <v>3647</v>
      </c>
      <c r="D345" s="1358" t="s">
        <v>3648</v>
      </c>
      <c r="E345" s="1356" t="s">
        <v>3649</v>
      </c>
      <c r="F345" s="1083">
        <f t="shared" si="65"/>
        <v>25</v>
      </c>
      <c r="G345" s="1083">
        <f t="shared" si="75"/>
        <v>22</v>
      </c>
      <c r="H345" s="3832" t="s">
        <v>3798</v>
      </c>
      <c r="I345" s="3755">
        <v>0.23333333333333331</v>
      </c>
      <c r="J345" s="3604" t="s">
        <v>3646</v>
      </c>
      <c r="M345" s="3836">
        <v>0.23</v>
      </c>
      <c r="O345" s="1318" t="e">
        <f t="shared" si="70"/>
        <v>#VALUE!</v>
      </c>
      <c r="P345" s="1281">
        <f t="shared" ref="P345:P356" si="76">M345/R345</f>
        <v>0.28749999999999998</v>
      </c>
      <c r="Q345" s="1281">
        <f t="shared" ref="Q345:Q356" si="77">M345/S345</f>
        <v>0.24210526315789477</v>
      </c>
      <c r="R345" s="2633">
        <v>0.8</v>
      </c>
      <c r="S345" s="2633">
        <v>0.95</v>
      </c>
      <c r="Z345" s="1804" t="s">
        <v>1104</v>
      </c>
      <c r="AB345" s="2118" t="s">
        <v>649</v>
      </c>
    </row>
    <row r="346" spans="1:29" x14ac:dyDescent="0.25">
      <c r="A346" s="1342"/>
      <c r="B346" s="1848">
        <v>106104194</v>
      </c>
      <c r="C346" s="3778" t="s">
        <v>3643</v>
      </c>
      <c r="D346" s="1358" t="s">
        <v>3656</v>
      </c>
      <c r="E346" s="1356" t="s">
        <v>3657</v>
      </c>
      <c r="F346" s="1083">
        <f t="shared" ref="F346:F355" si="78">LEN(E346)</f>
        <v>32</v>
      </c>
      <c r="G346" s="1083">
        <f t="shared" si="75"/>
        <v>32</v>
      </c>
      <c r="H346" s="3832" t="s">
        <v>3797</v>
      </c>
      <c r="I346" s="3755">
        <v>142.21111111111111</v>
      </c>
      <c r="J346" s="3604">
        <v>134.88</v>
      </c>
      <c r="M346" s="3836">
        <v>142.21</v>
      </c>
      <c r="N346" s="1383" t="e">
        <f>(J346-L346)/L346</f>
        <v>#DIV/0!</v>
      </c>
      <c r="O346" s="1318">
        <f t="shared" si="70"/>
        <v>5.4352840384868872E-2</v>
      </c>
      <c r="P346" s="1281">
        <f t="shared" si="76"/>
        <v>177.76249999999999</v>
      </c>
      <c r="Q346" s="1281">
        <f t="shared" si="77"/>
        <v>149.69473684210527</v>
      </c>
      <c r="R346" s="2633">
        <v>0.8</v>
      </c>
      <c r="S346" s="2633">
        <v>0.95</v>
      </c>
      <c r="T346" s="2633"/>
      <c r="U346" s="2633"/>
      <c r="V346" s="2633"/>
      <c r="X346" s="2633"/>
      <c r="Y346" s="2633"/>
      <c r="Z346" s="2633" t="s">
        <v>1104</v>
      </c>
      <c r="AA346" s="3777"/>
      <c r="AB346" s="2633"/>
      <c r="AC346" s="2633"/>
    </row>
    <row r="347" spans="1:29" x14ac:dyDescent="0.25">
      <c r="A347" s="1342"/>
      <c r="B347" s="1848">
        <v>106124015</v>
      </c>
      <c r="C347" s="3760" t="s">
        <v>3655</v>
      </c>
      <c r="D347" s="1358" t="s">
        <v>3674</v>
      </c>
      <c r="E347" s="1356" t="s">
        <v>3675</v>
      </c>
      <c r="F347" s="1083">
        <f t="shared" si="78"/>
        <v>17</v>
      </c>
      <c r="G347" s="1083">
        <f t="shared" si="75"/>
        <v>17</v>
      </c>
      <c r="H347" s="3832" t="s">
        <v>3797</v>
      </c>
      <c r="I347" s="3755">
        <v>219.77777777777777</v>
      </c>
      <c r="J347" s="3604">
        <v>219.73</v>
      </c>
      <c r="M347" s="3836">
        <v>219.78</v>
      </c>
      <c r="O347" s="1318"/>
      <c r="P347" s="1281">
        <f t="shared" si="76"/>
        <v>274.72499999999997</v>
      </c>
      <c r="Q347" s="1281">
        <f t="shared" si="77"/>
        <v>231.34736842105264</v>
      </c>
      <c r="R347" s="2633">
        <v>0.8</v>
      </c>
      <c r="S347" s="2633">
        <v>0.95</v>
      </c>
      <c r="T347" s="2633"/>
      <c r="U347" s="2633"/>
      <c r="V347" s="2633"/>
      <c r="X347" s="2633"/>
      <c r="Y347" s="2633"/>
      <c r="Z347" s="2633" t="s">
        <v>1104</v>
      </c>
      <c r="AA347" s="3759"/>
      <c r="AB347" s="2633"/>
      <c r="AC347" s="2633"/>
    </row>
    <row r="348" spans="1:29" s="1360" customFormat="1" x14ac:dyDescent="0.25">
      <c r="A348" s="1360" t="s">
        <v>3676</v>
      </c>
      <c r="B348" s="3906">
        <v>106123372</v>
      </c>
      <c r="C348" s="1095" t="s">
        <v>3213</v>
      </c>
      <c r="D348" s="1531" t="s">
        <v>3783</v>
      </c>
      <c r="E348" s="3667" t="s">
        <v>3784</v>
      </c>
      <c r="F348" s="3668">
        <f t="shared" si="78"/>
        <v>33</v>
      </c>
      <c r="G348" s="3668">
        <f t="shared" si="75"/>
        <v>33</v>
      </c>
      <c r="H348" s="3907" t="s">
        <v>3799</v>
      </c>
      <c r="I348" s="3908">
        <v>99.933333333333323</v>
      </c>
      <c r="J348" s="3909">
        <v>99.84</v>
      </c>
      <c r="K348" s="3909"/>
      <c r="M348" s="1569">
        <v>99.84</v>
      </c>
      <c r="O348" s="3670"/>
      <c r="P348" s="1569">
        <f t="shared" si="76"/>
        <v>249.6</v>
      </c>
      <c r="Q348" s="1569">
        <f t="shared" si="77"/>
        <v>166.4</v>
      </c>
      <c r="R348" s="227">
        <v>0.4</v>
      </c>
      <c r="S348" s="227">
        <v>0.6</v>
      </c>
      <c r="T348" s="227"/>
      <c r="U348" s="227"/>
      <c r="V348" s="227"/>
      <c r="W348" s="227"/>
      <c r="X348" s="227"/>
      <c r="Y348" s="227"/>
      <c r="Z348" s="227" t="s">
        <v>1104</v>
      </c>
      <c r="AA348" s="224"/>
      <c r="AB348" s="227"/>
      <c r="AC348" s="227"/>
    </row>
    <row r="349" spans="1:29" x14ac:dyDescent="0.25">
      <c r="A349" s="1342"/>
      <c r="B349" s="1848">
        <v>106109925</v>
      </c>
      <c r="C349" s="3760" t="s">
        <v>3174</v>
      </c>
      <c r="D349" s="1348" t="s">
        <v>3680</v>
      </c>
      <c r="E349" s="1336" t="s">
        <v>3681</v>
      </c>
      <c r="F349" s="1083">
        <f t="shared" si="78"/>
        <v>28</v>
      </c>
      <c r="G349" s="1083">
        <f t="shared" si="75"/>
        <v>28</v>
      </c>
      <c r="H349" s="3832" t="s">
        <v>3801</v>
      </c>
      <c r="I349" s="3755">
        <v>42.388888888888886</v>
      </c>
      <c r="J349" s="3604">
        <v>46.33</v>
      </c>
      <c r="M349" s="3836">
        <v>42.39</v>
      </c>
      <c r="O349" s="1318"/>
      <c r="P349" s="1281">
        <f t="shared" si="76"/>
        <v>52.987499999999997</v>
      </c>
      <c r="Q349" s="1281">
        <f t="shared" si="77"/>
        <v>44.621052631578948</v>
      </c>
      <c r="R349" s="2633">
        <v>0.8</v>
      </c>
      <c r="S349" s="2633">
        <v>0.95</v>
      </c>
      <c r="T349" s="2633"/>
      <c r="U349" s="2633"/>
      <c r="V349" s="2633"/>
      <c r="X349" s="2633"/>
      <c r="Y349" s="2633"/>
      <c r="Z349" s="2633" t="s">
        <v>1104</v>
      </c>
      <c r="AA349" s="3759"/>
      <c r="AB349" s="2633"/>
      <c r="AC349" s="2633"/>
    </row>
    <row r="350" spans="1:29" x14ac:dyDescent="0.25">
      <c r="A350" s="1342"/>
      <c r="B350" s="1848">
        <v>106121596</v>
      </c>
      <c r="C350" s="3760" t="s">
        <v>3658</v>
      </c>
      <c r="D350" s="1358" t="s">
        <v>3816</v>
      </c>
      <c r="E350" s="1356" t="s">
        <v>3817</v>
      </c>
      <c r="F350" s="1083">
        <f t="shared" si="78"/>
        <v>19</v>
      </c>
      <c r="G350" s="1083">
        <f t="shared" si="75"/>
        <v>19</v>
      </c>
      <c r="H350" s="3832" t="s">
        <v>3797</v>
      </c>
      <c r="I350" s="3755">
        <v>32.355555555555554</v>
      </c>
      <c r="J350" s="3604">
        <v>37</v>
      </c>
      <c r="M350" s="3836">
        <v>32.36</v>
      </c>
      <c r="O350" s="1318"/>
      <c r="P350" s="1281">
        <f t="shared" si="76"/>
        <v>40.449999999999996</v>
      </c>
      <c r="Q350" s="1281">
        <f t="shared" si="77"/>
        <v>34.06315789473684</v>
      </c>
      <c r="R350" s="2633">
        <v>0.8</v>
      </c>
      <c r="S350" s="2633">
        <v>0.95</v>
      </c>
      <c r="T350" s="2633"/>
      <c r="U350" s="2633"/>
      <c r="V350" s="2633"/>
      <c r="X350" s="2633"/>
      <c r="Y350" s="2633"/>
      <c r="Z350" s="2633" t="s">
        <v>1104</v>
      </c>
      <c r="AA350" s="3759"/>
      <c r="AB350" s="2633"/>
      <c r="AC350" s="2633"/>
    </row>
    <row r="351" spans="1:29" x14ac:dyDescent="0.25">
      <c r="A351" s="1342"/>
      <c r="B351" s="1848">
        <v>106208156</v>
      </c>
      <c r="C351" s="3763" t="s">
        <v>3639</v>
      </c>
      <c r="D351" s="1348" t="s">
        <v>3683</v>
      </c>
      <c r="E351" s="1336" t="s">
        <v>3682</v>
      </c>
      <c r="F351" s="1083">
        <f t="shared" si="78"/>
        <v>30</v>
      </c>
      <c r="G351" s="1083">
        <f t="shared" si="75"/>
        <v>30</v>
      </c>
      <c r="H351" s="3832" t="s">
        <v>3798</v>
      </c>
      <c r="I351" s="3755">
        <v>402.36666666666667</v>
      </c>
      <c r="J351" s="3604">
        <v>410.23</v>
      </c>
      <c r="M351" s="3836">
        <v>410.23</v>
      </c>
      <c r="O351" s="1318"/>
      <c r="P351" s="1281">
        <f t="shared" si="76"/>
        <v>512.78750000000002</v>
      </c>
      <c r="Q351" s="1281">
        <f t="shared" si="77"/>
        <v>431.82105263157899</v>
      </c>
      <c r="R351" s="2633">
        <v>0.8</v>
      </c>
      <c r="S351" s="2633">
        <v>0.95</v>
      </c>
      <c r="T351" s="2633"/>
      <c r="U351" s="2633"/>
      <c r="V351" s="2633" t="s">
        <v>1104</v>
      </c>
      <c r="X351" s="2633"/>
      <c r="Y351" s="2633"/>
      <c r="Z351" s="2633"/>
      <c r="AA351" s="3762"/>
      <c r="AB351" s="2633" t="s">
        <v>649</v>
      </c>
      <c r="AC351" s="2633"/>
    </row>
    <row r="352" spans="1:29" x14ac:dyDescent="0.25">
      <c r="A352" s="1342" t="s">
        <v>3668</v>
      </c>
      <c r="B352" s="1848">
        <v>106120385</v>
      </c>
      <c r="C352" s="3839" t="s">
        <v>3672</v>
      </c>
      <c r="D352" s="1358" t="s">
        <v>3808</v>
      </c>
      <c r="E352" s="1356" t="s">
        <v>3809</v>
      </c>
      <c r="F352" s="1083">
        <f t="shared" si="78"/>
        <v>28</v>
      </c>
      <c r="G352" s="1083">
        <f t="shared" si="75"/>
        <v>28</v>
      </c>
      <c r="H352" s="3832" t="s">
        <v>3797</v>
      </c>
      <c r="I352" s="3755">
        <v>114.54444444444445</v>
      </c>
      <c r="J352" s="3604">
        <v>114.54</v>
      </c>
      <c r="M352" s="3836">
        <v>114.54</v>
      </c>
      <c r="O352" s="1318"/>
      <c r="P352" s="1281">
        <f t="shared" si="76"/>
        <v>143.17500000000001</v>
      </c>
      <c r="Q352" s="1281">
        <f t="shared" si="77"/>
        <v>120.56842105263159</v>
      </c>
      <c r="R352" s="2633">
        <v>0.8</v>
      </c>
      <c r="S352" s="2633">
        <v>0.95</v>
      </c>
      <c r="T352" s="2633"/>
      <c r="U352" s="2633"/>
      <c r="V352" s="2633"/>
      <c r="X352" s="2633"/>
      <c r="Y352" s="2633"/>
      <c r="Z352" s="2633" t="s">
        <v>1104</v>
      </c>
      <c r="AA352" s="3838"/>
      <c r="AB352" s="2633"/>
      <c r="AC352" s="2633"/>
    </row>
    <row r="353" spans="1:30" x14ac:dyDescent="0.25">
      <c r="A353" s="1342" t="s">
        <v>3669</v>
      </c>
      <c r="B353" s="1848">
        <v>106120384</v>
      </c>
      <c r="C353" s="3839" t="s">
        <v>3673</v>
      </c>
      <c r="D353" s="1358" t="s">
        <v>3810</v>
      </c>
      <c r="E353" s="1356" t="s">
        <v>3811</v>
      </c>
      <c r="F353" s="1083">
        <f t="shared" si="78"/>
        <v>25</v>
      </c>
      <c r="G353" s="1083">
        <f t="shared" si="75"/>
        <v>25</v>
      </c>
      <c r="H353" s="3832" t="s">
        <v>3797</v>
      </c>
      <c r="I353" s="3755">
        <v>41.388888888888886</v>
      </c>
      <c r="J353" s="3604">
        <v>41.39</v>
      </c>
      <c r="M353" s="3836">
        <v>41.39</v>
      </c>
      <c r="O353" s="1318"/>
      <c r="P353" s="1281">
        <f t="shared" si="76"/>
        <v>51.737499999999997</v>
      </c>
      <c r="Q353" s="1281">
        <f t="shared" si="77"/>
        <v>43.568421052631578</v>
      </c>
      <c r="R353" s="2633">
        <v>0.8</v>
      </c>
      <c r="S353" s="2633">
        <v>0.95</v>
      </c>
      <c r="T353" s="2633"/>
      <c r="U353" s="2633"/>
      <c r="V353" s="2633"/>
      <c r="X353" s="2633"/>
      <c r="Y353" s="2633"/>
      <c r="Z353" s="2633" t="s">
        <v>1104</v>
      </c>
      <c r="AA353" s="3838"/>
      <c r="AB353" s="2633"/>
      <c r="AC353" s="2633"/>
    </row>
    <row r="354" spans="1:30" x14ac:dyDescent="0.25">
      <c r="A354" s="1342" t="s">
        <v>3699</v>
      </c>
      <c r="B354" s="1848">
        <v>106112808</v>
      </c>
      <c r="C354" s="3778" t="s">
        <v>3698</v>
      </c>
      <c r="D354" s="1358" t="s">
        <v>3696</v>
      </c>
      <c r="E354" s="1356" t="s">
        <v>3697</v>
      </c>
      <c r="F354" s="1083">
        <f t="shared" si="78"/>
        <v>42</v>
      </c>
      <c r="G354" s="1083">
        <f t="shared" si="75"/>
        <v>42</v>
      </c>
      <c r="H354" s="3832" t="s">
        <v>3800</v>
      </c>
      <c r="I354" s="3755">
        <v>146.11111111111111</v>
      </c>
      <c r="J354" s="3604">
        <v>135.61000000000001</v>
      </c>
      <c r="M354" s="3836">
        <v>146.11000000000001</v>
      </c>
      <c r="O354" s="1318"/>
      <c r="P354" s="1281">
        <f t="shared" si="76"/>
        <v>182.63750000000002</v>
      </c>
      <c r="Q354" s="1281">
        <f t="shared" si="77"/>
        <v>153.80000000000001</v>
      </c>
      <c r="R354" s="2633">
        <v>0.8</v>
      </c>
      <c r="S354" s="2633">
        <v>0.95</v>
      </c>
      <c r="T354" s="2633"/>
      <c r="U354" s="2633"/>
      <c r="V354" s="2633"/>
      <c r="X354" s="2633"/>
      <c r="Y354" s="2633"/>
      <c r="Z354" s="2633" t="s">
        <v>1104</v>
      </c>
      <c r="AA354" s="3777"/>
      <c r="AC354" s="2633" t="s">
        <v>1549</v>
      </c>
    </row>
    <row r="355" spans="1:30" x14ac:dyDescent="0.25">
      <c r="A355" s="1342" t="s">
        <v>263</v>
      </c>
      <c r="B355" s="1848">
        <v>106207101</v>
      </c>
      <c r="C355" s="3778" t="s">
        <v>3700</v>
      </c>
      <c r="D355" s="1358" t="s">
        <v>3201</v>
      </c>
      <c r="E355" s="1356" t="s">
        <v>3202</v>
      </c>
      <c r="F355" s="1083">
        <f t="shared" si="78"/>
        <v>55</v>
      </c>
      <c r="G355" s="1083">
        <f t="shared" si="75"/>
        <v>55</v>
      </c>
      <c r="H355" s="3832" t="s">
        <v>3800</v>
      </c>
      <c r="I355" s="3755">
        <v>698.36666666666667</v>
      </c>
      <c r="J355" s="3604">
        <v>695.59</v>
      </c>
      <c r="M355" s="3836">
        <v>698.37</v>
      </c>
      <c r="O355" s="1318"/>
      <c r="P355" s="1281">
        <f t="shared" si="76"/>
        <v>872.96249999999998</v>
      </c>
      <c r="Q355" s="1281">
        <f t="shared" si="77"/>
        <v>735.12631578947378</v>
      </c>
      <c r="R355" s="2633">
        <v>0.8</v>
      </c>
      <c r="S355" s="2633">
        <v>0.95</v>
      </c>
      <c r="T355" s="2633"/>
      <c r="U355" s="2633"/>
      <c r="V355" s="2633"/>
      <c r="X355" s="2633"/>
      <c r="Y355" s="2633"/>
      <c r="Z355" s="2633"/>
      <c r="AA355" s="3777"/>
      <c r="AC355" s="2633" t="s">
        <v>1549</v>
      </c>
    </row>
    <row r="356" spans="1:30" s="371" customFormat="1" ht="15.75" customHeight="1" x14ac:dyDescent="0.25">
      <c r="A356" s="2354" t="s">
        <v>3753</v>
      </c>
      <c r="B356" s="2353">
        <v>106208741</v>
      </c>
      <c r="C356" s="2354" t="s">
        <v>3754</v>
      </c>
      <c r="D356" s="1348" t="s">
        <v>3755</v>
      </c>
      <c r="E356" s="1336" t="s">
        <v>3756</v>
      </c>
      <c r="F356" s="2357">
        <f t="shared" ref="F356" si="79">LEN(D356)</f>
        <v>35</v>
      </c>
      <c r="G356" s="2357">
        <f t="shared" si="75"/>
        <v>34</v>
      </c>
      <c r="H356" s="3832" t="e">
        <v>#N/A</v>
      </c>
      <c r="I356" s="2504" t="e">
        <v>#N/A</v>
      </c>
      <c r="J356" s="2358">
        <v>117.23</v>
      </c>
      <c r="K356" s="2358"/>
      <c r="L356" s="2358">
        <v>122.06</v>
      </c>
      <c r="M356" s="1577">
        <v>117.23</v>
      </c>
      <c r="N356" s="1318">
        <f>(J356-L356)/L356</f>
        <v>-3.9570702932983766E-2</v>
      </c>
      <c r="O356" s="1318" t="e">
        <f>(I356-J356)/J356</f>
        <v>#N/A</v>
      </c>
      <c r="P356" s="2358">
        <f t="shared" si="76"/>
        <v>293.07499999999999</v>
      </c>
      <c r="Q356" s="2358">
        <f t="shared" si="77"/>
        <v>195.38333333333335</v>
      </c>
      <c r="R356" s="274">
        <v>0.4</v>
      </c>
      <c r="S356" s="274">
        <v>0.6</v>
      </c>
      <c r="T356" s="274"/>
      <c r="U356" s="274" t="s">
        <v>1104</v>
      </c>
      <c r="V356" s="274"/>
      <c r="W356" s="274"/>
      <c r="X356" s="274"/>
      <c r="Y356" s="751"/>
      <c r="Z356" s="751"/>
      <c r="AA356" s="751"/>
      <c r="AB356" s="751"/>
      <c r="AC356" s="751"/>
      <c r="AD356" s="2227"/>
    </row>
    <row r="357" spans="1:30" s="371" customFormat="1" ht="15.75" customHeight="1" x14ac:dyDescent="0.25">
      <c r="A357" s="2354"/>
      <c r="B357" s="2353">
        <v>106127211</v>
      </c>
      <c r="C357" s="2354" t="s">
        <v>3789</v>
      </c>
      <c r="D357" s="1348" t="s">
        <v>3787</v>
      </c>
      <c r="E357" s="1336" t="s">
        <v>3788</v>
      </c>
      <c r="F357" s="2357">
        <f t="shared" ref="F357" si="80">LEN(D357)</f>
        <v>32</v>
      </c>
      <c r="G357" s="2357">
        <f t="shared" ref="G357" si="81">LEN(E357)</f>
        <v>27</v>
      </c>
      <c r="H357" s="3832" t="e">
        <v>#N/A</v>
      </c>
      <c r="I357" s="2504">
        <v>31.31</v>
      </c>
      <c r="J357" s="2358">
        <v>31.31</v>
      </c>
      <c r="K357" s="2358"/>
      <c r="L357" s="2358"/>
      <c r="M357" s="1577">
        <v>31.31</v>
      </c>
      <c r="N357" s="1318"/>
      <c r="O357" s="1318"/>
      <c r="P357" s="2358">
        <f t="shared" ref="P357" si="82">M357/R357</f>
        <v>39.137499999999996</v>
      </c>
      <c r="Q357" s="2358">
        <f t="shared" ref="Q357" si="83">M357/S357</f>
        <v>32.957894736842107</v>
      </c>
      <c r="R357" s="274">
        <v>0.8</v>
      </c>
      <c r="S357" s="274">
        <v>0.95</v>
      </c>
      <c r="T357" s="274"/>
      <c r="U357" s="274"/>
      <c r="V357" s="274"/>
      <c r="W357" s="274"/>
      <c r="X357" s="274"/>
      <c r="Y357" s="751"/>
      <c r="Z357" s="751" t="s">
        <v>1104</v>
      </c>
      <c r="AA357" s="751"/>
      <c r="AB357" s="751"/>
      <c r="AC357" s="751"/>
      <c r="AD357" s="2227"/>
    </row>
    <row r="358" spans="1:30" x14ac:dyDescent="0.25">
      <c r="A358" s="1342" t="s">
        <v>3280</v>
      </c>
      <c r="B358" s="1848">
        <v>106124036</v>
      </c>
      <c r="C358" s="3822" t="s">
        <v>3281</v>
      </c>
      <c r="D358" s="1358" t="s">
        <v>3368</v>
      </c>
      <c r="E358" s="1356" t="s">
        <v>3369</v>
      </c>
      <c r="F358" s="2357">
        <f t="shared" ref="F358" si="84">LEN(D358)</f>
        <v>41</v>
      </c>
      <c r="G358" s="2357">
        <f t="shared" ref="G358" si="85">LEN(E358)</f>
        <v>36</v>
      </c>
      <c r="H358" s="3832" t="s">
        <v>3797</v>
      </c>
      <c r="I358" s="3755">
        <v>179.78888888888889</v>
      </c>
      <c r="J358" s="3604">
        <v>178.34</v>
      </c>
      <c r="M358" s="3836">
        <v>179.79</v>
      </c>
      <c r="O358" s="1318"/>
      <c r="P358" s="2358">
        <f t="shared" ref="P358:P359" si="86">M358/R358</f>
        <v>224.73749999999998</v>
      </c>
      <c r="Q358" s="2358">
        <f t="shared" ref="Q358:Q359" si="87">M358/S358</f>
        <v>189.25263157894736</v>
      </c>
      <c r="R358" s="274">
        <v>0.8</v>
      </c>
      <c r="S358" s="274">
        <v>0.95</v>
      </c>
      <c r="T358" s="2633"/>
      <c r="U358" s="2633"/>
      <c r="V358" s="2633"/>
      <c r="X358" s="2633"/>
      <c r="Y358" s="2633"/>
      <c r="Z358" s="751" t="s">
        <v>1104</v>
      </c>
      <c r="AA358" s="3821"/>
      <c r="AB358" s="2633"/>
      <c r="AC358" s="2633"/>
    </row>
    <row r="359" spans="1:30" x14ac:dyDescent="0.25">
      <c r="A359" s="1342" t="s">
        <v>2489</v>
      </c>
      <c r="B359" s="1848">
        <v>106126866</v>
      </c>
      <c r="C359" s="3856" t="s">
        <v>3854</v>
      </c>
      <c r="D359" s="1358" t="s">
        <v>3855</v>
      </c>
      <c r="E359" s="1356" t="s">
        <v>3856</v>
      </c>
      <c r="F359" s="2357">
        <f t="shared" ref="F359" si="88">LEN(D359)</f>
        <v>26</v>
      </c>
      <c r="G359" s="2357">
        <f t="shared" ref="G359" si="89">LEN(E359)</f>
        <v>21</v>
      </c>
      <c r="H359" s="3832" t="s">
        <v>3797</v>
      </c>
      <c r="I359" s="3755">
        <v>14.72</v>
      </c>
      <c r="M359" s="3836">
        <v>14.72</v>
      </c>
      <c r="O359" s="1318"/>
      <c r="P359" s="2358">
        <f t="shared" si="86"/>
        <v>18.399999999999999</v>
      </c>
      <c r="Q359" s="2358">
        <f t="shared" si="87"/>
        <v>15.494736842105265</v>
      </c>
      <c r="R359" s="274">
        <v>0.8</v>
      </c>
      <c r="S359" s="274">
        <v>0.95</v>
      </c>
      <c r="T359" s="2633"/>
      <c r="U359" s="2633"/>
      <c r="V359" s="2633" t="s">
        <v>1104</v>
      </c>
      <c r="X359" s="2633"/>
      <c r="Y359" s="2633"/>
      <c r="Z359" s="751"/>
      <c r="AA359" s="3855"/>
      <c r="AB359" s="2633"/>
      <c r="AC359" s="2633"/>
    </row>
    <row r="360" spans="1:30" x14ac:dyDescent="0.25">
      <c r="A360" s="1342" t="s">
        <v>71</v>
      </c>
      <c r="B360" s="1848">
        <v>106128815</v>
      </c>
      <c r="C360" s="3871" t="s">
        <v>3857</v>
      </c>
      <c r="D360" s="1358" t="s">
        <v>3778</v>
      </c>
      <c r="E360" s="1356" t="s">
        <v>3779</v>
      </c>
      <c r="F360" s="2357">
        <f t="shared" ref="F360:F361" si="90">LEN(D360)</f>
        <v>54</v>
      </c>
      <c r="G360" s="2357">
        <f t="shared" ref="G360:G361" si="91">LEN(E360)</f>
        <v>48</v>
      </c>
      <c r="H360" s="3832" t="s">
        <v>3800</v>
      </c>
      <c r="I360" s="3755">
        <v>1611.34</v>
      </c>
      <c r="M360" s="3836">
        <v>1611.34</v>
      </c>
      <c r="O360" s="1318"/>
      <c r="P360" s="2358">
        <f t="shared" ref="P360" si="92">M360/R360</f>
        <v>2014.1749999999997</v>
      </c>
      <c r="Q360" s="2358">
        <f t="shared" ref="Q360" si="93">M360/S360</f>
        <v>1696.1473684210525</v>
      </c>
      <c r="R360" s="274">
        <v>0.8</v>
      </c>
      <c r="S360" s="274">
        <v>0.95</v>
      </c>
      <c r="T360" s="2633"/>
      <c r="U360" s="2633"/>
      <c r="V360" s="2633" t="s">
        <v>1104</v>
      </c>
      <c r="X360" s="2633"/>
      <c r="Y360" s="2633"/>
      <c r="Z360" s="751"/>
      <c r="AA360" s="3870"/>
      <c r="AC360" s="2633" t="s">
        <v>1549</v>
      </c>
    </row>
    <row r="361" spans="1:30" x14ac:dyDescent="0.25">
      <c r="A361" s="1342"/>
      <c r="B361" s="1848">
        <v>106126111</v>
      </c>
      <c r="C361" s="3873" t="s">
        <v>3859</v>
      </c>
      <c r="D361" s="1358" t="s">
        <v>3860</v>
      </c>
      <c r="E361" s="1356" t="s">
        <v>3861</v>
      </c>
      <c r="F361" s="2357">
        <f t="shared" si="90"/>
        <v>31</v>
      </c>
      <c r="G361" s="2357">
        <f t="shared" si="91"/>
        <v>34</v>
      </c>
      <c r="H361" s="3832" t="s">
        <v>3797</v>
      </c>
      <c r="I361" s="3755">
        <v>432.06</v>
      </c>
      <c r="M361" s="3836">
        <v>432.06</v>
      </c>
      <c r="O361" s="1318"/>
      <c r="P361" s="2358">
        <f t="shared" ref="P361" si="94">M361/R361</f>
        <v>540.07499999999993</v>
      </c>
      <c r="Q361" s="2358">
        <f t="shared" ref="Q361" si="95">M361/S361</f>
        <v>454.8</v>
      </c>
      <c r="R361" s="274">
        <v>0.8</v>
      </c>
      <c r="S361" s="274">
        <v>0.95</v>
      </c>
      <c r="T361" s="2633"/>
      <c r="U361" s="2633"/>
      <c r="V361" s="2633" t="s">
        <v>1104</v>
      </c>
      <c r="X361" s="2633"/>
      <c r="Y361" s="2633"/>
      <c r="Z361" s="751" t="s">
        <v>1104</v>
      </c>
      <c r="AA361" s="3872"/>
      <c r="AB361" s="2633"/>
      <c r="AC361" s="2633"/>
    </row>
    <row r="362" spans="1:30" x14ac:dyDescent="0.25">
      <c r="A362" s="1342" t="s">
        <v>263</v>
      </c>
      <c r="B362" s="1848">
        <v>106206138</v>
      </c>
      <c r="C362" s="3890" t="s">
        <v>3864</v>
      </c>
      <c r="D362" s="1358" t="s">
        <v>2640</v>
      </c>
      <c r="E362" s="1356" t="s">
        <v>2641</v>
      </c>
      <c r="F362" s="2357">
        <f t="shared" ref="F362:F363" si="96">LEN(D362)</f>
        <v>32</v>
      </c>
      <c r="G362" s="2357">
        <f t="shared" ref="G362:G363" si="97">LEN(E362)</f>
        <v>30</v>
      </c>
      <c r="H362" s="3832" t="s">
        <v>3797</v>
      </c>
      <c r="I362" s="3755">
        <v>187.36</v>
      </c>
      <c r="M362" s="3836">
        <v>187.36</v>
      </c>
      <c r="O362" s="1318"/>
      <c r="P362" s="2358">
        <f t="shared" ref="P362:P363" si="98">M362/R362</f>
        <v>234.20000000000002</v>
      </c>
      <c r="Q362" s="2358">
        <f t="shared" ref="Q362:Q363" si="99">M362/S362</f>
        <v>197.22105263157897</v>
      </c>
      <c r="R362" s="274">
        <v>0.8</v>
      </c>
      <c r="S362" s="274">
        <v>0.95</v>
      </c>
      <c r="T362" s="2633"/>
      <c r="U362" s="2633"/>
      <c r="V362" s="2633"/>
      <c r="X362" s="2633"/>
      <c r="Y362" s="2633" t="s">
        <v>1104</v>
      </c>
      <c r="Z362" s="751"/>
      <c r="AA362" s="3889"/>
      <c r="AB362" s="2633"/>
      <c r="AC362" s="2633"/>
    </row>
    <row r="363" spans="1:30" s="3898" customFormat="1" ht="15.75" customHeight="1" x14ac:dyDescent="0.25">
      <c r="A363" s="1285" t="s">
        <v>3868</v>
      </c>
      <c r="B363" s="1848">
        <v>106126857</v>
      </c>
      <c r="C363" s="1287" t="s">
        <v>3869</v>
      </c>
      <c r="D363" s="1348" t="s">
        <v>1896</v>
      </c>
      <c r="E363" s="1335" t="s">
        <v>1511</v>
      </c>
      <c r="F363" s="1083">
        <f t="shared" si="96"/>
        <v>26</v>
      </c>
      <c r="G363" s="1083">
        <f t="shared" si="97"/>
        <v>24</v>
      </c>
      <c r="H363" s="3832" t="s">
        <v>3798</v>
      </c>
      <c r="I363" s="2504">
        <v>5.56</v>
      </c>
      <c r="J363" s="2356"/>
      <c r="K363" s="2356"/>
      <c r="L363" s="1281"/>
      <c r="M363" s="3836">
        <v>5.56</v>
      </c>
      <c r="N363" s="1318" t="e">
        <f t="shared" ref="N363" si="100">(J363-L363)/L363</f>
        <v>#DIV/0!</v>
      </c>
      <c r="O363" s="1318" t="e">
        <f t="shared" ref="O363" si="101">(I363-J363)/J363</f>
        <v>#DIV/0!</v>
      </c>
      <c r="P363" s="1281">
        <f t="shared" si="98"/>
        <v>6.9499999999999993</v>
      </c>
      <c r="Q363" s="1281">
        <f t="shared" si="99"/>
        <v>5.852631578947368</v>
      </c>
      <c r="R363" s="1347">
        <v>0.8</v>
      </c>
      <c r="S363" s="1347">
        <v>0.95</v>
      </c>
      <c r="T363" s="1280"/>
      <c r="U363" s="1280" t="s">
        <v>1104</v>
      </c>
      <c r="V363" s="1280" t="s">
        <v>1104</v>
      </c>
      <c r="W363" s="1280"/>
      <c r="X363" s="1280"/>
      <c r="Y363" s="2633"/>
      <c r="Z363" s="2633"/>
      <c r="AA363" s="3899"/>
      <c r="AB363" s="2633" t="s">
        <v>649</v>
      </c>
      <c r="AC363" s="2633"/>
      <c r="AD363" s="1383"/>
    </row>
    <row r="364" spans="1:30" s="3905" customFormat="1" ht="15.75" customHeight="1" x14ac:dyDescent="0.25">
      <c r="A364" s="1285"/>
      <c r="B364" s="1848">
        <v>106127046</v>
      </c>
      <c r="C364" s="1287" t="s">
        <v>3870</v>
      </c>
      <c r="D364" s="1348" t="s">
        <v>3785</v>
      </c>
      <c r="E364" s="1335" t="s">
        <v>3786</v>
      </c>
      <c r="F364" s="1083"/>
      <c r="G364" s="1083"/>
      <c r="H364" s="3832" t="s">
        <v>3799</v>
      </c>
      <c r="I364" s="2504">
        <v>98.52</v>
      </c>
      <c r="J364" s="2356"/>
      <c r="K364" s="2356"/>
      <c r="L364" s="1281"/>
      <c r="M364" s="3836">
        <f>M348</f>
        <v>99.84</v>
      </c>
      <c r="N364" s="1318"/>
      <c r="O364" s="1318"/>
      <c r="P364" s="1281">
        <f t="shared" ref="P364" si="102">M364/R364</f>
        <v>249.6</v>
      </c>
      <c r="Q364" s="1281">
        <f t="shared" ref="Q364" si="103">M364/S364</f>
        <v>166.4</v>
      </c>
      <c r="R364" s="1347">
        <v>0.4</v>
      </c>
      <c r="S364" s="1347">
        <v>0.6</v>
      </c>
      <c r="T364" s="1280"/>
      <c r="U364" s="1280"/>
      <c r="V364" s="1280"/>
      <c r="W364" s="1280"/>
      <c r="X364" s="1280"/>
      <c r="Y364" s="2633"/>
      <c r="Z364" s="2633"/>
      <c r="AA364" s="3904"/>
      <c r="AB364" s="2633"/>
      <c r="AC364" s="2633"/>
      <c r="AD364" s="1383"/>
    </row>
    <row r="365" spans="1:30" s="3902" customFormat="1" ht="15.75" customHeight="1" x14ac:dyDescent="0.25">
      <c r="A365" s="1285" t="s">
        <v>2803</v>
      </c>
      <c r="B365" s="1848">
        <v>106125859</v>
      </c>
      <c r="C365" s="1287" t="s">
        <v>3877</v>
      </c>
      <c r="D365" s="1348" t="s">
        <v>3875</v>
      </c>
      <c r="E365" s="1335" t="s">
        <v>3876</v>
      </c>
      <c r="F365" s="1083"/>
      <c r="G365" s="1083"/>
      <c r="H365" s="3832" t="s">
        <v>3797</v>
      </c>
      <c r="I365" s="2504">
        <v>47.89</v>
      </c>
      <c r="J365" s="2356"/>
      <c r="K365" s="2356"/>
      <c r="L365" s="1281"/>
      <c r="M365" s="3836">
        <v>47.89</v>
      </c>
      <c r="N365" s="1318"/>
      <c r="O365" s="1318"/>
      <c r="P365" s="1281">
        <f t="shared" ref="P365" si="104">M365/R365</f>
        <v>59.862499999999997</v>
      </c>
      <c r="Q365" s="1281">
        <f t="shared" ref="Q365" si="105">M365/S365</f>
        <v>50.410526315789475</v>
      </c>
      <c r="R365" s="1347">
        <v>0.8</v>
      </c>
      <c r="S365" s="1347">
        <v>0.95</v>
      </c>
      <c r="T365" s="1280"/>
      <c r="U365" s="1280"/>
      <c r="V365" s="1280" t="s">
        <v>1104</v>
      </c>
      <c r="W365" s="1280"/>
      <c r="X365" s="1280"/>
      <c r="Y365" s="2633"/>
      <c r="Z365" s="2633"/>
      <c r="AA365" s="3901"/>
      <c r="AB365" s="2633"/>
      <c r="AC365" s="2633"/>
      <c r="AD365" s="1383"/>
    </row>
    <row r="366" spans="1:30" s="3940" customFormat="1" ht="15.75" customHeight="1" x14ac:dyDescent="0.25">
      <c r="A366" s="1285"/>
      <c r="B366" s="1848">
        <v>106129787</v>
      </c>
      <c r="C366" s="1287" t="s">
        <v>3910</v>
      </c>
      <c r="D366" s="1348" t="s">
        <v>3911</v>
      </c>
      <c r="E366" s="1335" t="s">
        <v>3912</v>
      </c>
      <c r="F366" s="1083">
        <f t="shared" ref="F366" si="106">LEN(D366)</f>
        <v>25</v>
      </c>
      <c r="G366" s="1083">
        <f t="shared" ref="G366" si="107">LEN(E366)</f>
        <v>22</v>
      </c>
      <c r="H366" s="3832" t="s">
        <v>3798</v>
      </c>
      <c r="I366" s="2504"/>
      <c r="J366" s="2356"/>
      <c r="K366" s="2356"/>
      <c r="L366" s="1281"/>
      <c r="M366" s="3836"/>
      <c r="N366" s="1318"/>
      <c r="O366" s="1318"/>
      <c r="P366" s="1281">
        <f t="shared" ref="P366" si="108">M366/R366</f>
        <v>0</v>
      </c>
      <c r="Q366" s="1281">
        <f t="shared" ref="Q366" si="109">M366/S366</f>
        <v>0</v>
      </c>
      <c r="R366" s="1347">
        <v>0.8</v>
      </c>
      <c r="S366" s="1347">
        <v>0.95</v>
      </c>
      <c r="T366" s="1280"/>
      <c r="U366" s="1280"/>
      <c r="V366" s="1280"/>
      <c r="W366" s="1280"/>
      <c r="X366" s="1280"/>
      <c r="Y366" s="2633"/>
      <c r="Z366" s="2633" t="s">
        <v>1104</v>
      </c>
      <c r="AA366" s="3939"/>
      <c r="AB366" s="2633" t="s">
        <v>649</v>
      </c>
      <c r="AC366" s="2633"/>
      <c r="AD366" s="1383"/>
    </row>
    <row r="367" spans="1:30" s="4044" customFormat="1" ht="15.75" customHeight="1" x14ac:dyDescent="0.25">
      <c r="A367" s="1285"/>
      <c r="B367" s="1848">
        <v>106208230</v>
      </c>
      <c r="C367" s="1287" t="s">
        <v>4131</v>
      </c>
      <c r="D367" s="1348" t="s">
        <v>2938</v>
      </c>
      <c r="E367" s="1335" t="s">
        <v>2939</v>
      </c>
      <c r="F367" s="1083"/>
      <c r="G367" s="1083"/>
      <c r="H367" s="3832"/>
      <c r="I367" s="2504"/>
      <c r="J367" s="2356"/>
      <c r="K367" s="2356"/>
      <c r="L367" s="1281"/>
      <c r="M367" s="3836"/>
      <c r="N367" s="1318"/>
      <c r="O367" s="1318"/>
      <c r="P367" s="1281"/>
      <c r="Q367" s="1281"/>
      <c r="R367" s="1347">
        <v>0.8</v>
      </c>
      <c r="S367" s="1347">
        <v>0.95</v>
      </c>
      <c r="T367" s="1280"/>
      <c r="U367" s="1280"/>
      <c r="V367" s="1280" t="s">
        <v>1104</v>
      </c>
      <c r="W367" s="1280"/>
      <c r="X367" s="1280"/>
      <c r="Y367" s="2633"/>
      <c r="Z367" s="2633"/>
      <c r="AA367" s="4043"/>
      <c r="AB367" s="2633"/>
      <c r="AC367" s="2633" t="s">
        <v>1549</v>
      </c>
      <c r="AD367" s="1383"/>
    </row>
    <row r="368" spans="1:30" s="4044" customFormat="1" ht="15.75" customHeight="1" x14ac:dyDescent="0.25">
      <c r="A368" s="1285" t="s">
        <v>2485</v>
      </c>
      <c r="B368" s="1848">
        <v>106130090</v>
      </c>
      <c r="C368" s="1287" t="s">
        <v>4132</v>
      </c>
      <c r="D368" s="1348" t="s">
        <v>2954</v>
      </c>
      <c r="E368" s="1335" t="s">
        <v>2955</v>
      </c>
      <c r="F368" s="1083"/>
      <c r="G368" s="1083"/>
      <c r="H368" s="3832"/>
      <c r="I368" s="2504"/>
      <c r="J368" s="2356"/>
      <c r="K368" s="2356"/>
      <c r="L368" s="1281"/>
      <c r="M368" s="3836"/>
      <c r="N368" s="1318"/>
      <c r="O368" s="1318"/>
      <c r="P368" s="1281"/>
      <c r="Q368" s="1281"/>
      <c r="R368" s="1347">
        <v>0.8</v>
      </c>
      <c r="S368" s="1347">
        <v>0.95</v>
      </c>
      <c r="T368" s="1280"/>
      <c r="U368" s="1280"/>
      <c r="V368" s="1280" t="s">
        <v>1104</v>
      </c>
      <c r="W368" s="1280"/>
      <c r="X368" s="1280"/>
      <c r="Y368" s="2633"/>
      <c r="Z368" s="2633"/>
      <c r="AA368" s="4043"/>
      <c r="AB368" s="2633"/>
      <c r="AC368" s="2633"/>
      <c r="AD368" s="1383"/>
    </row>
    <row r="369" spans="1:30" s="4044" customFormat="1" ht="15.75" customHeight="1" x14ac:dyDescent="0.25">
      <c r="A369" s="1285" t="s">
        <v>3162</v>
      </c>
      <c r="B369" s="1848">
        <v>106208147</v>
      </c>
      <c r="C369" s="1287" t="s">
        <v>4135</v>
      </c>
      <c r="D369" s="1348" t="s">
        <v>4133</v>
      </c>
      <c r="E369" s="1335" t="s">
        <v>4134</v>
      </c>
      <c r="F369" s="1083"/>
      <c r="G369" s="1083"/>
      <c r="H369" s="3832"/>
      <c r="I369" s="2504"/>
      <c r="J369" s="2356"/>
      <c r="K369" s="2356"/>
      <c r="L369" s="1281"/>
      <c r="M369" s="3836"/>
      <c r="N369" s="1318"/>
      <c r="O369" s="1318"/>
      <c r="P369" s="1281"/>
      <c r="Q369" s="1281"/>
      <c r="R369" s="1347">
        <v>0.8</v>
      </c>
      <c r="S369" s="1347">
        <v>0.95</v>
      </c>
      <c r="T369" s="1280"/>
      <c r="U369" s="1280"/>
      <c r="V369" s="1280" t="s">
        <v>1104</v>
      </c>
      <c r="W369" s="1280"/>
      <c r="X369" s="1280"/>
      <c r="Y369" s="2633"/>
      <c r="Z369" s="2633"/>
      <c r="AA369" s="4043"/>
      <c r="AB369" s="2633" t="s">
        <v>649</v>
      </c>
      <c r="AC369" s="2633"/>
      <c r="AD369" s="1383"/>
    </row>
    <row r="370" spans="1:30" s="4044" customFormat="1" ht="15.75" customHeight="1" x14ac:dyDescent="0.25">
      <c r="A370" s="1285" t="s">
        <v>328</v>
      </c>
      <c r="B370" s="1848">
        <v>106208148</v>
      </c>
      <c r="C370" s="1287" t="s">
        <v>2841</v>
      </c>
      <c r="D370" s="1348" t="s">
        <v>2547</v>
      </c>
      <c r="E370" s="1335" t="s">
        <v>2548</v>
      </c>
      <c r="F370" s="1083"/>
      <c r="G370" s="1083"/>
      <c r="H370" s="3832"/>
      <c r="I370" s="2504"/>
      <c r="J370" s="2356"/>
      <c r="K370" s="2356"/>
      <c r="L370" s="1281"/>
      <c r="M370" s="3836"/>
      <c r="N370" s="1318"/>
      <c r="O370" s="1318"/>
      <c r="P370" s="1281"/>
      <c r="Q370" s="1281"/>
      <c r="R370" s="1347">
        <v>0.8</v>
      </c>
      <c r="S370" s="1347">
        <v>0.95</v>
      </c>
      <c r="T370" s="1280"/>
      <c r="U370" s="1280"/>
      <c r="V370" s="1280" t="s">
        <v>1104</v>
      </c>
      <c r="W370" s="1280"/>
      <c r="X370" s="1280"/>
      <c r="Y370" s="2633"/>
      <c r="Z370" s="2633"/>
      <c r="AA370" s="4043"/>
      <c r="AB370" s="2633" t="s">
        <v>649</v>
      </c>
      <c r="AC370" s="2633"/>
      <c r="AD370" s="1383"/>
    </row>
    <row r="371" spans="1:30" s="4044" customFormat="1" ht="15.75" customHeight="1" x14ac:dyDescent="0.25">
      <c r="A371" s="1285" t="s">
        <v>285</v>
      </c>
      <c r="B371" s="1848">
        <v>106208146</v>
      </c>
      <c r="C371" s="1287" t="s">
        <v>4136</v>
      </c>
      <c r="D371" s="1348" t="s">
        <v>1303</v>
      </c>
      <c r="E371" s="1335" t="s">
        <v>1304</v>
      </c>
      <c r="F371" s="1083"/>
      <c r="G371" s="1083"/>
      <c r="H371" s="3832"/>
      <c r="I371" s="2504"/>
      <c r="J371" s="2356"/>
      <c r="K371" s="2356"/>
      <c r="L371" s="1281"/>
      <c r="M371" s="3836"/>
      <c r="N371" s="1318"/>
      <c r="O371" s="1318"/>
      <c r="P371" s="1281"/>
      <c r="Q371" s="1281"/>
      <c r="R371" s="1347">
        <v>0.8</v>
      </c>
      <c r="S371" s="1347">
        <v>0.95</v>
      </c>
      <c r="T371" s="1280"/>
      <c r="U371" s="1280"/>
      <c r="V371" s="1280" t="s">
        <v>1104</v>
      </c>
      <c r="W371" s="1280"/>
      <c r="X371" s="1280"/>
      <c r="Y371" s="2633"/>
      <c r="Z371" s="2633"/>
      <c r="AA371" s="4043"/>
      <c r="AB371" s="2633" t="s">
        <v>649</v>
      </c>
      <c r="AC371" s="2633"/>
      <c r="AD371" s="1383"/>
    </row>
    <row r="372" spans="1:30" s="4044" customFormat="1" ht="15.75" customHeight="1" x14ac:dyDescent="0.25">
      <c r="A372" s="1285" t="s">
        <v>2489</v>
      </c>
      <c r="B372" s="1848">
        <v>106127936</v>
      </c>
      <c r="C372" s="1287" t="s">
        <v>4139</v>
      </c>
      <c r="D372" s="1348" t="s">
        <v>4137</v>
      </c>
      <c r="E372" s="1335" t="s">
        <v>4138</v>
      </c>
      <c r="F372" s="1083"/>
      <c r="G372" s="1083"/>
      <c r="H372" s="3832"/>
      <c r="I372" s="2504">
        <v>39.26</v>
      </c>
      <c r="J372" s="2356"/>
      <c r="K372" s="2356"/>
      <c r="L372" s="1281"/>
      <c r="M372" s="3836">
        <v>39.26</v>
      </c>
      <c r="N372" s="1318"/>
      <c r="O372" s="1318"/>
      <c r="P372" s="1281">
        <f t="shared" ref="P372" si="110">M372/R372</f>
        <v>49.074999999999996</v>
      </c>
      <c r="Q372" s="1281">
        <f t="shared" ref="Q372" si="111">M372/S372</f>
        <v>41.326315789473682</v>
      </c>
      <c r="R372" s="1347">
        <v>0.8</v>
      </c>
      <c r="S372" s="1347">
        <v>0.95</v>
      </c>
      <c r="T372" s="1280"/>
      <c r="U372" s="1280"/>
      <c r="V372" s="1280" t="s">
        <v>1104</v>
      </c>
      <c r="W372" s="1280"/>
      <c r="X372" s="1280"/>
      <c r="Y372" s="2633"/>
      <c r="Z372" s="2633"/>
      <c r="AA372" s="4043"/>
      <c r="AB372" s="2633"/>
      <c r="AC372" s="2633"/>
      <c r="AD372" s="1383"/>
    </row>
    <row r="373" spans="1:30" s="4049" customFormat="1" ht="15.75" customHeight="1" x14ac:dyDescent="0.25">
      <c r="A373" s="1285" t="s">
        <v>4140</v>
      </c>
      <c r="B373" s="1848">
        <v>106208218</v>
      </c>
      <c r="C373" s="1287" t="s">
        <v>4185</v>
      </c>
      <c r="D373" s="1348" t="s">
        <v>4141</v>
      </c>
      <c r="E373" s="1335"/>
      <c r="F373" s="1083"/>
      <c r="G373" s="1083"/>
      <c r="H373" s="3832"/>
      <c r="I373" s="2504">
        <v>81.77</v>
      </c>
      <c r="J373" s="2356"/>
      <c r="K373" s="2356"/>
      <c r="L373" s="1281"/>
      <c r="M373" s="3836">
        <v>81.77</v>
      </c>
      <c r="N373" s="1318"/>
      <c r="O373" s="1318"/>
      <c r="P373" s="1281">
        <f t="shared" ref="P373" si="112">M373/R373</f>
        <v>136.28333333333333</v>
      </c>
      <c r="Q373" s="1281">
        <f t="shared" ref="Q373" si="113">M373/S373</f>
        <v>102.21249999999999</v>
      </c>
      <c r="R373" s="1347">
        <v>0.6</v>
      </c>
      <c r="S373" s="1347">
        <v>0.8</v>
      </c>
      <c r="T373" s="1280"/>
      <c r="U373" s="1280"/>
      <c r="V373" s="1280" t="s">
        <v>1104</v>
      </c>
      <c r="W373" s="1280"/>
      <c r="X373" s="1280"/>
      <c r="Y373" s="2633"/>
      <c r="Z373" s="2633"/>
      <c r="AA373" s="4048"/>
      <c r="AB373" s="2633"/>
      <c r="AC373" s="2633"/>
      <c r="AD373" s="1383"/>
    </row>
    <row r="374" spans="1:30" s="4049" customFormat="1" ht="15.75" customHeight="1" x14ac:dyDescent="0.25">
      <c r="A374" s="1285" t="s">
        <v>4128</v>
      </c>
      <c r="B374" s="1848">
        <v>106128310</v>
      </c>
      <c r="C374" s="1287" t="s">
        <v>4143</v>
      </c>
      <c r="D374" s="1348" t="s">
        <v>4144</v>
      </c>
      <c r="E374" s="1335" t="s">
        <v>4145</v>
      </c>
      <c r="F374" s="1083"/>
      <c r="G374" s="1083"/>
      <c r="H374" s="3832"/>
      <c r="I374" s="2504"/>
      <c r="J374" s="2356"/>
      <c r="K374" s="2356"/>
      <c r="L374" s="1281"/>
      <c r="M374" s="3836"/>
      <c r="N374" s="1318"/>
      <c r="O374" s="1318"/>
      <c r="P374" s="1281"/>
      <c r="Q374" s="1281"/>
      <c r="R374" s="1347"/>
      <c r="S374" s="1347"/>
      <c r="T374" s="1280"/>
      <c r="U374" s="1280"/>
      <c r="V374" s="1280" t="s">
        <v>1104</v>
      </c>
      <c r="W374" s="1280"/>
      <c r="X374" s="1280"/>
      <c r="Y374" s="2633"/>
      <c r="Z374" s="2633"/>
      <c r="AA374" s="4048"/>
      <c r="AB374" s="2633"/>
      <c r="AC374" s="2633"/>
      <c r="AD374" s="1383"/>
    </row>
    <row r="375" spans="1:30" s="4097" customFormat="1" ht="15.75" customHeight="1" x14ac:dyDescent="0.25">
      <c r="A375" s="1285" t="s">
        <v>71</v>
      </c>
      <c r="B375" s="1848">
        <v>106208154</v>
      </c>
      <c r="C375" s="1287" t="s">
        <v>3752</v>
      </c>
      <c r="D375" s="1348" t="s">
        <v>2512</v>
      </c>
      <c r="E375" s="1335" t="s">
        <v>2513</v>
      </c>
      <c r="F375" s="1083"/>
      <c r="G375" s="1083"/>
      <c r="H375" s="3832"/>
      <c r="I375" s="2504">
        <v>1404.43</v>
      </c>
      <c r="J375" s="2356"/>
      <c r="K375" s="2356"/>
      <c r="L375" s="1281"/>
      <c r="M375" s="3836">
        <v>1404.43</v>
      </c>
      <c r="N375" s="1318"/>
      <c r="O375" s="1318"/>
      <c r="P375" s="1281">
        <f t="shared" ref="P375" si="114">M375/R375</f>
        <v>1755.5374999999999</v>
      </c>
      <c r="Q375" s="1281">
        <f t="shared" ref="Q375" si="115">M375/S375</f>
        <v>1478.3473684210528</v>
      </c>
      <c r="R375" s="1347">
        <v>0.8</v>
      </c>
      <c r="S375" s="1347">
        <v>0.95</v>
      </c>
      <c r="T375" s="1280"/>
      <c r="U375" s="1280"/>
      <c r="V375" s="1280" t="s">
        <v>1104</v>
      </c>
      <c r="W375" s="1280"/>
      <c r="X375" s="1280"/>
      <c r="Y375" s="2633"/>
      <c r="Z375" s="2633"/>
      <c r="AA375" s="4096"/>
      <c r="AB375" s="2633" t="s">
        <v>649</v>
      </c>
      <c r="AC375" s="2633" t="s">
        <v>1549</v>
      </c>
      <c r="AD375" s="1383"/>
    </row>
    <row r="406" spans="33:35" x14ac:dyDescent="0.25">
      <c r="AG406" s="3612"/>
      <c r="AH406" s="3609"/>
      <c r="AI406" s="3610"/>
    </row>
    <row r="407" spans="33:35" x14ac:dyDescent="0.25">
      <c r="AG407" s="3612"/>
      <c r="AH407" s="3609"/>
      <c r="AI407" s="3610"/>
    </row>
    <row r="408" spans="33:35" x14ac:dyDescent="0.25">
      <c r="AG408" s="3611"/>
      <c r="AH408" s="3609"/>
      <c r="AI408" s="3610"/>
    </row>
    <row r="409" spans="33:35" x14ac:dyDescent="0.25">
      <c r="AG409" s="3612"/>
      <c r="AH409" s="3609"/>
      <c r="AI409" s="3610"/>
    </row>
    <row r="410" spans="33:35" x14ac:dyDescent="0.25">
      <c r="AG410" s="3612"/>
      <c r="AH410" s="3609"/>
      <c r="AI410" s="3610"/>
    </row>
    <row r="411" spans="33:35" x14ac:dyDescent="0.25">
      <c r="AG411" s="3612"/>
      <c r="AH411" s="3609"/>
      <c r="AI411" s="3610"/>
    </row>
    <row r="412" spans="33:35" x14ac:dyDescent="0.25">
      <c r="AG412" s="3612"/>
      <c r="AH412" s="3609"/>
      <c r="AI412" s="3610"/>
    </row>
    <row r="413" spans="33:35" x14ac:dyDescent="0.25">
      <c r="AG413" s="3612"/>
      <c r="AH413" s="3609"/>
      <c r="AI413" s="3610"/>
    </row>
    <row r="414" spans="33:35" x14ac:dyDescent="0.25">
      <c r="AG414" s="3612"/>
      <c r="AH414" s="3609"/>
      <c r="AI414" s="3610"/>
    </row>
    <row r="415" spans="33:35" x14ac:dyDescent="0.25">
      <c r="AG415" s="3612"/>
      <c r="AH415" s="3609"/>
      <c r="AI415" s="3610"/>
    </row>
    <row r="416" spans="33:35" x14ac:dyDescent="0.25">
      <c r="AG416" s="3612"/>
      <c r="AH416" s="3609"/>
      <c r="AI416" s="3610"/>
    </row>
    <row r="417" spans="33:35" x14ac:dyDescent="0.25">
      <c r="AG417" s="3612"/>
      <c r="AH417" s="3609"/>
      <c r="AI417" s="3610"/>
    </row>
    <row r="418" spans="33:35" x14ac:dyDescent="0.25">
      <c r="AG418" s="3612"/>
      <c r="AH418" s="3609"/>
      <c r="AI418" s="3610"/>
    </row>
    <row r="419" spans="33:35" x14ac:dyDescent="0.25">
      <c r="AG419" s="3612"/>
      <c r="AH419" s="3609"/>
      <c r="AI419" s="3610"/>
    </row>
    <row r="420" spans="33:35" x14ac:dyDescent="0.25">
      <c r="AG420" s="3612"/>
      <c r="AH420" s="3609"/>
      <c r="AI420" s="3610"/>
    </row>
    <row r="421" spans="33:35" x14ac:dyDescent="0.25">
      <c r="AG421" s="3612"/>
      <c r="AH421" s="3609"/>
      <c r="AI421" s="3610"/>
    </row>
    <row r="422" spans="33:35" x14ac:dyDescent="0.25">
      <c r="AG422" s="3612"/>
      <c r="AH422" s="3609"/>
      <c r="AI422" s="3610"/>
    </row>
    <row r="423" spans="33:35" x14ac:dyDescent="0.25">
      <c r="AG423" s="3612"/>
      <c r="AH423" s="3609"/>
      <c r="AI423" s="3610"/>
    </row>
    <row r="424" spans="33:35" x14ac:dyDescent="0.25">
      <c r="AG424" s="3612"/>
      <c r="AH424" s="3609"/>
      <c r="AI424" s="3610"/>
    </row>
    <row r="425" spans="33:35" x14ac:dyDescent="0.25">
      <c r="AG425" s="3612"/>
      <c r="AH425" s="3609"/>
      <c r="AI425" s="3610"/>
    </row>
    <row r="426" spans="33:35" x14ac:dyDescent="0.25">
      <c r="AG426" s="3612"/>
      <c r="AH426" s="3609"/>
      <c r="AI426" s="3610"/>
    </row>
    <row r="427" spans="33:35" x14ac:dyDescent="0.25">
      <c r="AG427" s="3612"/>
      <c r="AH427" s="3609"/>
      <c r="AI427" s="3610"/>
    </row>
    <row r="428" spans="33:35" x14ac:dyDescent="0.25">
      <c r="AG428" s="3612"/>
      <c r="AH428" s="3609"/>
      <c r="AI428" s="3610"/>
    </row>
    <row r="429" spans="33:35" x14ac:dyDescent="0.25">
      <c r="AG429" s="3612"/>
      <c r="AH429" s="3609"/>
      <c r="AI429" s="3610"/>
    </row>
    <row r="430" spans="33:35" x14ac:dyDescent="0.25">
      <c r="AG430" s="3608"/>
      <c r="AH430" s="3609"/>
      <c r="AI430" s="3610"/>
    </row>
    <row r="431" spans="33:35" x14ac:dyDescent="0.25">
      <c r="AG431" s="3612"/>
      <c r="AH431" s="3609"/>
      <c r="AI431" s="3610"/>
    </row>
    <row r="432" spans="33:35" x14ac:dyDescent="0.25">
      <c r="AG432" s="3608"/>
      <c r="AH432" s="3609"/>
      <c r="AI432" s="3610"/>
    </row>
    <row r="433" spans="33:35" x14ac:dyDescent="0.25">
      <c r="AG433" s="3611"/>
      <c r="AH433" s="3609"/>
      <c r="AI433" s="3610"/>
    </row>
    <row r="434" spans="33:35" x14ac:dyDescent="0.25">
      <c r="AG434" s="3613"/>
      <c r="AH434" s="3609"/>
      <c r="AI434" s="3610"/>
    </row>
    <row r="435" spans="33:35" x14ac:dyDescent="0.25">
      <c r="AG435" s="3613"/>
      <c r="AH435" s="3609"/>
      <c r="AI435" s="3610"/>
    </row>
    <row r="436" spans="33:35" x14ac:dyDescent="0.25">
      <c r="AG436" s="3613"/>
      <c r="AH436" s="3609"/>
      <c r="AI436" s="3610"/>
    </row>
    <row r="437" spans="33:35" x14ac:dyDescent="0.25">
      <c r="AG437" s="3608"/>
      <c r="AH437" s="3609"/>
      <c r="AI437" s="3610"/>
    </row>
    <row r="438" spans="33:35" x14ac:dyDescent="0.25">
      <c r="AG438" s="3608"/>
      <c r="AH438" s="3609"/>
      <c r="AI438" s="3610"/>
    </row>
    <row r="439" spans="33:35" x14ac:dyDescent="0.25">
      <c r="AG439" s="3608"/>
      <c r="AH439" s="3609"/>
      <c r="AI439" s="3610"/>
    </row>
    <row r="440" spans="33:35" x14ac:dyDescent="0.25">
      <c r="AG440" s="3614"/>
      <c r="AH440" s="3609"/>
      <c r="AI440" s="3610"/>
    </row>
    <row r="441" spans="33:35" x14ac:dyDescent="0.25">
      <c r="AG441" s="3608"/>
      <c r="AH441" s="3609"/>
      <c r="AI441" s="3610"/>
    </row>
    <row r="442" spans="33:35" x14ac:dyDescent="0.25">
      <c r="AG442" s="3608"/>
      <c r="AH442" s="3609"/>
      <c r="AI442" s="3610"/>
    </row>
    <row r="443" spans="33:35" x14ac:dyDescent="0.25">
      <c r="AG443" s="3608"/>
      <c r="AH443" s="3609"/>
      <c r="AI443" s="3610"/>
    </row>
    <row r="444" spans="33:35" x14ac:dyDescent="0.25">
      <c r="AG444" s="3608"/>
      <c r="AH444" s="3609"/>
      <c r="AI444" s="3610"/>
    </row>
    <row r="445" spans="33:35" x14ac:dyDescent="0.25">
      <c r="AG445" s="3608"/>
      <c r="AH445" s="3609"/>
      <c r="AI445" s="3610"/>
    </row>
    <row r="446" spans="33:35" x14ac:dyDescent="0.25">
      <c r="AG446" s="3608"/>
      <c r="AH446" s="3609"/>
      <c r="AI446" s="3610"/>
    </row>
    <row r="447" spans="33:35" x14ac:dyDescent="0.25">
      <c r="AG447" s="3611"/>
      <c r="AH447" s="3609"/>
      <c r="AI447" s="3610"/>
    </row>
    <row r="448" spans="33:35" x14ac:dyDescent="0.25">
      <c r="AG448" s="3611"/>
      <c r="AH448" s="3609"/>
      <c r="AI448" s="3610"/>
    </row>
  </sheetData>
  <autoFilter ref="T1:AA344"/>
  <sortState ref="A3:Z282">
    <sortCondition ref="A3:A282"/>
  </sortState>
  <conditionalFormatting sqref="O354:O358 O3:O296 O298:O351">
    <cfRule type="cellIs" dxfId="43" priority="33" operator="lessThan">
      <formula>-0.05</formula>
    </cfRule>
    <cfRule type="cellIs" dxfId="42" priority="34" operator="greaterThan">
      <formula>0.05</formula>
    </cfRule>
  </conditionalFormatting>
  <conditionalFormatting sqref="O352:O353">
    <cfRule type="cellIs" dxfId="41" priority="31" operator="lessThan">
      <formula>-0.05</formula>
    </cfRule>
    <cfRule type="cellIs" dxfId="40" priority="32" operator="greaterThan">
      <formula>0.05</formula>
    </cfRule>
  </conditionalFormatting>
  <conditionalFormatting sqref="O359">
    <cfRule type="cellIs" dxfId="39" priority="29" operator="lessThan">
      <formula>-0.05</formula>
    </cfRule>
    <cfRule type="cellIs" dxfId="38" priority="30" operator="greaterThan">
      <formula>0.05</formula>
    </cfRule>
  </conditionalFormatting>
  <conditionalFormatting sqref="O360">
    <cfRule type="cellIs" dxfId="37" priority="27" operator="lessThan">
      <formula>-0.05</formula>
    </cfRule>
    <cfRule type="cellIs" dxfId="36" priority="28" operator="greaterThan">
      <formula>0.05</formula>
    </cfRule>
  </conditionalFormatting>
  <conditionalFormatting sqref="O361">
    <cfRule type="cellIs" dxfId="35" priority="25" operator="lessThan">
      <formula>-0.05</formula>
    </cfRule>
    <cfRule type="cellIs" dxfId="34" priority="26" operator="greaterThan">
      <formula>0.05</formula>
    </cfRule>
  </conditionalFormatting>
  <conditionalFormatting sqref="O362">
    <cfRule type="cellIs" dxfId="33" priority="23" operator="lessThan">
      <formula>-0.05</formula>
    </cfRule>
    <cfRule type="cellIs" dxfId="32" priority="24" operator="greaterThan">
      <formula>0.05</formula>
    </cfRule>
  </conditionalFormatting>
  <conditionalFormatting sqref="O363">
    <cfRule type="cellIs" dxfId="31" priority="21" operator="lessThan">
      <formula>-0.05</formula>
    </cfRule>
    <cfRule type="cellIs" dxfId="30" priority="22" operator="greaterThan">
      <formula>0.05</formula>
    </cfRule>
  </conditionalFormatting>
  <conditionalFormatting sqref="O365">
    <cfRule type="cellIs" dxfId="29" priority="19" operator="lessThan">
      <formula>-0.05</formula>
    </cfRule>
    <cfRule type="cellIs" dxfId="28" priority="20" operator="greaterThan">
      <formula>0.05</formula>
    </cfRule>
  </conditionalFormatting>
  <conditionalFormatting sqref="O364">
    <cfRule type="cellIs" dxfId="27" priority="17" operator="lessThan">
      <formula>-0.05</formula>
    </cfRule>
    <cfRule type="cellIs" dxfId="26" priority="18" operator="greaterThan">
      <formula>0.05</formula>
    </cfRule>
  </conditionalFormatting>
  <conditionalFormatting sqref="O366">
    <cfRule type="cellIs" dxfId="25" priority="15" operator="lessThan">
      <formula>-0.05</formula>
    </cfRule>
    <cfRule type="cellIs" dxfId="24" priority="16" operator="greaterThan">
      <formula>0.05</formula>
    </cfRule>
  </conditionalFormatting>
  <conditionalFormatting sqref="O367:O368">
    <cfRule type="cellIs" dxfId="23" priority="13" operator="lessThan">
      <formula>-0.05</formula>
    </cfRule>
    <cfRule type="cellIs" dxfId="22" priority="14" operator="greaterThan">
      <formula>0.05</formula>
    </cfRule>
  </conditionalFormatting>
  <conditionalFormatting sqref="O369:O371">
    <cfRule type="cellIs" dxfId="21" priority="11" operator="lessThan">
      <formula>-0.05</formula>
    </cfRule>
    <cfRule type="cellIs" dxfId="20" priority="12" operator="greaterThan">
      <formula>0.05</formula>
    </cfRule>
  </conditionalFormatting>
  <conditionalFormatting sqref="O372">
    <cfRule type="cellIs" dxfId="19" priority="9" operator="lessThan">
      <formula>-0.05</formula>
    </cfRule>
    <cfRule type="cellIs" dxfId="18" priority="10" operator="greaterThan">
      <formula>0.05</formula>
    </cfRule>
  </conditionalFormatting>
  <conditionalFormatting sqref="O373">
    <cfRule type="cellIs" dxfId="17" priority="7" operator="lessThan">
      <formula>-0.05</formula>
    </cfRule>
    <cfRule type="cellIs" dxfId="16" priority="8" operator="greaterThan">
      <formula>0.05</formula>
    </cfRule>
  </conditionalFormatting>
  <conditionalFormatting sqref="O374">
    <cfRule type="cellIs" dxfId="15" priority="5" operator="lessThan">
      <formula>-0.05</formula>
    </cfRule>
    <cfRule type="cellIs" dxfId="14" priority="6" operator="greaterThan">
      <formula>0.05</formula>
    </cfRule>
  </conditionalFormatting>
  <conditionalFormatting sqref="O297">
    <cfRule type="cellIs" dxfId="13" priority="3" operator="lessThan">
      <formula>-0.05</formula>
    </cfRule>
    <cfRule type="cellIs" dxfId="12" priority="4" operator="greaterThan">
      <formula>0.05</formula>
    </cfRule>
  </conditionalFormatting>
  <conditionalFormatting sqref="O375">
    <cfRule type="cellIs" dxfId="11" priority="1" operator="lessThan">
      <formula>-0.05</formula>
    </cfRule>
    <cfRule type="cellIs" dxfId="10" priority="2" operator="greaterThan">
      <formula>0.05</formula>
    </cfRule>
  </conditionalFormatting>
  <pageMargins left="0.70866141732283472" right="0.70866141732283472" top="0.74803149606299213" bottom="0.74803149606299213" header="0.31496062992125984" footer="0.31496062992125984"/>
  <pageSetup paperSize="9" scale="50" fitToHeight="2" orientation="portrait" r:id="rId1"/>
  <ignoredErrors>
    <ignoredError sqref="AB51" numberStoredAsText="1"/>
    <ignoredError sqref="N299:N304 N263:N287 N305:N314 N315:N316 N288:N297 O337:O345 O356" evalError="1"/>
  </ignoredErrors>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7"/>
  <sheetViews>
    <sheetView topLeftCell="A70" zoomScale="80" zoomScaleNormal="80" workbookViewId="0">
      <selection activeCell="D87" sqref="D87"/>
    </sheetView>
  </sheetViews>
  <sheetFormatPr baseColWidth="10" defaultRowHeight="15" x14ac:dyDescent="0.25"/>
  <cols>
    <col min="1" max="1" width="27.42578125" style="1383" customWidth="1"/>
    <col min="2" max="2" width="13.85546875" style="501" customWidth="1"/>
    <col min="3" max="3" width="11.42578125" style="1383"/>
    <col min="4" max="4" width="12.28515625" style="1383" customWidth="1"/>
    <col min="5" max="5" width="19.140625" style="1383" bestFit="1" customWidth="1"/>
    <col min="6" max="6" width="58.140625" style="1383" customWidth="1"/>
    <col min="7" max="7" width="13.42578125" style="1383" customWidth="1"/>
    <col min="8" max="8" width="13.5703125" customWidth="1"/>
    <col min="9" max="9" width="10.7109375" customWidth="1"/>
    <col min="10" max="10" width="14.140625" style="47" customWidth="1"/>
    <col min="11" max="11" width="12.7109375" customWidth="1"/>
    <col min="12" max="12" width="15.140625" customWidth="1"/>
    <col min="13" max="13" width="14.85546875" customWidth="1"/>
    <col min="14" max="14" width="15.140625" customWidth="1"/>
    <col min="18" max="18" width="16.28515625" customWidth="1"/>
    <col min="19" max="19" width="54.7109375" bestFit="1" customWidth="1"/>
    <col min="20" max="20" width="47.42578125" customWidth="1"/>
    <col min="21" max="21" width="13" customWidth="1"/>
  </cols>
  <sheetData>
    <row r="1" spans="1:14" s="11" customFormat="1" ht="15.75" thickBot="1" x14ac:dyDescent="0.3">
      <c r="A1" s="1383"/>
      <c r="B1" s="501"/>
      <c r="C1" s="1383"/>
      <c r="D1" s="1383"/>
      <c r="E1" s="1383"/>
      <c r="F1" s="1383"/>
      <c r="G1" s="1383"/>
      <c r="H1" s="47"/>
    </row>
    <row r="2" spans="1:14" s="11" customFormat="1" ht="15.75" customHeight="1" thickBot="1" x14ac:dyDescent="0.3">
      <c r="A2" s="1383"/>
      <c r="B2" s="499"/>
      <c r="C2" s="4168" t="s">
        <v>45</v>
      </c>
      <c r="D2" s="4169"/>
      <c r="E2" s="4169"/>
      <c r="F2" s="1725" t="s">
        <v>2173</v>
      </c>
      <c r="G2" s="1603" t="s">
        <v>2199</v>
      </c>
      <c r="H2" s="47"/>
      <c r="I2" s="121"/>
    </row>
    <row r="3" spans="1:14" s="11" customFormat="1" ht="30.75" thickBot="1" x14ac:dyDescent="0.3">
      <c r="A3" s="1383"/>
      <c r="B3" s="502"/>
      <c r="C3" s="2090" t="s">
        <v>2035</v>
      </c>
      <c r="D3" s="2091" t="s">
        <v>2123</v>
      </c>
      <c r="E3" s="2092" t="s">
        <v>936</v>
      </c>
      <c r="F3" s="2093" t="s">
        <v>1</v>
      </c>
      <c r="G3" s="2087" t="s">
        <v>960</v>
      </c>
      <c r="H3" s="5"/>
      <c r="K3" s="48"/>
      <c r="L3" s="1080"/>
      <c r="M3" s="1080"/>
      <c r="N3" s="1081"/>
    </row>
    <row r="4" spans="1:14" s="11" customFormat="1" ht="15.75" customHeight="1" x14ac:dyDescent="0.25">
      <c r="A4" s="1383"/>
      <c r="B4" s="4172" t="s">
        <v>585</v>
      </c>
      <c r="C4" s="4170" t="s">
        <v>263</v>
      </c>
      <c r="D4" s="577" t="s">
        <v>274</v>
      </c>
      <c r="E4" s="587">
        <v>106104164</v>
      </c>
      <c r="F4" s="801" t="s">
        <v>275</v>
      </c>
      <c r="G4" s="587">
        <v>1</v>
      </c>
      <c r="H4" s="177"/>
      <c r="I4" s="177"/>
      <c r="J4" s="177"/>
      <c r="K4" s="180"/>
      <c r="L4" s="181"/>
      <c r="M4" s="48"/>
      <c r="N4" s="1083"/>
    </row>
    <row r="5" spans="1:14" s="11" customFormat="1" ht="15.75" customHeight="1" x14ac:dyDescent="0.25">
      <c r="A5" s="1383"/>
      <c r="B5" s="4173"/>
      <c r="C5" s="4166"/>
      <c r="D5" s="578" t="s">
        <v>276</v>
      </c>
      <c r="E5" s="588">
        <v>106104211</v>
      </c>
      <c r="F5" s="1937" t="s">
        <v>277</v>
      </c>
      <c r="G5" s="588">
        <v>1</v>
      </c>
      <c r="H5" s="177"/>
      <c r="I5" s="177"/>
      <c r="J5" s="177"/>
      <c r="K5" s="180"/>
      <c r="L5" s="181"/>
      <c r="M5" s="48"/>
      <c r="N5" s="1083"/>
    </row>
    <row r="6" spans="1:14" s="11" customFormat="1" ht="15.75" customHeight="1" x14ac:dyDescent="0.25">
      <c r="A6" s="1383"/>
      <c r="B6" s="4173"/>
      <c r="C6" s="4166"/>
      <c r="D6" s="578" t="s">
        <v>279</v>
      </c>
      <c r="E6" s="588">
        <v>106106242</v>
      </c>
      <c r="F6" s="1937" t="s">
        <v>280</v>
      </c>
      <c r="G6" s="588">
        <v>1</v>
      </c>
      <c r="H6" s="177"/>
      <c r="I6" s="177"/>
      <c r="J6" s="177"/>
      <c r="K6" s="180"/>
      <c r="L6" s="181"/>
      <c r="M6" s="48"/>
      <c r="N6" s="1083"/>
    </row>
    <row r="7" spans="1:14" s="11" customFormat="1" ht="15.75" customHeight="1" thickBot="1" x14ac:dyDescent="0.3">
      <c r="A7" s="1383"/>
      <c r="B7" s="4174"/>
      <c r="C7" s="4171"/>
      <c r="D7" s="579" t="s">
        <v>278</v>
      </c>
      <c r="E7" s="589">
        <v>106104214</v>
      </c>
      <c r="F7" s="1938" t="s">
        <v>2124</v>
      </c>
      <c r="G7" s="589">
        <v>1</v>
      </c>
      <c r="H7" s="177"/>
      <c r="I7" s="177"/>
      <c r="J7" s="177"/>
      <c r="K7" s="180"/>
      <c r="L7" s="181"/>
      <c r="M7" s="48"/>
      <c r="N7" s="1083"/>
    </row>
    <row r="8" spans="1:14" s="11" customFormat="1" ht="15.75" customHeight="1" x14ac:dyDescent="0.25">
      <c r="A8" s="1383"/>
      <c r="B8" s="4172" t="s">
        <v>586</v>
      </c>
      <c r="C8" s="4170" t="s">
        <v>305</v>
      </c>
      <c r="D8" s="580" t="s">
        <v>301</v>
      </c>
      <c r="E8" s="590">
        <v>106104092</v>
      </c>
      <c r="F8" s="1939" t="s">
        <v>302</v>
      </c>
      <c r="G8" s="590">
        <v>1</v>
      </c>
      <c r="H8" s="177"/>
      <c r="I8" s="177"/>
      <c r="J8" s="177"/>
      <c r="K8" s="180"/>
      <c r="L8" s="181"/>
      <c r="M8" s="48"/>
      <c r="N8" s="1083"/>
    </row>
    <row r="9" spans="1:14" s="11" customFormat="1" ht="15.75" customHeight="1" x14ac:dyDescent="0.25">
      <c r="A9" s="1383"/>
      <c r="B9" s="4173"/>
      <c r="C9" s="4166"/>
      <c r="D9" s="580" t="s">
        <v>290</v>
      </c>
      <c r="E9" s="590">
        <v>106111802</v>
      </c>
      <c r="F9" s="1940" t="s">
        <v>2125</v>
      </c>
      <c r="G9" s="590">
        <v>1</v>
      </c>
      <c r="H9" s="177"/>
      <c r="I9" s="177"/>
      <c r="J9" s="177"/>
      <c r="K9" s="180"/>
      <c r="L9" s="181"/>
      <c r="M9" s="48"/>
      <c r="N9" s="1083"/>
    </row>
    <row r="10" spans="1:14" s="11" customFormat="1" ht="15.75" customHeight="1" x14ac:dyDescent="0.25">
      <c r="A10" s="1383"/>
      <c r="B10" s="4173"/>
      <c r="C10" s="4166"/>
      <c r="D10" s="580" t="s">
        <v>307</v>
      </c>
      <c r="E10" s="590">
        <v>106109799</v>
      </c>
      <c r="F10" s="1939" t="s">
        <v>308</v>
      </c>
      <c r="G10" s="590">
        <v>2</v>
      </c>
      <c r="H10" s="177"/>
      <c r="I10" s="177"/>
      <c r="J10" s="177"/>
      <c r="K10" s="180"/>
      <c r="L10" s="181"/>
      <c r="M10" s="48"/>
      <c r="N10" s="1083"/>
    </row>
    <row r="11" spans="1:14" s="11" customFormat="1" ht="15.75" customHeight="1" thickBot="1" x14ac:dyDescent="0.3">
      <c r="A11" s="1383"/>
      <c r="B11" s="4174"/>
      <c r="C11" s="4167"/>
      <c r="D11" s="581" t="s">
        <v>292</v>
      </c>
      <c r="E11" s="591">
        <v>106111805</v>
      </c>
      <c r="F11" s="1941" t="s">
        <v>309</v>
      </c>
      <c r="G11" s="591">
        <v>1</v>
      </c>
      <c r="H11" s="177"/>
      <c r="I11" s="177"/>
      <c r="J11" s="177"/>
      <c r="K11" s="180"/>
      <c r="L11" s="181"/>
      <c r="M11" s="48"/>
      <c r="N11" s="1083"/>
    </row>
    <row r="12" spans="1:14" s="11" customFormat="1" ht="15.75" customHeight="1" x14ac:dyDescent="0.25">
      <c r="A12" s="1383"/>
      <c r="B12" s="4172" t="s">
        <v>587</v>
      </c>
      <c r="C12" s="4165" t="s">
        <v>310</v>
      </c>
      <c r="D12" s="582" t="s">
        <v>67</v>
      </c>
      <c r="E12" s="592">
        <v>106104093</v>
      </c>
      <c r="F12" s="1942" t="s">
        <v>1057</v>
      </c>
      <c r="G12" s="592">
        <v>1</v>
      </c>
      <c r="H12" s="177"/>
      <c r="I12" s="177"/>
      <c r="J12" s="177"/>
      <c r="K12" s="180"/>
      <c r="L12" s="181"/>
      <c r="M12" s="48"/>
      <c r="N12" s="1083"/>
    </row>
    <row r="13" spans="1:14" s="11" customFormat="1" ht="15.75" customHeight="1" thickBot="1" x14ac:dyDescent="0.3">
      <c r="A13" s="1383"/>
      <c r="B13" s="4173"/>
      <c r="C13" s="4167"/>
      <c r="D13" s="582" t="s">
        <v>65</v>
      </c>
      <c r="E13" s="592">
        <v>106104223</v>
      </c>
      <c r="F13" s="1942" t="s">
        <v>92</v>
      </c>
      <c r="G13" s="592">
        <v>1</v>
      </c>
      <c r="H13" s="177"/>
      <c r="I13" s="177"/>
      <c r="J13" s="177"/>
      <c r="K13" s="180"/>
      <c r="L13" s="181"/>
      <c r="M13" s="48"/>
      <c r="N13" s="1083"/>
    </row>
    <row r="14" spans="1:14" s="11" customFormat="1" ht="15.75" customHeight="1" x14ac:dyDescent="0.25">
      <c r="A14" s="1383"/>
      <c r="B14" s="4173"/>
      <c r="C14" s="4165" t="s">
        <v>311</v>
      </c>
      <c r="D14" s="583" t="s">
        <v>312</v>
      </c>
      <c r="E14" s="593">
        <v>106104093</v>
      </c>
      <c r="F14" s="1943" t="s">
        <v>1057</v>
      </c>
      <c r="G14" s="593">
        <v>1</v>
      </c>
      <c r="H14" s="177"/>
      <c r="I14" s="177"/>
      <c r="J14" s="177"/>
      <c r="K14" s="180"/>
      <c r="L14" s="181"/>
      <c r="M14" s="48"/>
      <c r="N14" s="1083"/>
    </row>
    <row r="15" spans="1:14" s="11" customFormat="1" ht="15.75" customHeight="1" thickBot="1" x14ac:dyDescent="0.3">
      <c r="A15" s="1383"/>
      <c r="B15" s="4173"/>
      <c r="C15" s="4167"/>
      <c r="D15" s="583" t="s">
        <v>285</v>
      </c>
      <c r="E15" s="593">
        <v>106104219</v>
      </c>
      <c r="F15" s="1943" t="s">
        <v>96</v>
      </c>
      <c r="G15" s="593">
        <v>1</v>
      </c>
      <c r="H15" s="177"/>
      <c r="I15" s="177"/>
      <c r="J15" s="177"/>
      <c r="K15" s="180"/>
      <c r="L15" s="181"/>
      <c r="M15" s="48"/>
      <c r="N15" s="1083"/>
    </row>
    <row r="16" spans="1:14" s="11" customFormat="1" ht="15.75" customHeight="1" x14ac:dyDescent="0.25">
      <c r="A16" s="1383"/>
      <c r="B16" s="4173"/>
      <c r="C16" s="4165" t="s">
        <v>313</v>
      </c>
      <c r="D16" s="584" t="s">
        <v>314</v>
      </c>
      <c r="E16" s="594">
        <v>106104093</v>
      </c>
      <c r="F16" s="1944" t="s">
        <v>1057</v>
      </c>
      <c r="G16" s="594">
        <v>1</v>
      </c>
      <c r="H16" s="177"/>
      <c r="I16" s="177"/>
      <c r="J16" s="177"/>
      <c r="K16" s="180"/>
      <c r="L16" s="181"/>
      <c r="M16" s="48"/>
      <c r="N16" s="1083"/>
    </row>
    <row r="17" spans="1:14" s="11" customFormat="1" ht="15.75" customHeight="1" thickBot="1" x14ac:dyDescent="0.3">
      <c r="A17" s="1383"/>
      <c r="B17" s="4174"/>
      <c r="C17" s="4167"/>
      <c r="D17" s="584" t="s">
        <v>286</v>
      </c>
      <c r="E17" s="594">
        <v>106104221</v>
      </c>
      <c r="F17" s="1944" t="s">
        <v>151</v>
      </c>
      <c r="G17" s="594">
        <v>1</v>
      </c>
      <c r="H17" s="177"/>
      <c r="I17" s="177"/>
      <c r="J17" s="177"/>
      <c r="K17" s="180"/>
      <c r="L17" s="181"/>
      <c r="M17" s="48"/>
      <c r="N17" s="1083"/>
    </row>
    <row r="18" spans="1:14" s="11" customFormat="1" ht="15.75" customHeight="1" x14ac:dyDescent="0.25">
      <c r="A18" s="1383"/>
      <c r="B18" s="1798" t="s">
        <v>588</v>
      </c>
      <c r="C18" s="4165" t="s">
        <v>315</v>
      </c>
      <c r="D18" s="585" t="s">
        <v>21</v>
      </c>
      <c r="E18" s="595">
        <v>106104110</v>
      </c>
      <c r="F18" s="1945" t="s">
        <v>316</v>
      </c>
      <c r="G18" s="595">
        <v>1</v>
      </c>
      <c r="H18" s="177"/>
      <c r="I18" s="177"/>
      <c r="J18" s="177"/>
      <c r="K18" s="180"/>
      <c r="L18" s="181"/>
      <c r="M18" s="48"/>
      <c r="N18" s="1083"/>
    </row>
    <row r="19" spans="1:14" s="11" customFormat="1" ht="15.75" customHeight="1" x14ac:dyDescent="0.25">
      <c r="A19" s="1383"/>
      <c r="B19" s="503"/>
      <c r="C19" s="4166"/>
      <c r="D19" s="585" t="s">
        <v>281</v>
      </c>
      <c r="E19" s="595">
        <v>106104081</v>
      </c>
      <c r="F19" s="1945" t="s">
        <v>317</v>
      </c>
      <c r="G19" s="595">
        <v>1</v>
      </c>
      <c r="H19" s="177"/>
      <c r="I19" s="177"/>
      <c r="J19" s="177"/>
      <c r="K19" s="180"/>
      <c r="L19" s="181"/>
      <c r="M19" s="48"/>
      <c r="N19" s="1083"/>
    </row>
    <row r="20" spans="1:14" s="11" customFormat="1" ht="15.75" customHeight="1" x14ac:dyDescent="0.25">
      <c r="A20" s="1383"/>
      <c r="B20" s="503"/>
      <c r="C20" s="4166"/>
      <c r="D20" s="585" t="s">
        <v>283</v>
      </c>
      <c r="E20" s="595">
        <v>106104094</v>
      </c>
      <c r="F20" s="1945" t="s">
        <v>318</v>
      </c>
      <c r="G20" s="595">
        <v>1</v>
      </c>
      <c r="H20" s="177"/>
      <c r="I20" s="177"/>
      <c r="J20" s="177"/>
      <c r="K20" s="180"/>
      <c r="L20" s="181"/>
      <c r="M20" s="48"/>
      <c r="N20" s="1083"/>
    </row>
    <row r="21" spans="1:14" s="11" customFormat="1" ht="15.75" customHeight="1" thickBot="1" x14ac:dyDescent="0.3">
      <c r="A21" s="1383"/>
      <c r="B21" s="504"/>
      <c r="C21" s="4167"/>
      <c r="D21" s="585" t="s">
        <v>64</v>
      </c>
      <c r="E21" s="595">
        <v>106104128</v>
      </c>
      <c r="F21" s="1945" t="s">
        <v>154</v>
      </c>
      <c r="G21" s="595">
        <v>1</v>
      </c>
      <c r="H21" s="177"/>
      <c r="I21" s="177"/>
      <c r="J21" s="177"/>
      <c r="K21" s="180"/>
      <c r="L21" s="181"/>
      <c r="M21" s="48"/>
      <c r="N21" s="1083"/>
    </row>
    <row r="22" spans="1:14" s="11" customFormat="1" ht="15.75" customHeight="1" x14ac:dyDescent="0.25">
      <c r="A22" s="1383"/>
      <c r="B22" s="503" t="s">
        <v>647</v>
      </c>
      <c r="C22" s="576"/>
      <c r="D22" s="515" t="s">
        <v>271</v>
      </c>
      <c r="E22" s="596">
        <v>106120457</v>
      </c>
      <c r="F22" s="1946" t="s">
        <v>272</v>
      </c>
      <c r="G22" s="596">
        <v>2</v>
      </c>
      <c r="H22" s="177"/>
      <c r="I22" s="177"/>
      <c r="J22" s="177"/>
      <c r="K22" s="180"/>
      <c r="L22" s="181"/>
      <c r="M22" s="48"/>
      <c r="N22" s="1083"/>
    </row>
    <row r="23" spans="1:14" s="11" customFormat="1" ht="15.75" customHeight="1" x14ac:dyDescent="0.25">
      <c r="A23" s="1383"/>
      <c r="B23" s="503" t="s">
        <v>647</v>
      </c>
      <c r="C23" s="571"/>
      <c r="D23" s="515" t="s">
        <v>287</v>
      </c>
      <c r="E23" s="596">
        <v>106105422</v>
      </c>
      <c r="F23" s="1946" t="s">
        <v>288</v>
      </c>
      <c r="G23" s="596">
        <v>3</v>
      </c>
      <c r="H23" s="177"/>
      <c r="I23" s="177"/>
      <c r="J23" s="177"/>
      <c r="K23" s="180"/>
      <c r="L23" s="181"/>
      <c r="M23" s="48"/>
      <c r="N23" s="1083"/>
    </row>
    <row r="24" spans="1:14" s="11" customFormat="1" ht="15.75" customHeight="1" x14ac:dyDescent="0.25">
      <c r="A24" s="1383"/>
      <c r="B24" s="503" t="s">
        <v>647</v>
      </c>
      <c r="C24" s="571"/>
      <c r="D24" s="515" t="s">
        <v>29</v>
      </c>
      <c r="E24" s="596">
        <v>106111793</v>
      </c>
      <c r="F24" s="1946" t="s">
        <v>320</v>
      </c>
      <c r="G24" s="596">
        <v>1</v>
      </c>
      <c r="H24" s="177"/>
      <c r="I24" s="177"/>
      <c r="J24" s="177"/>
      <c r="K24" s="180"/>
      <c r="L24" s="181"/>
      <c r="M24" s="48"/>
      <c r="N24" s="1083"/>
    </row>
    <row r="25" spans="1:14" s="11" customFormat="1" ht="15.75" customHeight="1" x14ac:dyDescent="0.25">
      <c r="A25" s="1383"/>
      <c r="B25" s="503" t="s">
        <v>647</v>
      </c>
      <c r="C25" s="571"/>
      <c r="D25" s="3805" t="s">
        <v>41</v>
      </c>
      <c r="E25" s="596">
        <v>106112529</v>
      </c>
      <c r="F25" s="1947" t="s">
        <v>321</v>
      </c>
      <c r="G25" s="596">
        <v>1</v>
      </c>
      <c r="H25" s="177"/>
      <c r="I25" s="177"/>
      <c r="J25" s="177"/>
      <c r="K25" s="180"/>
      <c r="L25" s="181"/>
      <c r="M25" s="48"/>
      <c r="N25" s="1083"/>
    </row>
    <row r="26" spans="1:14" s="11" customFormat="1" ht="15.75" customHeight="1" x14ac:dyDescent="0.25">
      <c r="A26" s="1383"/>
      <c r="B26" s="503" t="s">
        <v>590</v>
      </c>
      <c r="C26" s="571"/>
      <c r="D26" s="515" t="s">
        <v>40</v>
      </c>
      <c r="E26" s="596">
        <v>106200771</v>
      </c>
      <c r="F26" s="1946" t="s">
        <v>322</v>
      </c>
      <c r="G26" s="596">
        <v>1</v>
      </c>
      <c r="H26" s="177"/>
      <c r="I26" s="177"/>
      <c r="J26" s="177"/>
      <c r="K26" s="180"/>
      <c r="L26" s="181"/>
      <c r="M26" s="48"/>
      <c r="N26" s="1083"/>
    </row>
    <row r="27" spans="1:14" s="11" customFormat="1" ht="15.75" customHeight="1" x14ac:dyDescent="0.25">
      <c r="A27" s="373" t="s">
        <v>499</v>
      </c>
      <c r="B27" s="505" t="s">
        <v>591</v>
      </c>
      <c r="C27" s="571"/>
      <c r="D27" s="515" t="s">
        <v>645</v>
      </c>
      <c r="E27" s="575">
        <v>106114701</v>
      </c>
      <c r="F27" s="1946" t="s">
        <v>273</v>
      </c>
      <c r="G27" s="596">
        <v>1</v>
      </c>
      <c r="H27" s="177"/>
      <c r="I27" s="177"/>
      <c r="J27" s="177"/>
      <c r="K27" s="1085"/>
      <c r="L27" s="181"/>
      <c r="M27" s="48"/>
      <c r="N27" s="1083"/>
    </row>
    <row r="28" spans="1:14" s="219" customFormat="1" ht="15" customHeight="1" x14ac:dyDescent="0.25">
      <c r="A28" s="373" t="s">
        <v>501</v>
      </c>
      <c r="B28" s="505" t="s">
        <v>591</v>
      </c>
      <c r="C28" s="571"/>
      <c r="D28" s="586" t="s">
        <v>289</v>
      </c>
      <c r="E28" s="422">
        <v>106111795</v>
      </c>
      <c r="F28" s="1948" t="s">
        <v>550</v>
      </c>
      <c r="G28" s="422">
        <v>1</v>
      </c>
      <c r="H28" s="409"/>
      <c r="I28" s="409"/>
      <c r="J28" s="409"/>
      <c r="K28" s="1089"/>
      <c r="L28" s="1090"/>
      <c r="M28" s="275"/>
      <c r="N28" s="1083"/>
    </row>
    <row r="29" spans="1:14" s="11" customFormat="1" ht="15.75" customHeight="1" x14ac:dyDescent="0.25">
      <c r="A29" s="373" t="s">
        <v>502</v>
      </c>
      <c r="B29" s="503"/>
      <c r="C29" s="571"/>
      <c r="D29" s="515" t="s">
        <v>138</v>
      </c>
      <c r="E29" s="596">
        <v>106104101</v>
      </c>
      <c r="F29" s="1946" t="s">
        <v>162</v>
      </c>
      <c r="G29" s="596">
        <v>1</v>
      </c>
      <c r="H29" s="177"/>
      <c r="I29" s="177"/>
      <c r="J29" s="177"/>
      <c r="K29" s="180"/>
      <c r="L29" s="181"/>
      <c r="M29" s="48"/>
      <c r="N29" s="1083"/>
    </row>
    <row r="30" spans="1:14" s="11" customFormat="1" ht="15.75" customHeight="1" x14ac:dyDescent="0.25">
      <c r="A30" s="373" t="s">
        <v>500</v>
      </c>
      <c r="B30" s="503" t="s">
        <v>647</v>
      </c>
      <c r="C30" s="571"/>
      <c r="D30" s="515" t="s">
        <v>298</v>
      </c>
      <c r="E30" s="596">
        <v>106105038</v>
      </c>
      <c r="F30" s="1946" t="s">
        <v>299</v>
      </c>
      <c r="G30" s="596">
        <v>3</v>
      </c>
      <c r="H30" s="178"/>
      <c r="I30" s="178"/>
      <c r="J30" s="178"/>
      <c r="K30" s="180"/>
      <c r="L30" s="181"/>
      <c r="M30" s="48"/>
      <c r="N30" s="1083"/>
    </row>
    <row r="31" spans="1:14" s="11" customFormat="1" ht="15.75" customHeight="1" x14ac:dyDescent="0.25">
      <c r="A31" s="1383"/>
      <c r="B31" s="503" t="s">
        <v>647</v>
      </c>
      <c r="C31" s="571"/>
      <c r="D31" s="515" t="s">
        <v>323</v>
      </c>
      <c r="E31" s="596">
        <v>106112525</v>
      </c>
      <c r="F31" s="1946" t="s">
        <v>300</v>
      </c>
      <c r="G31" s="596">
        <v>3</v>
      </c>
      <c r="H31" s="178"/>
      <c r="I31" s="178"/>
      <c r="J31" s="178"/>
      <c r="K31" s="180"/>
      <c r="L31" s="181"/>
      <c r="M31" s="48"/>
      <c r="N31" s="1083"/>
    </row>
    <row r="32" spans="1:14" s="11" customFormat="1" ht="15.75" customHeight="1" x14ac:dyDescent="0.25">
      <c r="A32" s="1383"/>
      <c r="B32" s="503"/>
      <c r="C32" s="1796"/>
      <c r="D32" s="418"/>
      <c r="E32" s="1593">
        <v>106107580</v>
      </c>
      <c r="F32" s="1946" t="s">
        <v>1277</v>
      </c>
      <c r="G32" s="1581">
        <v>3</v>
      </c>
      <c r="K32" s="939"/>
      <c r="L32" s="60"/>
      <c r="M32" s="48"/>
      <c r="N32" s="1083"/>
    </row>
    <row r="33" spans="1:14" s="11" customFormat="1" ht="15.75" customHeight="1" x14ac:dyDescent="0.25">
      <c r="A33" s="1383"/>
      <c r="B33" s="503" t="s">
        <v>647</v>
      </c>
      <c r="C33" s="571"/>
      <c r="D33" s="156"/>
      <c r="E33" s="597">
        <v>106112712</v>
      </c>
      <c r="F33" s="1383" t="s">
        <v>683</v>
      </c>
      <c r="G33" s="575">
        <v>3</v>
      </c>
      <c r="K33" s="1086"/>
      <c r="L33" s="48"/>
      <c r="M33" s="48"/>
      <c r="N33" s="1083"/>
    </row>
    <row r="34" spans="1:14" s="11" customFormat="1" ht="15.75" customHeight="1" thickBot="1" x14ac:dyDescent="0.3">
      <c r="A34" s="1383"/>
      <c r="B34" s="504"/>
      <c r="C34" s="572"/>
      <c r="D34" s="515" t="s">
        <v>196</v>
      </c>
      <c r="E34" s="598">
        <v>106201346</v>
      </c>
      <c r="F34" s="1947" t="s">
        <v>2126</v>
      </c>
      <c r="G34" s="598">
        <v>1</v>
      </c>
      <c r="H34" s="178"/>
      <c r="I34" s="178"/>
      <c r="J34" s="178"/>
      <c r="K34" s="180"/>
      <c r="L34" s="181"/>
      <c r="M34" s="48"/>
      <c r="N34" s="1083"/>
    </row>
    <row r="35" spans="1:14" s="225" customFormat="1" ht="15.75" customHeight="1" thickBot="1" x14ac:dyDescent="0.3">
      <c r="A35" s="1342"/>
      <c r="B35" s="504"/>
      <c r="C35" s="133"/>
      <c r="D35" s="256" t="str">
        <f>IF($F$2=$H$41,D41,IF($F$2=$H$40,D40))</f>
        <v>AAS7102</v>
      </c>
      <c r="E35" s="405">
        <f>IF($F$2=$H$41,E41,IF($F$2=$H$40,E40))</f>
        <v>106200856</v>
      </c>
      <c r="F35" s="256" t="str">
        <f>IF($F$2=$H$41,F41,IF($F$2=$H$40,F40))</f>
        <v>VARIADOR Ingecon Sun 60</v>
      </c>
      <c r="G35" s="139">
        <v>1</v>
      </c>
      <c r="I35" s="182"/>
      <c r="J35" s="179"/>
      <c r="K35" s="1088"/>
      <c r="L35" s="183"/>
      <c r="M35" s="180"/>
      <c r="N35" s="1083"/>
    </row>
    <row r="36" spans="1:14" s="11" customFormat="1" x14ac:dyDescent="0.25">
      <c r="A36" s="1383"/>
      <c r="B36" s="501"/>
      <c r="C36" s="1383"/>
      <c r="D36" s="1383"/>
      <c r="E36" s="1383"/>
      <c r="F36" s="1383"/>
      <c r="G36" s="1383"/>
      <c r="J36" s="47"/>
    </row>
    <row r="37" spans="1:14" s="11" customFormat="1" ht="15.75" thickBot="1" x14ac:dyDescent="0.3">
      <c r="A37" s="1383"/>
      <c r="B37" s="501"/>
      <c r="C37" s="1383"/>
      <c r="D37" s="1383"/>
      <c r="E37" s="40" t="s">
        <v>148</v>
      </c>
      <c r="F37" s="1383"/>
      <c r="G37" s="1383"/>
      <c r="J37" s="47"/>
    </row>
    <row r="38" spans="1:14" s="11" customFormat="1" ht="15.75" thickBot="1" x14ac:dyDescent="0.3">
      <c r="A38" s="1383"/>
      <c r="B38" s="506"/>
      <c r="C38" s="4135" t="s">
        <v>11</v>
      </c>
      <c r="D38" s="4138"/>
      <c r="E38" s="4138"/>
      <c r="F38" s="4138"/>
      <c r="G38" s="4138"/>
      <c r="H38" s="4139"/>
      <c r="J38" s="47"/>
    </row>
    <row r="39" spans="1:14" s="11" customFormat="1" ht="38.25" customHeight="1" thickBot="1" x14ac:dyDescent="0.3">
      <c r="A39" s="1383"/>
      <c r="B39" s="500"/>
      <c r="C39" s="6"/>
      <c r="D39" s="6"/>
      <c r="E39" s="131" t="s">
        <v>13</v>
      </c>
      <c r="F39" s="6" t="s">
        <v>1</v>
      </c>
      <c r="G39" s="7"/>
      <c r="H39" s="7" t="s">
        <v>8</v>
      </c>
    </row>
    <row r="40" spans="1:14" s="11" customFormat="1" ht="15.75" thickBot="1" x14ac:dyDescent="0.3">
      <c r="A40" s="1383"/>
      <c r="B40" s="456"/>
      <c r="C40" s="135"/>
      <c r="D40" s="134" t="s">
        <v>46</v>
      </c>
      <c r="E40" s="405">
        <v>106203418</v>
      </c>
      <c r="F40" s="137" t="s">
        <v>514</v>
      </c>
      <c r="G40" s="136">
        <v>1</v>
      </c>
      <c r="H40" s="1583" t="s">
        <v>2172</v>
      </c>
    </row>
    <row r="41" spans="1:14" s="11" customFormat="1" ht="15.75" thickBot="1" x14ac:dyDescent="0.3">
      <c r="A41" s="1383"/>
      <c r="B41" s="457"/>
      <c r="C41" s="135"/>
      <c r="D41" s="134" t="s">
        <v>31</v>
      </c>
      <c r="E41" s="405">
        <v>106200856</v>
      </c>
      <c r="F41" s="137" t="s">
        <v>515</v>
      </c>
      <c r="G41" s="136">
        <v>1</v>
      </c>
      <c r="H41" s="1583" t="s">
        <v>2173</v>
      </c>
    </row>
    <row r="42" spans="1:14" s="11" customFormat="1" x14ac:dyDescent="0.25">
      <c r="A42" s="1383"/>
      <c r="B42" s="501"/>
      <c r="C42" s="1383"/>
      <c r="D42" s="1383"/>
      <c r="E42" s="1383"/>
      <c r="F42" s="1383"/>
      <c r="G42" s="1383"/>
      <c r="K42" s="47"/>
    </row>
    <row r="43" spans="1:14" s="11" customFormat="1" ht="15.75" thickBot="1" x14ac:dyDescent="0.3">
      <c r="A43" s="1383"/>
      <c r="B43" s="501"/>
      <c r="C43" s="1383"/>
      <c r="D43" s="1383"/>
      <c r="E43" s="1383"/>
      <c r="F43" s="1383"/>
      <c r="G43" s="1383"/>
      <c r="H43" s="47"/>
    </row>
    <row r="44" spans="1:14" ht="19.5" customHeight="1" thickBot="1" x14ac:dyDescent="0.3">
      <c r="B44" s="499"/>
      <c r="C44" s="4168" t="s">
        <v>45</v>
      </c>
      <c r="D44" s="4169"/>
      <c r="E44" s="4169"/>
      <c r="F44" s="1725" t="s">
        <v>2174</v>
      </c>
      <c r="G44" s="1603" t="s">
        <v>2199</v>
      </c>
      <c r="H44" s="47"/>
      <c r="I44" s="121"/>
      <c r="J44" s="9"/>
    </row>
    <row r="45" spans="1:14" ht="30.75" thickBot="1" x14ac:dyDescent="0.3">
      <c r="B45" s="502"/>
      <c r="C45" s="2090" t="s">
        <v>2035</v>
      </c>
      <c r="D45" s="2091" t="s">
        <v>2123</v>
      </c>
      <c r="E45" s="2092" t="s">
        <v>9</v>
      </c>
      <c r="F45" s="2093" t="s">
        <v>1</v>
      </c>
      <c r="G45" s="2087" t="s">
        <v>960</v>
      </c>
      <c r="H45" s="5"/>
      <c r="J45"/>
    </row>
    <row r="46" spans="1:14" ht="15.75" customHeight="1" x14ac:dyDescent="0.25">
      <c r="B46" s="4172" t="s">
        <v>585</v>
      </c>
      <c r="C46" s="4170" t="s">
        <v>263</v>
      </c>
      <c r="D46" s="197" t="s">
        <v>274</v>
      </c>
      <c r="E46" s="187">
        <v>106104164</v>
      </c>
      <c r="F46" s="207" t="s">
        <v>275</v>
      </c>
      <c r="G46" s="187">
        <v>1</v>
      </c>
      <c r="H46" s="177"/>
      <c r="I46" s="177"/>
      <c r="J46" s="177"/>
      <c r="K46" s="177"/>
      <c r="L46" s="177"/>
      <c r="M46" s="144"/>
    </row>
    <row r="47" spans="1:14" ht="15.75" customHeight="1" x14ac:dyDescent="0.25">
      <c r="B47" s="4173"/>
      <c r="C47" s="4166"/>
      <c r="D47" s="198" t="s">
        <v>276</v>
      </c>
      <c r="E47" s="188">
        <v>106104211</v>
      </c>
      <c r="F47" s="208" t="s">
        <v>277</v>
      </c>
      <c r="G47" s="188">
        <v>1</v>
      </c>
      <c r="H47" s="177"/>
      <c r="I47" s="177"/>
      <c r="J47" s="177"/>
      <c r="K47" s="177"/>
      <c r="L47" s="177"/>
      <c r="M47" s="144"/>
    </row>
    <row r="48" spans="1:14" ht="15.75" customHeight="1" x14ac:dyDescent="0.25">
      <c r="B48" s="4173"/>
      <c r="C48" s="4166"/>
      <c r="D48" s="198" t="s">
        <v>279</v>
      </c>
      <c r="E48" s="188">
        <v>106106242</v>
      </c>
      <c r="F48" s="208" t="s">
        <v>280</v>
      </c>
      <c r="G48" s="188">
        <v>1</v>
      </c>
      <c r="H48" s="177"/>
      <c r="I48" s="177"/>
      <c r="J48" s="177"/>
      <c r="K48" s="177"/>
      <c r="L48" s="177"/>
      <c r="M48" s="144"/>
    </row>
    <row r="49" spans="2:13" ht="15.75" customHeight="1" thickBot="1" x14ac:dyDescent="0.3">
      <c r="B49" s="4174"/>
      <c r="C49" s="4171"/>
      <c r="D49" s="199" t="s">
        <v>278</v>
      </c>
      <c r="E49" s="189">
        <v>106104214</v>
      </c>
      <c r="F49" s="209" t="s">
        <v>2124</v>
      </c>
      <c r="G49" s="189">
        <v>1</v>
      </c>
      <c r="H49" s="177"/>
      <c r="I49" s="177"/>
      <c r="J49" s="177"/>
      <c r="K49" s="177"/>
      <c r="L49" s="177"/>
      <c r="M49" s="144"/>
    </row>
    <row r="50" spans="2:13" ht="15.75" customHeight="1" x14ac:dyDescent="0.25">
      <c r="B50" s="4172" t="s">
        <v>586</v>
      </c>
      <c r="C50" s="4170" t="s">
        <v>305</v>
      </c>
      <c r="D50" s="200" t="s">
        <v>301</v>
      </c>
      <c r="E50" s="190">
        <v>106104092</v>
      </c>
      <c r="F50" s="210" t="s">
        <v>302</v>
      </c>
      <c r="G50" s="190">
        <v>1</v>
      </c>
      <c r="H50" s="177"/>
      <c r="I50" s="177"/>
      <c r="J50" s="177"/>
      <c r="K50" s="177"/>
      <c r="L50" s="177"/>
      <c r="M50" s="144"/>
    </row>
    <row r="51" spans="2:13" ht="15.75" customHeight="1" x14ac:dyDescent="0.25">
      <c r="B51" s="4173"/>
      <c r="C51" s="4166"/>
      <c r="D51" s="200" t="s">
        <v>290</v>
      </c>
      <c r="E51" s="190">
        <v>106111802</v>
      </c>
      <c r="F51" s="210" t="s">
        <v>2125</v>
      </c>
      <c r="G51" s="190">
        <v>1</v>
      </c>
      <c r="H51" s="177"/>
      <c r="I51" s="177"/>
      <c r="J51" s="177"/>
      <c r="K51" s="177"/>
      <c r="L51" s="177"/>
      <c r="M51" s="144"/>
    </row>
    <row r="52" spans="2:13" ht="15.75" customHeight="1" x14ac:dyDescent="0.25">
      <c r="B52" s="4173"/>
      <c r="C52" s="4166"/>
      <c r="D52" s="200" t="s">
        <v>307</v>
      </c>
      <c r="E52" s="190">
        <v>106109799</v>
      </c>
      <c r="F52" s="210" t="s">
        <v>308</v>
      </c>
      <c r="G52" s="190">
        <v>2</v>
      </c>
      <c r="H52" s="177"/>
      <c r="I52" s="177"/>
      <c r="J52" s="177"/>
      <c r="K52" s="177"/>
      <c r="L52" s="177"/>
      <c r="M52" s="144"/>
    </row>
    <row r="53" spans="2:13" ht="32.25" customHeight="1" thickBot="1" x14ac:dyDescent="0.3">
      <c r="B53" s="4174"/>
      <c r="C53" s="4167"/>
      <c r="D53" s="201" t="s">
        <v>292</v>
      </c>
      <c r="E53" s="191" t="s">
        <v>663</v>
      </c>
      <c r="F53" s="211" t="s">
        <v>309</v>
      </c>
      <c r="G53" s="191">
        <v>1</v>
      </c>
      <c r="H53" s="177"/>
      <c r="I53" s="177"/>
      <c r="J53" s="177"/>
      <c r="K53" s="177"/>
      <c r="L53" s="177"/>
      <c r="M53" s="144"/>
    </row>
    <row r="54" spans="2:13" ht="15.75" customHeight="1" x14ac:dyDescent="0.25">
      <c r="B54" s="4172" t="s">
        <v>587</v>
      </c>
      <c r="C54" s="4165" t="s">
        <v>310</v>
      </c>
      <c r="D54" s="202" t="s">
        <v>67</v>
      </c>
      <c r="E54" s="192">
        <v>106104093</v>
      </c>
      <c r="F54" s="212" t="s">
        <v>1057</v>
      </c>
      <c r="G54" s="192">
        <v>1</v>
      </c>
      <c r="H54" s="177"/>
      <c r="I54" s="177"/>
      <c r="J54" s="177"/>
      <c r="K54" s="177"/>
      <c r="L54" s="177"/>
      <c r="M54" s="144"/>
    </row>
    <row r="55" spans="2:13" ht="15.75" customHeight="1" thickBot="1" x14ac:dyDescent="0.3">
      <c r="B55" s="4173"/>
      <c r="C55" s="4167"/>
      <c r="D55" s="202" t="s">
        <v>65</v>
      </c>
      <c r="E55" s="192">
        <v>106104223</v>
      </c>
      <c r="F55" s="212" t="s">
        <v>92</v>
      </c>
      <c r="G55" s="192">
        <v>1</v>
      </c>
      <c r="H55" s="177"/>
      <c r="I55" s="177"/>
      <c r="J55" s="177"/>
      <c r="K55" s="177"/>
      <c r="L55" s="177"/>
      <c r="M55" s="144"/>
    </row>
    <row r="56" spans="2:13" ht="15.75" customHeight="1" x14ac:dyDescent="0.25">
      <c r="B56" s="4173"/>
      <c r="C56" s="4165" t="s">
        <v>311</v>
      </c>
      <c r="D56" s="203" t="s">
        <v>312</v>
      </c>
      <c r="E56" s="193">
        <v>106104093</v>
      </c>
      <c r="F56" s="213" t="s">
        <v>1057</v>
      </c>
      <c r="G56" s="193">
        <v>1</v>
      </c>
      <c r="H56" s="177"/>
      <c r="I56" s="177"/>
      <c r="J56" s="177"/>
      <c r="K56" s="177"/>
      <c r="L56" s="177"/>
      <c r="M56" s="144"/>
    </row>
    <row r="57" spans="2:13" ht="15.75" customHeight="1" thickBot="1" x14ac:dyDescent="0.3">
      <c r="B57" s="4173"/>
      <c r="C57" s="4167"/>
      <c r="D57" s="203" t="s">
        <v>285</v>
      </c>
      <c r="E57" s="193">
        <v>106104219</v>
      </c>
      <c r="F57" s="213" t="s">
        <v>96</v>
      </c>
      <c r="G57" s="193">
        <v>1</v>
      </c>
      <c r="H57" s="177"/>
      <c r="I57" s="177"/>
      <c r="J57" s="177"/>
      <c r="K57" s="177"/>
      <c r="L57" s="177"/>
      <c r="M57" s="144"/>
    </row>
    <row r="58" spans="2:13" ht="15.75" customHeight="1" x14ac:dyDescent="0.25">
      <c r="B58" s="4173"/>
      <c r="C58" s="4165" t="s">
        <v>313</v>
      </c>
      <c r="D58" s="204" t="s">
        <v>314</v>
      </c>
      <c r="E58" s="194">
        <v>106104093</v>
      </c>
      <c r="F58" s="214" t="s">
        <v>1057</v>
      </c>
      <c r="G58" s="194">
        <v>1</v>
      </c>
      <c r="H58" s="177"/>
      <c r="I58" s="177"/>
      <c r="J58" s="177"/>
      <c r="K58" s="177"/>
      <c r="L58" s="177"/>
      <c r="M58" s="144"/>
    </row>
    <row r="59" spans="2:13" ht="15.75" customHeight="1" thickBot="1" x14ac:dyDescent="0.3">
      <c r="B59" s="4174"/>
      <c r="C59" s="4167"/>
      <c r="D59" s="204" t="s">
        <v>286</v>
      </c>
      <c r="E59" s="194">
        <v>106104221</v>
      </c>
      <c r="F59" s="214" t="s">
        <v>151</v>
      </c>
      <c r="G59" s="194">
        <v>1</v>
      </c>
      <c r="H59" s="177"/>
      <c r="I59" s="177"/>
      <c r="J59" s="177"/>
      <c r="K59" s="177"/>
      <c r="L59" s="177"/>
      <c r="M59" s="144"/>
    </row>
    <row r="60" spans="2:13" ht="15.75" customHeight="1" x14ac:dyDescent="0.25">
      <c r="B60" s="1798" t="s">
        <v>588</v>
      </c>
      <c r="C60" s="4165" t="s">
        <v>315</v>
      </c>
      <c r="D60" s="205" t="s">
        <v>21</v>
      </c>
      <c r="E60" s="195">
        <v>106104110</v>
      </c>
      <c r="F60" s="215" t="s">
        <v>316</v>
      </c>
      <c r="G60" s="195">
        <v>1</v>
      </c>
      <c r="H60" s="177"/>
      <c r="I60" s="177"/>
      <c r="J60" s="177"/>
      <c r="K60" s="177"/>
      <c r="L60" s="177"/>
      <c r="M60" s="144"/>
    </row>
    <row r="61" spans="2:13" ht="15.75" customHeight="1" x14ac:dyDescent="0.25">
      <c r="B61" s="503"/>
      <c r="C61" s="4166"/>
      <c r="D61" s="205" t="s">
        <v>281</v>
      </c>
      <c r="E61" s="195">
        <v>106104081</v>
      </c>
      <c r="F61" s="215" t="s">
        <v>317</v>
      </c>
      <c r="G61" s="195">
        <v>1</v>
      </c>
      <c r="H61" s="177"/>
      <c r="I61" s="177"/>
      <c r="J61" s="177"/>
      <c r="K61" s="177"/>
      <c r="L61" s="177"/>
      <c r="M61" s="144"/>
    </row>
    <row r="62" spans="2:13" ht="15.75" customHeight="1" x14ac:dyDescent="0.25">
      <c r="B62" s="503"/>
      <c r="C62" s="4166"/>
      <c r="D62" s="205" t="s">
        <v>283</v>
      </c>
      <c r="E62" s="195">
        <v>106104094</v>
      </c>
      <c r="F62" s="215" t="s">
        <v>318</v>
      </c>
      <c r="G62" s="195">
        <v>1</v>
      </c>
      <c r="H62" s="177"/>
      <c r="I62" s="177"/>
      <c r="J62" s="177"/>
      <c r="K62" s="177"/>
      <c r="L62" s="177"/>
      <c r="M62" s="144"/>
    </row>
    <row r="63" spans="2:13" ht="15.75" customHeight="1" thickBot="1" x14ac:dyDescent="0.3">
      <c r="B63" s="504"/>
      <c r="C63" s="4167"/>
      <c r="D63" s="205" t="s">
        <v>64</v>
      </c>
      <c r="E63" s="195">
        <v>106104128</v>
      </c>
      <c r="F63" s="215" t="s">
        <v>154</v>
      </c>
      <c r="G63" s="195">
        <v>1</v>
      </c>
      <c r="H63" s="177"/>
      <c r="I63" s="177"/>
      <c r="J63" s="177"/>
      <c r="K63" s="177"/>
      <c r="L63" s="177"/>
      <c r="M63" s="144"/>
    </row>
    <row r="64" spans="2:13" ht="15.75" customHeight="1" x14ac:dyDescent="0.25">
      <c r="B64" s="503" t="s">
        <v>647</v>
      </c>
      <c r="C64" s="4165"/>
      <c r="D64" s="206" t="s">
        <v>271</v>
      </c>
      <c r="E64" s="196">
        <v>106120457</v>
      </c>
      <c r="F64" s="216" t="s">
        <v>272</v>
      </c>
      <c r="G64" s="196">
        <v>2</v>
      </c>
      <c r="H64" s="177"/>
      <c r="I64" s="177"/>
      <c r="J64" s="177"/>
      <c r="K64" s="177"/>
      <c r="L64" s="177"/>
      <c r="M64" s="144"/>
    </row>
    <row r="65" spans="1:14" ht="15.75" customHeight="1" x14ac:dyDescent="0.25">
      <c r="B65" s="503" t="s">
        <v>647</v>
      </c>
      <c r="C65" s="4166"/>
      <c r="D65" s="206" t="s">
        <v>287</v>
      </c>
      <c r="E65" s="196">
        <v>106105422</v>
      </c>
      <c r="F65" s="216" t="s">
        <v>288</v>
      </c>
      <c r="G65" s="196">
        <v>3</v>
      </c>
      <c r="H65" s="177"/>
      <c r="I65" s="177"/>
      <c r="J65" s="177"/>
      <c r="K65" s="177"/>
      <c r="L65" s="177"/>
      <c r="M65" s="144"/>
    </row>
    <row r="66" spans="1:14" x14ac:dyDescent="0.25">
      <c r="B66" s="503" t="s">
        <v>647</v>
      </c>
      <c r="C66" s="4166"/>
      <c r="D66" s="206" t="s">
        <v>29</v>
      </c>
      <c r="E66" s="196">
        <v>106111793</v>
      </c>
      <c r="F66" s="216" t="s">
        <v>320</v>
      </c>
      <c r="G66" s="196">
        <v>1</v>
      </c>
      <c r="H66" s="177"/>
      <c r="I66" s="177"/>
      <c r="J66" s="177"/>
      <c r="K66" s="177"/>
      <c r="L66" s="177"/>
      <c r="M66" s="144"/>
    </row>
    <row r="67" spans="1:14" ht="15.75" customHeight="1" x14ac:dyDescent="0.25">
      <c r="B67" s="503" t="s">
        <v>647</v>
      </c>
      <c r="C67" s="4166"/>
      <c r="D67" s="2564" t="s">
        <v>41</v>
      </c>
      <c r="E67" s="196">
        <v>106112529</v>
      </c>
      <c r="F67" s="1105" t="s">
        <v>321</v>
      </c>
      <c r="G67" s="196">
        <v>1</v>
      </c>
      <c r="H67" s="177"/>
      <c r="I67" s="177"/>
      <c r="J67" s="177"/>
      <c r="K67" s="177"/>
      <c r="L67" s="177"/>
      <c r="M67" s="144"/>
    </row>
    <row r="68" spans="1:14" ht="15.75" customHeight="1" x14ac:dyDescent="0.25">
      <c r="B68" s="503" t="s">
        <v>590</v>
      </c>
      <c r="C68" s="4166"/>
      <c r="D68" s="206" t="s">
        <v>40</v>
      </c>
      <c r="E68" s="196">
        <v>106200771</v>
      </c>
      <c r="F68" s="216" t="s">
        <v>322</v>
      </c>
      <c r="G68" s="196">
        <v>1</v>
      </c>
      <c r="H68" s="177"/>
      <c r="I68" s="177"/>
      <c r="J68" s="177"/>
      <c r="K68" s="177"/>
      <c r="L68" s="177"/>
      <c r="M68" s="144"/>
    </row>
    <row r="69" spans="1:14" ht="15.75" customHeight="1" x14ac:dyDescent="0.25">
      <c r="B69" s="505" t="s">
        <v>591</v>
      </c>
      <c r="C69" s="4166"/>
      <c r="D69" s="206" t="s">
        <v>261</v>
      </c>
      <c r="E69" s="196">
        <v>106110278</v>
      </c>
      <c r="F69" s="216" t="s">
        <v>273</v>
      </c>
      <c r="G69" s="196">
        <v>1</v>
      </c>
      <c r="H69" s="177"/>
      <c r="I69" s="177"/>
      <c r="J69" s="177"/>
      <c r="K69" s="177"/>
      <c r="L69" s="177"/>
      <c r="M69" s="144"/>
    </row>
    <row r="70" spans="1:14" s="219" customFormat="1" ht="28.5" customHeight="1" x14ac:dyDescent="0.25">
      <c r="A70" s="1803"/>
      <c r="B70" s="505" t="s">
        <v>591</v>
      </c>
      <c r="C70" s="4166"/>
      <c r="D70" s="422" t="s">
        <v>289</v>
      </c>
      <c r="E70" s="423">
        <v>106111795</v>
      </c>
      <c r="F70" s="424" t="s">
        <v>550</v>
      </c>
      <c r="G70" s="423">
        <v>1</v>
      </c>
      <c r="H70" s="409"/>
      <c r="I70" s="409"/>
      <c r="J70" s="409"/>
      <c r="K70" s="409"/>
      <c r="L70" s="409"/>
      <c r="M70" s="264"/>
    </row>
    <row r="71" spans="1:14" ht="15.75" customHeight="1" x14ac:dyDescent="0.25">
      <c r="B71" s="503"/>
      <c r="C71" s="4166"/>
      <c r="D71" s="206" t="s">
        <v>138</v>
      </c>
      <c r="E71" s="196">
        <v>106104101</v>
      </c>
      <c r="F71" s="216" t="s">
        <v>162</v>
      </c>
      <c r="G71" s="196">
        <v>1</v>
      </c>
      <c r="H71" s="177"/>
      <c r="I71" s="177"/>
      <c r="J71" s="177"/>
      <c r="K71" s="177"/>
      <c r="L71" s="177"/>
      <c r="M71" s="144"/>
    </row>
    <row r="72" spans="1:14" ht="15.75" customHeight="1" x14ac:dyDescent="0.25">
      <c r="B72" s="503" t="s">
        <v>647</v>
      </c>
      <c r="C72" s="4166"/>
      <c r="D72" s="206" t="s">
        <v>298</v>
      </c>
      <c r="E72" s="196">
        <v>106105038</v>
      </c>
      <c r="F72" s="216" t="s">
        <v>299</v>
      </c>
      <c r="G72" s="196">
        <v>3</v>
      </c>
      <c r="H72" s="178"/>
      <c r="I72" s="178"/>
      <c r="J72" s="178"/>
      <c r="K72" s="178"/>
      <c r="L72" s="178"/>
      <c r="M72" s="144"/>
    </row>
    <row r="73" spans="1:14" ht="15.75" customHeight="1" x14ac:dyDescent="0.25">
      <c r="B73" s="503" t="s">
        <v>647</v>
      </c>
      <c r="C73" s="4166"/>
      <c r="D73" s="206" t="s">
        <v>323</v>
      </c>
      <c r="E73" s="196">
        <v>106112525</v>
      </c>
      <c r="F73" s="216" t="s">
        <v>300</v>
      </c>
      <c r="G73" s="196">
        <v>3</v>
      </c>
      <c r="H73" s="178"/>
      <c r="I73" s="178"/>
      <c r="J73" s="178"/>
      <c r="K73" s="178"/>
      <c r="L73" s="178"/>
      <c r="M73" s="11"/>
    </row>
    <row r="74" spans="1:14" ht="15.75" customHeight="1" thickBot="1" x14ac:dyDescent="0.3">
      <c r="B74" s="504"/>
      <c r="C74" s="4166"/>
      <c r="D74" s="206" t="s">
        <v>196</v>
      </c>
      <c r="E74" s="196">
        <v>106201346</v>
      </c>
      <c r="F74" s="216" t="s">
        <v>2126</v>
      </c>
      <c r="G74" s="196">
        <v>1</v>
      </c>
      <c r="H74" s="178"/>
      <c r="I74" s="178"/>
      <c r="J74" s="178"/>
      <c r="K74" s="178"/>
      <c r="L74" s="178"/>
      <c r="M74" s="11"/>
    </row>
    <row r="75" spans="1:14" s="225" customFormat="1" ht="15.75" customHeight="1" thickBot="1" x14ac:dyDescent="0.3">
      <c r="A75" s="1342"/>
      <c r="B75" s="504"/>
      <c r="C75" s="133"/>
      <c r="D75" s="1949" t="str">
        <f>IF($F$44=$H$81,D81,IF($F$44=$H$80,D80))</f>
        <v>AAS7102</v>
      </c>
      <c r="E75" s="1950">
        <f>IF($F$44=$H$81,E81,IF($F$44=$H$80,E80))</f>
        <v>106200856</v>
      </c>
      <c r="F75" s="256" t="str">
        <f>IF($F$44=$H$81,F81,IF($F$44=$H$80,F80))</f>
        <v>VARIADOR Ingecon Sun 60</v>
      </c>
      <c r="G75" s="139">
        <v>1</v>
      </c>
      <c r="I75" s="182"/>
      <c r="J75" s="179"/>
      <c r="K75" s="180"/>
      <c r="L75" s="181"/>
      <c r="M75" s="180"/>
      <c r="N75" s="247"/>
    </row>
    <row r="77" spans="1:14" ht="15.75" thickBot="1" x14ac:dyDescent="0.3">
      <c r="E77" s="40" t="s">
        <v>148</v>
      </c>
    </row>
    <row r="78" spans="1:14" ht="15.75" thickBot="1" x14ac:dyDescent="0.3">
      <c r="B78" s="506"/>
      <c r="C78" s="4135" t="s">
        <v>11</v>
      </c>
      <c r="D78" s="4138"/>
      <c r="E78" s="4138"/>
      <c r="F78" s="4138"/>
      <c r="G78" s="4138"/>
      <c r="H78" s="4139"/>
      <c r="I78" s="11"/>
    </row>
    <row r="79" spans="1:14" ht="38.25" customHeight="1" thickBot="1" x14ac:dyDescent="0.3">
      <c r="B79" s="500"/>
      <c r="C79" s="6"/>
      <c r="D79" s="6"/>
      <c r="E79" s="131" t="s">
        <v>13</v>
      </c>
      <c r="F79" s="6" t="s">
        <v>1</v>
      </c>
      <c r="G79" s="7"/>
      <c r="H79" s="7" t="s">
        <v>8</v>
      </c>
      <c r="J79"/>
    </row>
    <row r="80" spans="1:14" ht="15.75" thickBot="1" x14ac:dyDescent="0.3">
      <c r="B80" s="456"/>
      <c r="C80" s="135"/>
      <c r="D80" s="134" t="s">
        <v>46</v>
      </c>
      <c r="E80" s="405">
        <v>106203418</v>
      </c>
      <c r="F80" s="137" t="s">
        <v>514</v>
      </c>
      <c r="G80" s="136">
        <v>1</v>
      </c>
      <c r="H80" s="241" t="s">
        <v>2172</v>
      </c>
      <c r="J80"/>
    </row>
    <row r="81" spans="2:10" ht="15.75" thickBot="1" x14ac:dyDescent="0.3">
      <c r="B81" s="457"/>
      <c r="C81" s="135"/>
      <c r="D81" s="134" t="s">
        <v>31</v>
      </c>
      <c r="E81" s="405">
        <v>106200856</v>
      </c>
      <c r="F81" s="137" t="s">
        <v>515</v>
      </c>
      <c r="G81" s="136">
        <v>1</v>
      </c>
      <c r="H81" s="241" t="s">
        <v>2174</v>
      </c>
      <c r="J81"/>
    </row>
    <row r="83" spans="2:10" ht="15.75" thickBot="1" x14ac:dyDescent="0.3"/>
    <row r="84" spans="2:10" ht="18.75" customHeight="1" thickBot="1" x14ac:dyDescent="0.3">
      <c r="C84" s="4157" t="s">
        <v>2127</v>
      </c>
      <c r="D84" s="4158"/>
      <c r="E84" s="4158"/>
      <c r="F84" s="4159"/>
      <c r="G84" s="122"/>
      <c r="H84" s="11"/>
    </row>
    <row r="85" spans="2:10" ht="15.75" thickBot="1" x14ac:dyDescent="0.3">
      <c r="C85" s="4160" t="s">
        <v>79</v>
      </c>
      <c r="D85" s="4161"/>
      <c r="E85" s="1926" t="s">
        <v>349</v>
      </c>
      <c r="F85" s="1927" t="s">
        <v>833</v>
      </c>
      <c r="G85" s="122"/>
    </row>
    <row r="86" spans="2:10" x14ac:dyDescent="0.25">
      <c r="C86" s="822"/>
      <c r="D86" s="1928" t="s">
        <v>29</v>
      </c>
      <c r="E86" s="1929">
        <v>1</v>
      </c>
      <c r="F86" s="1930" t="s">
        <v>320</v>
      </c>
      <c r="G86" s="122"/>
    </row>
    <row r="87" spans="2:10" x14ac:dyDescent="0.25">
      <c r="C87" s="823"/>
      <c r="D87" s="2564" t="s">
        <v>41</v>
      </c>
      <c r="E87" s="825">
        <v>1</v>
      </c>
      <c r="F87" s="826" t="s">
        <v>2128</v>
      </c>
    </row>
    <row r="88" spans="2:10" x14ac:dyDescent="0.25">
      <c r="C88" s="823"/>
      <c r="D88" s="824" t="s">
        <v>40</v>
      </c>
      <c r="E88" s="825">
        <v>1</v>
      </c>
      <c r="F88" s="826" t="s">
        <v>2129</v>
      </c>
    </row>
    <row r="89" spans="2:10" x14ac:dyDescent="0.25">
      <c r="C89" s="823"/>
      <c r="D89" s="1931" t="s">
        <v>263</v>
      </c>
      <c r="E89" s="1932">
        <v>1</v>
      </c>
      <c r="F89" s="1933" t="s">
        <v>275</v>
      </c>
    </row>
    <row r="90" spans="2:10" x14ac:dyDescent="0.25">
      <c r="C90" s="823"/>
      <c r="D90" s="1931" t="s">
        <v>834</v>
      </c>
      <c r="E90" s="1932">
        <v>2</v>
      </c>
      <c r="F90" s="1933" t="s">
        <v>272</v>
      </c>
    </row>
    <row r="91" spans="2:10" ht="15.75" thickBot="1" x14ac:dyDescent="0.3">
      <c r="C91" s="823"/>
      <c r="D91" s="1931" t="s">
        <v>287</v>
      </c>
      <c r="E91" s="1932">
        <v>3</v>
      </c>
      <c r="F91" s="1933" t="s">
        <v>288</v>
      </c>
    </row>
    <row r="92" spans="2:10" x14ac:dyDescent="0.25">
      <c r="C92" s="4162" t="s">
        <v>835</v>
      </c>
      <c r="D92" s="1931" t="s">
        <v>301</v>
      </c>
      <c r="E92" s="1932">
        <v>1</v>
      </c>
      <c r="F92" s="1933" t="s">
        <v>302</v>
      </c>
    </row>
    <row r="93" spans="2:10" x14ac:dyDescent="0.25">
      <c r="C93" s="4163"/>
      <c r="D93" s="1931" t="s">
        <v>290</v>
      </c>
      <c r="E93" s="1932">
        <v>1</v>
      </c>
      <c r="F93" s="1933" t="s">
        <v>2130</v>
      </c>
    </row>
    <row r="94" spans="2:10" ht="15.75" thickBot="1" x14ac:dyDescent="0.3">
      <c r="C94" s="4164"/>
      <c r="D94" s="1931" t="s">
        <v>292</v>
      </c>
      <c r="E94" s="1932">
        <v>1</v>
      </c>
      <c r="F94" s="1933" t="s">
        <v>773</v>
      </c>
    </row>
    <row r="95" spans="2:10" x14ac:dyDescent="0.25">
      <c r="C95" s="4162" t="s">
        <v>310</v>
      </c>
      <c r="D95" s="1934" t="s">
        <v>67</v>
      </c>
      <c r="E95" s="1932">
        <v>1</v>
      </c>
      <c r="F95" s="1933" t="s">
        <v>90</v>
      </c>
    </row>
    <row r="96" spans="2:10" ht="15.75" thickBot="1" x14ac:dyDescent="0.3">
      <c r="C96" s="4164"/>
      <c r="D96" s="1931" t="s">
        <v>65</v>
      </c>
      <c r="E96" s="1932">
        <v>1</v>
      </c>
      <c r="F96" s="1933" t="s">
        <v>92</v>
      </c>
    </row>
    <row r="97" spans="3:6" x14ac:dyDescent="0.25">
      <c r="C97" s="4162" t="s">
        <v>311</v>
      </c>
      <c r="D97" s="1931" t="s">
        <v>312</v>
      </c>
      <c r="E97" s="1932">
        <v>1</v>
      </c>
      <c r="F97" s="1933" t="s">
        <v>90</v>
      </c>
    </row>
    <row r="98" spans="3:6" ht="15.75" thickBot="1" x14ac:dyDescent="0.3">
      <c r="C98" s="4164"/>
      <c r="D98" s="1931" t="s">
        <v>285</v>
      </c>
      <c r="E98" s="1932">
        <v>1</v>
      </c>
      <c r="F98" s="1933" t="s">
        <v>96</v>
      </c>
    </row>
    <row r="99" spans="3:6" x14ac:dyDescent="0.25">
      <c r="C99" s="4162" t="s">
        <v>313</v>
      </c>
      <c r="D99" s="1931" t="s">
        <v>314</v>
      </c>
      <c r="E99" s="1932">
        <v>1</v>
      </c>
      <c r="F99" s="1933" t="s">
        <v>90</v>
      </c>
    </row>
    <row r="100" spans="3:6" ht="15.75" thickBot="1" x14ac:dyDescent="0.3">
      <c r="C100" s="4164"/>
      <c r="D100" s="1931" t="s">
        <v>286</v>
      </c>
      <c r="E100" s="1932">
        <v>1</v>
      </c>
      <c r="F100" s="1933" t="s">
        <v>468</v>
      </c>
    </row>
    <row r="101" spans="3:6" x14ac:dyDescent="0.25">
      <c r="C101" s="4162" t="s">
        <v>315</v>
      </c>
      <c r="D101" s="1931" t="s">
        <v>21</v>
      </c>
      <c r="E101" s="1932">
        <v>1</v>
      </c>
      <c r="F101" s="1933" t="s">
        <v>316</v>
      </c>
    </row>
    <row r="102" spans="3:6" x14ac:dyDescent="0.25">
      <c r="C102" s="4163"/>
      <c r="D102" s="1931" t="s">
        <v>281</v>
      </c>
      <c r="E102" s="1932">
        <v>1</v>
      </c>
      <c r="F102" s="1933" t="s">
        <v>317</v>
      </c>
    </row>
    <row r="103" spans="3:6" x14ac:dyDescent="0.25">
      <c r="C103" s="4163"/>
      <c r="D103" s="1931" t="s">
        <v>283</v>
      </c>
      <c r="E103" s="1932">
        <v>1</v>
      </c>
      <c r="F103" s="1933" t="s">
        <v>318</v>
      </c>
    </row>
    <row r="104" spans="3:6" ht="15.75" thickBot="1" x14ac:dyDescent="0.3">
      <c r="C104" s="4164"/>
      <c r="D104" s="1931" t="s">
        <v>64</v>
      </c>
      <c r="E104" s="1932">
        <v>1</v>
      </c>
      <c r="F104" s="1933" t="s">
        <v>154</v>
      </c>
    </row>
    <row r="105" spans="3:6" x14ac:dyDescent="0.25">
      <c r="C105" s="823"/>
      <c r="D105" s="1935" t="s">
        <v>261</v>
      </c>
      <c r="E105" s="1932">
        <v>1</v>
      </c>
      <c r="F105" s="1933" t="s">
        <v>273</v>
      </c>
    </row>
    <row r="106" spans="3:6" x14ac:dyDescent="0.25">
      <c r="C106" s="823"/>
      <c r="D106" s="1935" t="s">
        <v>341</v>
      </c>
      <c r="E106" s="1932">
        <v>3</v>
      </c>
      <c r="F106" s="1933" t="s">
        <v>756</v>
      </c>
    </row>
    <row r="107" spans="3:6" x14ac:dyDescent="0.25">
      <c r="C107" s="823"/>
      <c r="D107" s="1935" t="s">
        <v>138</v>
      </c>
      <c r="E107" s="1932">
        <v>1</v>
      </c>
      <c r="F107" s="1933" t="s">
        <v>162</v>
      </c>
    </row>
    <row r="108" spans="3:6" x14ac:dyDescent="0.25">
      <c r="C108" s="823"/>
      <c r="D108" s="1936" t="s">
        <v>298</v>
      </c>
      <c r="E108" s="1932">
        <v>3</v>
      </c>
      <c r="F108" s="1933" t="s">
        <v>299</v>
      </c>
    </row>
    <row r="109" spans="3:6" x14ac:dyDescent="0.25">
      <c r="C109" s="823"/>
      <c r="D109" s="1936" t="s">
        <v>323</v>
      </c>
      <c r="E109" s="1932">
        <v>3</v>
      </c>
      <c r="F109" s="1933" t="s">
        <v>300</v>
      </c>
    </row>
    <row r="110" spans="3:6" x14ac:dyDescent="0.25">
      <c r="C110" s="823"/>
      <c r="D110" s="824" t="s">
        <v>2</v>
      </c>
      <c r="E110" s="825">
        <v>1</v>
      </c>
      <c r="F110" s="826" t="s">
        <v>2131</v>
      </c>
    </row>
    <row r="111" spans="3:6" ht="15.75" thickBot="1" x14ac:dyDescent="0.3">
      <c r="C111" s="827"/>
      <c r="D111" s="828" t="s">
        <v>31</v>
      </c>
      <c r="E111" s="829">
        <v>1</v>
      </c>
      <c r="F111" s="830" t="s">
        <v>2132</v>
      </c>
    </row>
    <row r="112" spans="3:6" ht="15.75" thickBot="1" x14ac:dyDescent="0.3"/>
    <row r="113" spans="4:7" ht="18.75" customHeight="1" thickBot="1" x14ac:dyDescent="0.3">
      <c r="D113" s="4157" t="s">
        <v>2133</v>
      </c>
      <c r="E113" s="4158"/>
      <c r="F113" s="4158"/>
      <c r="G113" s="4159"/>
    </row>
    <row r="114" spans="4:7" ht="15.75" thickBot="1" x14ac:dyDescent="0.3">
      <c r="D114" s="831" t="s">
        <v>79</v>
      </c>
      <c r="E114" s="832" t="s">
        <v>2061</v>
      </c>
      <c r="F114" s="833" t="s">
        <v>1</v>
      </c>
    </row>
    <row r="115" spans="4:7" ht="27" thickBot="1" x14ac:dyDescent="0.3">
      <c r="D115" s="834" t="s">
        <v>882</v>
      </c>
      <c r="E115" s="234">
        <v>1</v>
      </c>
      <c r="F115" s="835" t="s">
        <v>2134</v>
      </c>
    </row>
    <row r="116" spans="4:7" ht="27" thickBot="1" x14ac:dyDescent="0.3">
      <c r="D116" s="834" t="s">
        <v>2135</v>
      </c>
      <c r="E116" s="234">
        <v>3</v>
      </c>
      <c r="F116" s="835" t="s">
        <v>1277</v>
      </c>
    </row>
    <row r="117" spans="4:7" ht="15.75" thickBot="1" x14ac:dyDescent="0.3">
      <c r="D117" s="834" t="s">
        <v>834</v>
      </c>
      <c r="E117" s="234">
        <v>2</v>
      </c>
      <c r="F117" s="835" t="s">
        <v>272</v>
      </c>
    </row>
    <row r="118" spans="4:7" ht="15.75" thickBot="1" x14ac:dyDescent="0.3">
      <c r="D118" s="834" t="s">
        <v>837</v>
      </c>
      <c r="E118" s="234">
        <v>1</v>
      </c>
      <c r="F118" s="835" t="s">
        <v>273</v>
      </c>
    </row>
    <row r="119" spans="4:7" ht="15.75" thickBot="1" x14ac:dyDescent="0.3">
      <c r="D119" s="836" t="s">
        <v>274</v>
      </c>
      <c r="E119" s="234">
        <v>1</v>
      </c>
      <c r="F119" s="837" t="s">
        <v>275</v>
      </c>
    </row>
    <row r="120" spans="4:7" ht="15.75" thickBot="1" x14ac:dyDescent="0.3">
      <c r="D120" s="836" t="s">
        <v>276</v>
      </c>
      <c r="E120" s="234">
        <v>1</v>
      </c>
      <c r="F120" s="837" t="s">
        <v>277</v>
      </c>
    </row>
    <row r="121" spans="4:7" ht="15.75" thickBot="1" x14ac:dyDescent="0.3">
      <c r="D121" s="836" t="s">
        <v>278</v>
      </c>
      <c r="E121" s="234">
        <v>1</v>
      </c>
      <c r="F121" s="837" t="s">
        <v>2124</v>
      </c>
    </row>
    <row r="122" spans="4:7" ht="15.75" thickBot="1" x14ac:dyDescent="0.3">
      <c r="D122" s="836" t="s">
        <v>279</v>
      </c>
      <c r="E122" s="234">
        <v>1</v>
      </c>
      <c r="F122" s="837" t="s">
        <v>280</v>
      </c>
    </row>
    <row r="123" spans="4:7" ht="15.75" thickBot="1" x14ac:dyDescent="0.3">
      <c r="D123" s="836" t="s">
        <v>473</v>
      </c>
      <c r="E123" s="234">
        <v>1</v>
      </c>
      <c r="F123" s="837" t="s">
        <v>474</v>
      </c>
    </row>
    <row r="124" spans="4:7" ht="15.75" thickBot="1" x14ac:dyDescent="0.3">
      <c r="D124" s="836" t="s">
        <v>21</v>
      </c>
      <c r="E124" s="234">
        <v>1</v>
      </c>
      <c r="F124" s="837" t="s">
        <v>316</v>
      </c>
    </row>
    <row r="125" spans="4:7" ht="15.75" thickBot="1" x14ac:dyDescent="0.3">
      <c r="D125" s="836" t="s">
        <v>281</v>
      </c>
      <c r="E125" s="234">
        <v>1</v>
      </c>
      <c r="F125" s="837" t="s">
        <v>317</v>
      </c>
    </row>
    <row r="126" spans="4:7" ht="15.75" thickBot="1" x14ac:dyDescent="0.3">
      <c r="D126" s="836" t="s">
        <v>283</v>
      </c>
      <c r="E126" s="234">
        <v>1</v>
      </c>
      <c r="F126" s="837" t="s">
        <v>318</v>
      </c>
    </row>
    <row r="127" spans="4:7" ht="15.75" thickBot="1" x14ac:dyDescent="0.3">
      <c r="D127" s="836" t="s">
        <v>64</v>
      </c>
      <c r="E127" s="234">
        <v>1</v>
      </c>
      <c r="F127" s="837" t="s">
        <v>154</v>
      </c>
    </row>
    <row r="128" spans="4:7" ht="15.75" thickBot="1" x14ac:dyDescent="0.3">
      <c r="D128" s="836" t="s">
        <v>838</v>
      </c>
      <c r="E128" s="234">
        <v>2</v>
      </c>
      <c r="F128" s="837" t="s">
        <v>468</v>
      </c>
    </row>
    <row r="129" spans="4:6" ht="27" thickBot="1" x14ac:dyDescent="0.3">
      <c r="D129" s="836" t="s">
        <v>839</v>
      </c>
      <c r="E129" s="234">
        <v>3</v>
      </c>
      <c r="F129" s="837" t="s">
        <v>478</v>
      </c>
    </row>
    <row r="130" spans="4:6" ht="15.75" thickBot="1" x14ac:dyDescent="0.3">
      <c r="D130" s="836" t="s">
        <v>65</v>
      </c>
      <c r="E130" s="234">
        <v>1</v>
      </c>
      <c r="F130" s="837" t="s">
        <v>92</v>
      </c>
    </row>
    <row r="131" spans="4:6" ht="15.75" thickBot="1" x14ac:dyDescent="0.3">
      <c r="D131" s="836" t="s">
        <v>285</v>
      </c>
      <c r="E131" s="234">
        <v>1</v>
      </c>
      <c r="F131" s="837" t="s">
        <v>96</v>
      </c>
    </row>
    <row r="132" spans="4:6" ht="27" thickBot="1" x14ac:dyDescent="0.3">
      <c r="D132" s="836" t="s">
        <v>2136</v>
      </c>
      <c r="E132" s="234">
        <v>4</v>
      </c>
      <c r="F132" s="837" t="s">
        <v>90</v>
      </c>
    </row>
    <row r="133" spans="4:6" ht="27" thickBot="1" x14ac:dyDescent="0.3">
      <c r="D133" s="836" t="s">
        <v>840</v>
      </c>
      <c r="E133" s="234">
        <v>2</v>
      </c>
      <c r="F133" s="837" t="s">
        <v>2137</v>
      </c>
    </row>
    <row r="134" spans="4:6" ht="27" thickBot="1" x14ac:dyDescent="0.3">
      <c r="D134" s="836" t="s">
        <v>484</v>
      </c>
      <c r="E134" s="234">
        <v>1</v>
      </c>
      <c r="F134" s="837" t="s">
        <v>2138</v>
      </c>
    </row>
    <row r="135" spans="4:6" ht="27" thickBot="1" x14ac:dyDescent="0.3">
      <c r="D135" s="2564" t="s">
        <v>41</v>
      </c>
      <c r="E135" s="234">
        <v>1</v>
      </c>
      <c r="F135" s="837" t="s">
        <v>2139</v>
      </c>
    </row>
    <row r="136" spans="4:6" ht="15.75" thickBot="1" x14ac:dyDescent="0.3">
      <c r="D136" s="836" t="s">
        <v>29</v>
      </c>
      <c r="E136" s="234">
        <v>1</v>
      </c>
      <c r="F136" s="837" t="s">
        <v>320</v>
      </c>
    </row>
    <row r="137" spans="4:6" ht="15.75" thickBot="1" x14ac:dyDescent="0.3">
      <c r="D137" s="836" t="s">
        <v>841</v>
      </c>
      <c r="E137" s="234">
        <v>1</v>
      </c>
      <c r="F137" s="837" t="s">
        <v>2140</v>
      </c>
    </row>
    <row r="138" spans="4:6" ht="15.75" thickBot="1" x14ac:dyDescent="0.3">
      <c r="D138" s="836" t="s">
        <v>287</v>
      </c>
      <c r="E138" s="234">
        <v>3</v>
      </c>
      <c r="F138" s="837" t="s">
        <v>288</v>
      </c>
    </row>
    <row r="139" spans="4:6" ht="15.75" thickBot="1" x14ac:dyDescent="0.3">
      <c r="D139" s="836" t="s">
        <v>341</v>
      </c>
      <c r="E139" s="234">
        <v>1</v>
      </c>
      <c r="F139" s="835" t="s">
        <v>756</v>
      </c>
    </row>
    <row r="140" spans="4:6" ht="15.75" thickBot="1" x14ac:dyDescent="0.3">
      <c r="D140" s="836" t="s">
        <v>290</v>
      </c>
      <c r="E140" s="234">
        <v>1</v>
      </c>
      <c r="F140" s="837" t="s">
        <v>2130</v>
      </c>
    </row>
    <row r="141" spans="4:6" ht="15.75" thickBot="1" x14ac:dyDescent="0.3">
      <c r="D141" s="836" t="s">
        <v>292</v>
      </c>
      <c r="E141" s="234">
        <v>1</v>
      </c>
      <c r="F141" s="837" t="s">
        <v>773</v>
      </c>
    </row>
    <row r="142" spans="4:6" ht="15.75" thickBot="1" x14ac:dyDescent="0.3">
      <c r="D142" s="836" t="s">
        <v>307</v>
      </c>
      <c r="E142" s="234">
        <v>1</v>
      </c>
      <c r="F142" s="837" t="s">
        <v>842</v>
      </c>
    </row>
    <row r="143" spans="4:6" ht="15.75" thickBot="1" x14ac:dyDescent="0.3">
      <c r="D143" s="836" t="s">
        <v>843</v>
      </c>
      <c r="E143" s="234">
        <v>1</v>
      </c>
      <c r="F143" s="837" t="s">
        <v>302</v>
      </c>
    </row>
    <row r="144" spans="4:6" ht="15.75" thickBot="1" x14ac:dyDescent="0.3">
      <c r="D144" s="836" t="s">
        <v>298</v>
      </c>
      <c r="E144" s="234">
        <v>3</v>
      </c>
      <c r="F144" s="837" t="s">
        <v>299</v>
      </c>
    </row>
    <row r="145" spans="3:6" ht="27" thickBot="1" x14ac:dyDescent="0.3">
      <c r="D145" s="836" t="s">
        <v>2141</v>
      </c>
      <c r="E145" s="234">
        <v>3</v>
      </c>
      <c r="F145" s="837" t="s">
        <v>300</v>
      </c>
    </row>
    <row r="146" spans="3:6" ht="15.75" thickBot="1" x14ac:dyDescent="0.3">
      <c r="D146" s="834"/>
      <c r="E146" s="234">
        <v>1</v>
      </c>
      <c r="F146" s="837" t="s">
        <v>2142</v>
      </c>
    </row>
    <row r="147" spans="3:6" ht="27" thickBot="1" x14ac:dyDescent="0.3">
      <c r="D147" s="836" t="s">
        <v>2</v>
      </c>
      <c r="E147" s="234">
        <v>1</v>
      </c>
      <c r="F147" s="837" t="s">
        <v>2053</v>
      </c>
    </row>
    <row r="148" spans="3:6" ht="15.75" thickBot="1" x14ac:dyDescent="0.3">
      <c r="D148" s="836" t="s">
        <v>844</v>
      </c>
      <c r="E148" s="234">
        <v>1</v>
      </c>
      <c r="F148" s="837" t="s">
        <v>142</v>
      </c>
    </row>
    <row r="149" spans="3:6" ht="15.75" thickBot="1" x14ac:dyDescent="0.3">
      <c r="D149" s="836" t="s">
        <v>844</v>
      </c>
      <c r="E149" s="234">
        <v>1</v>
      </c>
      <c r="F149" s="837" t="s">
        <v>2143</v>
      </c>
    </row>
    <row r="150" spans="3:6" ht="15.75" thickBot="1" x14ac:dyDescent="0.3">
      <c r="D150" s="836" t="s">
        <v>844</v>
      </c>
      <c r="E150" s="234">
        <v>1</v>
      </c>
      <c r="F150" s="837" t="s">
        <v>2144</v>
      </c>
    </row>
    <row r="151" spans="3:6" ht="15.75" thickBot="1" x14ac:dyDescent="0.3"/>
    <row r="152" spans="3:6" ht="18.75" customHeight="1" thickBot="1" x14ac:dyDescent="0.3">
      <c r="C152" s="4157" t="s">
        <v>2145</v>
      </c>
      <c r="D152" s="4158"/>
      <c r="E152" s="4158"/>
      <c r="F152" s="4159"/>
    </row>
    <row r="153" spans="3:6" ht="15.75" thickBot="1" x14ac:dyDescent="0.3">
      <c r="C153" s="838" t="s">
        <v>2035</v>
      </c>
      <c r="D153" s="839" t="s">
        <v>2123</v>
      </c>
      <c r="E153" s="840" t="s">
        <v>2036</v>
      </c>
      <c r="F153" s="840" t="s">
        <v>1</v>
      </c>
    </row>
    <row r="154" spans="3:6" ht="15.75" thickBot="1" x14ac:dyDescent="0.3">
      <c r="C154" s="841">
        <v>1</v>
      </c>
      <c r="D154" s="842" t="s">
        <v>438</v>
      </c>
      <c r="E154" s="844">
        <v>1</v>
      </c>
      <c r="F154" s="843" t="s">
        <v>2146</v>
      </c>
    </row>
    <row r="155" spans="3:6" ht="15.75" thickBot="1" x14ac:dyDescent="0.3">
      <c r="C155" s="845" t="s">
        <v>32</v>
      </c>
      <c r="D155" s="846" t="s">
        <v>33</v>
      </c>
      <c r="E155" s="848">
        <v>3</v>
      </c>
      <c r="F155" s="847" t="s">
        <v>1277</v>
      </c>
    </row>
    <row r="156" spans="3:6" ht="15.75" thickBot="1" x14ac:dyDescent="0.3">
      <c r="C156" s="845">
        <v>2</v>
      </c>
      <c r="D156" s="846" t="s">
        <v>845</v>
      </c>
      <c r="E156" s="848">
        <v>2</v>
      </c>
      <c r="F156" s="847" t="s">
        <v>2147</v>
      </c>
    </row>
    <row r="157" spans="3:6" ht="15.75" thickBot="1" x14ac:dyDescent="0.3">
      <c r="C157" s="845">
        <v>3</v>
      </c>
      <c r="D157" s="846" t="s">
        <v>50</v>
      </c>
      <c r="E157" s="848">
        <v>2</v>
      </c>
      <c r="F157" s="847" t="s">
        <v>846</v>
      </c>
    </row>
    <row r="158" spans="3:6" ht="15.75" thickBot="1" x14ac:dyDescent="0.3">
      <c r="C158" s="841">
        <v>4</v>
      </c>
      <c r="D158" s="842" t="s">
        <v>2148</v>
      </c>
      <c r="E158" s="844">
        <v>1</v>
      </c>
      <c r="F158" s="843" t="s">
        <v>2149</v>
      </c>
    </row>
    <row r="159" spans="3:6" ht="15.75" thickBot="1" x14ac:dyDescent="0.3">
      <c r="C159" s="841" t="s">
        <v>5</v>
      </c>
      <c r="D159" s="842" t="s">
        <v>847</v>
      </c>
      <c r="E159" s="844">
        <v>1</v>
      </c>
      <c r="F159" s="843" t="s">
        <v>277</v>
      </c>
    </row>
    <row r="160" spans="3:6" ht="15.75" thickBot="1" x14ac:dyDescent="0.3">
      <c r="C160" s="841" t="s">
        <v>848</v>
      </c>
      <c r="D160" s="842" t="s">
        <v>849</v>
      </c>
      <c r="E160" s="844">
        <v>1</v>
      </c>
      <c r="F160" s="843" t="s">
        <v>2150</v>
      </c>
    </row>
    <row r="161" spans="3:6" ht="15.75" thickBot="1" x14ac:dyDescent="0.3">
      <c r="C161" s="841" t="s">
        <v>850</v>
      </c>
      <c r="D161" s="842" t="s">
        <v>851</v>
      </c>
      <c r="E161" s="844">
        <v>1</v>
      </c>
      <c r="F161" s="843" t="s">
        <v>2151</v>
      </c>
    </row>
    <row r="162" spans="3:6" ht="15.75" thickBot="1" x14ac:dyDescent="0.3">
      <c r="C162" s="845" t="s">
        <v>852</v>
      </c>
      <c r="D162" s="846" t="s">
        <v>853</v>
      </c>
      <c r="E162" s="848">
        <v>1</v>
      </c>
      <c r="F162" s="847" t="s">
        <v>2152</v>
      </c>
    </row>
    <row r="163" spans="3:6" ht="15.75" thickBot="1" x14ac:dyDescent="0.3">
      <c r="C163" s="841">
        <v>5</v>
      </c>
      <c r="D163" s="842" t="s">
        <v>854</v>
      </c>
      <c r="E163" s="844">
        <v>1</v>
      </c>
      <c r="F163" s="843" t="s">
        <v>2153</v>
      </c>
    </row>
    <row r="164" spans="3:6" ht="15.75" thickBot="1" x14ac:dyDescent="0.3">
      <c r="C164" s="841" t="s">
        <v>855</v>
      </c>
      <c r="D164" s="842" t="s">
        <v>856</v>
      </c>
      <c r="E164" s="844">
        <v>1</v>
      </c>
      <c r="F164" s="843" t="s">
        <v>2154</v>
      </c>
    </row>
    <row r="165" spans="3:6" ht="15.75" thickBot="1" x14ac:dyDescent="0.3">
      <c r="C165" s="841" t="s">
        <v>857</v>
      </c>
      <c r="D165" s="842" t="s">
        <v>858</v>
      </c>
      <c r="E165" s="844">
        <v>1</v>
      </c>
      <c r="F165" s="843" t="s">
        <v>2155</v>
      </c>
    </row>
    <row r="166" spans="3:6" ht="15.75" thickBot="1" x14ac:dyDescent="0.3">
      <c r="C166" s="845" t="s">
        <v>859</v>
      </c>
      <c r="D166" s="846" t="s">
        <v>2156</v>
      </c>
      <c r="E166" s="848">
        <v>1</v>
      </c>
      <c r="F166" s="847" t="s">
        <v>2157</v>
      </c>
    </row>
    <row r="167" spans="3:6" ht="15.75" thickBot="1" x14ac:dyDescent="0.3">
      <c r="C167" s="841"/>
      <c r="D167" s="842"/>
      <c r="E167" s="844"/>
      <c r="F167" s="849" t="s">
        <v>2158</v>
      </c>
    </row>
    <row r="168" spans="3:6" ht="15.75" thickBot="1" x14ac:dyDescent="0.3">
      <c r="C168" s="841">
        <v>6</v>
      </c>
      <c r="D168" s="842" t="s">
        <v>860</v>
      </c>
      <c r="E168" s="844">
        <v>4</v>
      </c>
      <c r="F168" s="843" t="s">
        <v>861</v>
      </c>
    </row>
    <row r="169" spans="3:6" ht="15.75" thickBot="1" x14ac:dyDescent="0.3">
      <c r="C169" s="841" t="s">
        <v>838</v>
      </c>
      <c r="D169" s="842" t="s">
        <v>862</v>
      </c>
      <c r="E169" s="844">
        <v>2</v>
      </c>
      <c r="F169" s="843" t="s">
        <v>2159</v>
      </c>
    </row>
    <row r="170" spans="3:6" ht="15.75" thickBot="1" x14ac:dyDescent="0.3">
      <c r="C170" s="841" t="s">
        <v>839</v>
      </c>
      <c r="D170" s="842" t="s">
        <v>863</v>
      </c>
      <c r="E170" s="844">
        <v>3</v>
      </c>
      <c r="F170" s="843" t="s">
        <v>2160</v>
      </c>
    </row>
    <row r="171" spans="3:6" ht="15.75" thickBot="1" x14ac:dyDescent="0.3">
      <c r="C171" s="841" t="s">
        <v>65</v>
      </c>
      <c r="D171" s="842" t="s">
        <v>864</v>
      </c>
      <c r="E171" s="844">
        <v>1</v>
      </c>
      <c r="F171" s="843" t="s">
        <v>2161</v>
      </c>
    </row>
    <row r="172" spans="3:6" ht="15.75" thickBot="1" x14ac:dyDescent="0.3">
      <c r="C172" s="841" t="s">
        <v>285</v>
      </c>
      <c r="D172" s="842" t="s">
        <v>865</v>
      </c>
      <c r="E172" s="844">
        <v>1</v>
      </c>
      <c r="F172" s="843" t="s">
        <v>66</v>
      </c>
    </row>
    <row r="173" spans="3:6" ht="15.75" thickBot="1" x14ac:dyDescent="0.3">
      <c r="C173" s="845" t="s">
        <v>490</v>
      </c>
      <c r="D173" s="846" t="s">
        <v>2162</v>
      </c>
      <c r="E173" s="848">
        <v>1</v>
      </c>
      <c r="F173" s="847" t="s">
        <v>2072</v>
      </c>
    </row>
    <row r="174" spans="3:6" ht="15.75" thickBot="1" x14ac:dyDescent="0.3">
      <c r="C174" s="845">
        <v>7</v>
      </c>
      <c r="D174" s="846" t="s">
        <v>866</v>
      </c>
      <c r="E174" s="848">
        <v>1</v>
      </c>
      <c r="F174" s="847" t="s">
        <v>2102</v>
      </c>
    </row>
    <row r="175" spans="3:6" ht="15.75" thickBot="1" x14ac:dyDescent="0.3">
      <c r="C175" s="845">
        <v>8</v>
      </c>
      <c r="D175" s="846" t="s">
        <v>867</v>
      </c>
      <c r="E175" s="848">
        <v>1</v>
      </c>
      <c r="F175" s="847" t="s">
        <v>2163</v>
      </c>
    </row>
    <row r="176" spans="3:6" ht="15.75" thickBot="1" x14ac:dyDescent="0.3">
      <c r="C176" s="845">
        <v>9</v>
      </c>
      <c r="D176" s="846" t="s">
        <v>2164</v>
      </c>
      <c r="E176" s="848">
        <v>1</v>
      </c>
      <c r="F176" s="847" t="s">
        <v>2165</v>
      </c>
    </row>
    <row r="177" spans="3:6" x14ac:dyDescent="0.25">
      <c r="C177" s="841">
        <v>10</v>
      </c>
      <c r="D177" s="850" t="s">
        <v>58</v>
      </c>
      <c r="E177" s="852">
        <v>1</v>
      </c>
      <c r="F177" s="851" t="s">
        <v>2077</v>
      </c>
    </row>
    <row r="178" spans="3:6" ht="15.75" thickBot="1" x14ac:dyDescent="0.3">
      <c r="C178" s="845">
        <v>10</v>
      </c>
      <c r="D178" s="846" t="s">
        <v>868</v>
      </c>
      <c r="E178" s="848">
        <v>3</v>
      </c>
      <c r="F178" s="847" t="s">
        <v>2166</v>
      </c>
    </row>
    <row r="179" spans="3:6" ht="15.75" thickBot="1" x14ac:dyDescent="0.3">
      <c r="C179" s="845">
        <v>11</v>
      </c>
      <c r="D179" s="846" t="s">
        <v>59</v>
      </c>
      <c r="E179" s="848">
        <v>3</v>
      </c>
      <c r="F179" s="847" t="s">
        <v>60</v>
      </c>
    </row>
    <row r="180" spans="3:6" ht="15.75" thickBot="1" x14ac:dyDescent="0.3">
      <c r="C180" s="841">
        <v>12</v>
      </c>
      <c r="D180" s="842" t="s">
        <v>2167</v>
      </c>
      <c r="E180" s="844">
        <v>1</v>
      </c>
      <c r="F180" s="843" t="s">
        <v>2168</v>
      </c>
    </row>
    <row r="181" spans="3:6" ht="15.75" thickBot="1" x14ac:dyDescent="0.3">
      <c r="C181" s="841" t="s">
        <v>869</v>
      </c>
      <c r="D181" s="842" t="s">
        <v>870</v>
      </c>
      <c r="E181" s="844">
        <v>1</v>
      </c>
      <c r="F181" s="843" t="s">
        <v>2169</v>
      </c>
    </row>
    <row r="182" spans="3:6" ht="15.75" thickBot="1" x14ac:dyDescent="0.3">
      <c r="C182" s="841" t="s">
        <v>871</v>
      </c>
      <c r="D182" s="842" t="s">
        <v>872</v>
      </c>
      <c r="E182" s="844">
        <v>1</v>
      </c>
      <c r="F182" s="843" t="s">
        <v>873</v>
      </c>
    </row>
    <row r="183" spans="3:6" ht="15.75" thickBot="1" x14ac:dyDescent="0.3">
      <c r="C183" s="845" t="s">
        <v>874</v>
      </c>
      <c r="D183" s="846" t="s">
        <v>875</v>
      </c>
      <c r="E183" s="848">
        <v>1</v>
      </c>
      <c r="F183" s="847" t="s">
        <v>2155</v>
      </c>
    </row>
    <row r="184" spans="3:6" ht="15.75" thickBot="1" x14ac:dyDescent="0.3">
      <c r="C184" s="841">
        <v>13</v>
      </c>
      <c r="D184" s="842" t="s">
        <v>876</v>
      </c>
      <c r="E184" s="844">
        <v>3</v>
      </c>
      <c r="F184" s="843" t="s">
        <v>2170</v>
      </c>
    </row>
    <row r="185" spans="3:6" ht="15.75" thickBot="1" x14ac:dyDescent="0.3">
      <c r="C185" s="845" t="s">
        <v>877</v>
      </c>
      <c r="D185" s="846" t="s">
        <v>878</v>
      </c>
      <c r="E185" s="848">
        <v>3</v>
      </c>
      <c r="F185" s="847" t="s">
        <v>879</v>
      </c>
    </row>
    <row r="186" spans="3:6" ht="15.75" thickBot="1" x14ac:dyDescent="0.3">
      <c r="C186" s="841">
        <v>14</v>
      </c>
      <c r="D186" s="853" t="s">
        <v>880</v>
      </c>
      <c r="E186" s="855">
        <v>1</v>
      </c>
      <c r="F186" s="854" t="s">
        <v>2142</v>
      </c>
    </row>
    <row r="187" spans="3:6" x14ac:dyDescent="0.25">
      <c r="C187" s="841" t="s">
        <v>881</v>
      </c>
      <c r="D187" s="856"/>
      <c r="E187" s="852">
        <v>1</v>
      </c>
      <c r="F187" s="851" t="s">
        <v>2171</v>
      </c>
    </row>
  </sheetData>
  <dataConsolidate/>
  <mergeCells count="32">
    <mergeCell ref="C2:E2"/>
    <mergeCell ref="B4:B7"/>
    <mergeCell ref="C4:C7"/>
    <mergeCell ref="B8:B11"/>
    <mergeCell ref="C8:C11"/>
    <mergeCell ref="C38:H38"/>
    <mergeCell ref="B46:B49"/>
    <mergeCell ref="B50:B53"/>
    <mergeCell ref="B54:B59"/>
    <mergeCell ref="B12:B17"/>
    <mergeCell ref="C12:C13"/>
    <mergeCell ref="C14:C15"/>
    <mergeCell ref="C16:C17"/>
    <mergeCell ref="C18:C21"/>
    <mergeCell ref="C60:C63"/>
    <mergeCell ref="C64:C74"/>
    <mergeCell ref="C78:H78"/>
    <mergeCell ref="C44:E44"/>
    <mergeCell ref="C58:C59"/>
    <mergeCell ref="C46:C49"/>
    <mergeCell ref="C50:C53"/>
    <mergeCell ref="C54:C55"/>
    <mergeCell ref="C56:C57"/>
    <mergeCell ref="D113:G113"/>
    <mergeCell ref="C152:F152"/>
    <mergeCell ref="C84:F84"/>
    <mergeCell ref="C85:D85"/>
    <mergeCell ref="C92:C94"/>
    <mergeCell ref="C95:C96"/>
    <mergeCell ref="C97:C98"/>
    <mergeCell ref="C99:C100"/>
    <mergeCell ref="C101:C104"/>
  </mergeCells>
  <dataValidations count="2">
    <dataValidation type="list" allowBlank="1" showInputMessage="1" showErrorMessage="1" sqref="F2">
      <formula1>H40:H41</formula1>
    </dataValidation>
    <dataValidation type="list" allowBlank="1" showInputMessage="1" showErrorMessage="1" sqref="F44">
      <formula1>$H$80:$H$81</formula1>
    </dataValidation>
  </dataValidations>
  <pageMargins left="0.7" right="0.7" top="0.75" bottom="0.75" header="0.3" footer="0.3"/>
  <pageSetup paperSize="8" orientation="portrait" horizontalDpi="96" verticalDpi="96"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0"/>
  <sheetViews>
    <sheetView topLeftCell="A45" zoomScale="80" zoomScaleNormal="80" workbookViewId="0">
      <selection activeCell="E65" sqref="E65"/>
    </sheetView>
  </sheetViews>
  <sheetFormatPr baseColWidth="10" defaultRowHeight="15" x14ac:dyDescent="0.25"/>
  <cols>
    <col min="1" max="1" width="11.42578125" style="1383"/>
    <col min="2" max="2" width="13.85546875" style="501" customWidth="1"/>
    <col min="3" max="4" width="11.42578125" style="1383"/>
    <col min="5" max="5" width="19.140625" style="1383" bestFit="1" customWidth="1"/>
    <col min="6" max="6" width="63.85546875" style="1383" customWidth="1"/>
    <col min="7" max="7" width="17.140625" style="1383" customWidth="1"/>
    <col min="8" max="8" width="12.7109375" customWidth="1"/>
    <col min="9" max="9" width="12.28515625" customWidth="1"/>
    <col min="10" max="10" width="16.28515625" customWidth="1"/>
    <col min="11" max="11" width="11.42578125" style="11"/>
    <col min="12" max="12" width="14.28515625" style="11" customWidth="1"/>
    <col min="13" max="13" width="15.140625" customWidth="1"/>
    <col min="14" max="14" width="14.140625" customWidth="1"/>
    <col min="15" max="15" width="13.7109375" bestFit="1" customWidth="1"/>
    <col min="16" max="16" width="14.5703125" bestFit="1" customWidth="1"/>
    <col min="17" max="17" width="13.7109375" bestFit="1" customWidth="1"/>
    <col min="19" max="19" width="61.140625" bestFit="1" customWidth="1"/>
    <col min="20" max="20" width="48.28515625" customWidth="1"/>
    <col min="21" max="21" width="13.28515625" customWidth="1"/>
  </cols>
  <sheetData>
    <row r="1" spans="1:8" s="11" customFormat="1" ht="18.75" thickBot="1" x14ac:dyDescent="0.3">
      <c r="A1" s="1383"/>
      <c r="B1" s="501"/>
      <c r="C1" s="1383"/>
      <c r="D1" s="1383"/>
      <c r="E1" s="1383"/>
      <c r="F1" s="1951" t="s">
        <v>2175</v>
      </c>
      <c r="G1" s="1603" t="s">
        <v>2198</v>
      </c>
      <c r="H1" s="1306"/>
    </row>
    <row r="2" spans="1:8" s="24" customFormat="1" ht="15" customHeight="1" thickBot="1" x14ac:dyDescent="0.3">
      <c r="C2" s="4181" t="s">
        <v>79</v>
      </c>
      <c r="D2" s="4182"/>
      <c r="E2" s="1292" t="s">
        <v>326</v>
      </c>
      <c r="F2" s="1952" t="s">
        <v>250</v>
      </c>
      <c r="G2" s="1953" t="s">
        <v>349</v>
      </c>
    </row>
    <row r="3" spans="1:8" s="24" customFormat="1" ht="15" customHeight="1" x14ac:dyDescent="0.25">
      <c r="C3" s="4177" t="s">
        <v>263</v>
      </c>
      <c r="D3" s="1293" t="s">
        <v>274</v>
      </c>
      <c r="E3" s="1294">
        <v>106104164</v>
      </c>
      <c r="F3" s="1055" t="s">
        <v>275</v>
      </c>
      <c r="G3" s="1585">
        <v>1</v>
      </c>
    </row>
    <row r="4" spans="1:8" s="24" customFormat="1" ht="15" customHeight="1" x14ac:dyDescent="0.25">
      <c r="C4" s="4179"/>
      <c r="D4" s="1295" t="s">
        <v>276</v>
      </c>
      <c r="E4" s="1296" t="s">
        <v>350</v>
      </c>
      <c r="F4" s="1057" t="s">
        <v>277</v>
      </c>
      <c r="G4" s="1586">
        <v>1</v>
      </c>
    </row>
    <row r="5" spans="1:8" s="24" customFormat="1" ht="15" customHeight="1" x14ac:dyDescent="0.25">
      <c r="C5" s="4179"/>
      <c r="D5" s="1295" t="s">
        <v>279</v>
      </c>
      <c r="E5" s="1296" t="s">
        <v>351</v>
      </c>
      <c r="F5" s="1057" t="s">
        <v>280</v>
      </c>
      <c r="G5" s="1586">
        <v>1</v>
      </c>
    </row>
    <row r="6" spans="1:8" s="24" customFormat="1" ht="15" customHeight="1" thickBot="1" x14ac:dyDescent="0.3">
      <c r="C6" s="4179"/>
      <c r="D6" s="1297" t="s">
        <v>278</v>
      </c>
      <c r="E6" s="699" t="s">
        <v>352</v>
      </c>
      <c r="F6" s="743" t="s">
        <v>304</v>
      </c>
      <c r="G6" s="1587">
        <v>1</v>
      </c>
    </row>
    <row r="7" spans="1:8" s="24" customFormat="1" ht="15" customHeight="1" x14ac:dyDescent="0.25">
      <c r="C7" s="4177" t="s">
        <v>305</v>
      </c>
      <c r="D7" s="1298" t="s">
        <v>301</v>
      </c>
      <c r="E7" s="700">
        <v>106104092</v>
      </c>
      <c r="F7" s="745" t="s">
        <v>302</v>
      </c>
      <c r="G7" s="1588">
        <v>1</v>
      </c>
    </row>
    <row r="8" spans="1:8" s="24" customFormat="1" ht="15" customHeight="1" x14ac:dyDescent="0.25">
      <c r="C8" s="4179"/>
      <c r="D8" s="1298" t="s">
        <v>290</v>
      </c>
      <c r="E8" s="700">
        <v>106111802</v>
      </c>
      <c r="F8" s="745" t="s">
        <v>306</v>
      </c>
      <c r="G8" s="1588">
        <v>1</v>
      </c>
    </row>
    <row r="9" spans="1:8" s="24" customFormat="1" ht="15" customHeight="1" x14ac:dyDescent="0.25">
      <c r="C9" s="4179"/>
      <c r="D9" s="1298" t="s">
        <v>307</v>
      </c>
      <c r="E9" s="700">
        <v>106109799</v>
      </c>
      <c r="F9" s="745" t="s">
        <v>308</v>
      </c>
      <c r="G9" s="1588">
        <v>2</v>
      </c>
    </row>
    <row r="10" spans="1:8" s="24" customFormat="1" ht="15" customHeight="1" thickBot="1" x14ac:dyDescent="0.3">
      <c r="C10" s="4178"/>
      <c r="D10" s="1299" t="s">
        <v>292</v>
      </c>
      <c r="E10" s="1300">
        <v>106111805</v>
      </c>
      <c r="F10" s="1061" t="s">
        <v>309</v>
      </c>
      <c r="G10" s="1589">
        <v>1</v>
      </c>
    </row>
    <row r="11" spans="1:8" s="24" customFormat="1" ht="15" customHeight="1" x14ac:dyDescent="0.25">
      <c r="C11" s="4177" t="s">
        <v>310</v>
      </c>
      <c r="D11" s="1301" t="s">
        <v>67</v>
      </c>
      <c r="E11" s="701">
        <v>106104093</v>
      </c>
      <c r="F11" s="1063" t="s">
        <v>90</v>
      </c>
      <c r="G11" s="1590">
        <v>1</v>
      </c>
    </row>
    <row r="12" spans="1:8" s="24" customFormat="1" ht="15" customHeight="1" thickBot="1" x14ac:dyDescent="0.3">
      <c r="C12" s="4178"/>
      <c r="D12" s="1301" t="s">
        <v>65</v>
      </c>
      <c r="E12" s="701">
        <v>106104223</v>
      </c>
      <c r="F12" s="1063" t="s">
        <v>92</v>
      </c>
      <c r="G12" s="1590">
        <v>1</v>
      </c>
    </row>
    <row r="13" spans="1:8" s="24" customFormat="1" ht="15" customHeight="1" x14ac:dyDescent="0.25">
      <c r="C13" s="4177" t="s">
        <v>311</v>
      </c>
      <c r="D13" s="1302" t="s">
        <v>312</v>
      </c>
      <c r="E13" s="702">
        <v>106104093</v>
      </c>
      <c r="F13" s="324" t="s">
        <v>90</v>
      </c>
      <c r="G13" s="719">
        <v>1</v>
      </c>
    </row>
    <row r="14" spans="1:8" s="24" customFormat="1" ht="15" customHeight="1" thickBot="1" x14ac:dyDescent="0.3">
      <c r="C14" s="4178"/>
      <c r="D14" s="1302" t="s">
        <v>285</v>
      </c>
      <c r="E14" s="702">
        <v>106104219</v>
      </c>
      <c r="F14" s="324" t="s">
        <v>96</v>
      </c>
      <c r="G14" s="719">
        <v>1</v>
      </c>
    </row>
    <row r="15" spans="1:8" s="24" customFormat="1" ht="15" customHeight="1" x14ac:dyDescent="0.25">
      <c r="C15" s="4177" t="s">
        <v>313</v>
      </c>
      <c r="D15" s="1303" t="s">
        <v>314</v>
      </c>
      <c r="E15" s="703">
        <v>106104093</v>
      </c>
      <c r="F15" s="713" t="s">
        <v>90</v>
      </c>
      <c r="G15" s="1071">
        <v>1</v>
      </c>
    </row>
    <row r="16" spans="1:8" s="24" customFormat="1" ht="15" customHeight="1" thickBot="1" x14ac:dyDescent="0.3">
      <c r="C16" s="4178"/>
      <c r="D16" s="1303" t="s">
        <v>286</v>
      </c>
      <c r="E16" s="703">
        <v>106104221</v>
      </c>
      <c r="F16" s="713" t="s">
        <v>151</v>
      </c>
      <c r="G16" s="1071">
        <v>1</v>
      </c>
    </row>
    <row r="17" spans="3:7" s="24" customFormat="1" ht="15" customHeight="1" x14ac:dyDescent="0.25">
      <c r="C17" s="4177" t="s">
        <v>315</v>
      </c>
      <c r="D17" s="1304" t="s">
        <v>21</v>
      </c>
      <c r="E17" s="704">
        <v>106104110</v>
      </c>
      <c r="F17" s="747" t="s">
        <v>316</v>
      </c>
      <c r="G17" s="1591">
        <v>1</v>
      </c>
    </row>
    <row r="18" spans="3:7" s="24" customFormat="1" ht="15" customHeight="1" x14ac:dyDescent="0.25">
      <c r="C18" s="4179"/>
      <c r="D18" s="1304" t="s">
        <v>281</v>
      </c>
      <c r="E18" s="704">
        <v>106104081</v>
      </c>
      <c r="F18" s="747" t="s">
        <v>317</v>
      </c>
      <c r="G18" s="1591">
        <v>1</v>
      </c>
    </row>
    <row r="19" spans="3:7" s="24" customFormat="1" ht="15" customHeight="1" x14ac:dyDescent="0.25">
      <c r="C19" s="4179"/>
      <c r="D19" s="1304" t="s">
        <v>283</v>
      </c>
      <c r="E19" s="704">
        <v>106104094</v>
      </c>
      <c r="F19" s="747" t="s">
        <v>318</v>
      </c>
      <c r="G19" s="1591">
        <v>1</v>
      </c>
    </row>
    <row r="20" spans="3:7" s="24" customFormat="1" ht="15" customHeight="1" thickBot="1" x14ac:dyDescent="0.3">
      <c r="C20" s="4178"/>
      <c r="D20" s="1304" t="s">
        <v>64</v>
      </c>
      <c r="E20" s="704">
        <v>106104128</v>
      </c>
      <c r="F20" s="747" t="s">
        <v>154</v>
      </c>
      <c r="G20" s="1591">
        <v>1</v>
      </c>
    </row>
    <row r="21" spans="3:7" s="24" customFormat="1" ht="15" customHeight="1" x14ac:dyDescent="0.25">
      <c r="C21" s="4180"/>
      <c r="D21" s="1305" t="s">
        <v>271</v>
      </c>
      <c r="E21" s="705">
        <v>106120457</v>
      </c>
      <c r="F21" s="349" t="s">
        <v>272</v>
      </c>
      <c r="G21" s="575">
        <v>2</v>
      </c>
    </row>
    <row r="22" spans="3:7" s="24" customFormat="1" ht="15" customHeight="1" x14ac:dyDescent="0.25">
      <c r="C22" s="4179"/>
      <c r="D22" s="1305" t="s">
        <v>287</v>
      </c>
      <c r="E22" s="705">
        <v>106105422</v>
      </c>
      <c r="F22" s="349" t="s">
        <v>288</v>
      </c>
      <c r="G22" s="575">
        <v>3</v>
      </c>
    </row>
    <row r="23" spans="3:7" s="24" customFormat="1" ht="15" customHeight="1" x14ac:dyDescent="0.25">
      <c r="C23" s="4179"/>
      <c r="D23" s="1305"/>
      <c r="E23" s="705" t="s">
        <v>755</v>
      </c>
      <c r="F23" s="349" t="s">
        <v>319</v>
      </c>
      <c r="G23" s="575">
        <v>1</v>
      </c>
    </row>
    <row r="24" spans="3:7" s="24" customFormat="1" ht="15" customHeight="1" x14ac:dyDescent="0.25">
      <c r="C24" s="4179"/>
      <c r="D24" s="1305" t="s">
        <v>29</v>
      </c>
      <c r="E24" s="705">
        <v>106111793</v>
      </c>
      <c r="F24" s="349" t="s">
        <v>320</v>
      </c>
      <c r="G24" s="575">
        <v>1</v>
      </c>
    </row>
    <row r="25" spans="3:7" s="24" customFormat="1" ht="15" customHeight="1" x14ac:dyDescent="0.25">
      <c r="C25" s="4179"/>
      <c r="D25" s="2564" t="s">
        <v>41</v>
      </c>
      <c r="E25" s="705">
        <v>106112529</v>
      </c>
      <c r="F25" s="349" t="s">
        <v>321</v>
      </c>
      <c r="G25" s="575">
        <v>1</v>
      </c>
    </row>
    <row r="26" spans="3:7" s="24" customFormat="1" ht="15" customHeight="1" x14ac:dyDescent="0.25">
      <c r="C26" s="4179"/>
      <c r="D26" s="1305" t="s">
        <v>1044</v>
      </c>
      <c r="E26" s="705">
        <v>106204289</v>
      </c>
      <c r="F26" s="349" t="s">
        <v>1043</v>
      </c>
      <c r="G26" s="575">
        <v>1</v>
      </c>
    </row>
    <row r="27" spans="3:7" s="24" customFormat="1" ht="15" customHeight="1" x14ac:dyDescent="0.25">
      <c r="C27" s="4179"/>
      <c r="D27" s="1305" t="s">
        <v>1046</v>
      </c>
      <c r="E27" s="705">
        <v>106117401</v>
      </c>
      <c r="F27" s="349" t="s">
        <v>1041</v>
      </c>
      <c r="G27" s="575">
        <v>1</v>
      </c>
    </row>
    <row r="28" spans="3:7" s="24" customFormat="1" ht="15" customHeight="1" x14ac:dyDescent="0.25">
      <c r="C28" s="4179"/>
      <c r="D28" s="1305" t="s">
        <v>1047</v>
      </c>
      <c r="E28" s="705">
        <v>106116005</v>
      </c>
      <c r="F28" s="349" t="s">
        <v>1040</v>
      </c>
      <c r="G28" s="575">
        <v>2</v>
      </c>
    </row>
    <row r="29" spans="3:7" s="24" customFormat="1" ht="15" customHeight="1" x14ac:dyDescent="0.25">
      <c r="C29" s="4179"/>
      <c r="D29" s="1305"/>
      <c r="E29" s="705">
        <v>106105886</v>
      </c>
      <c r="F29" s="349" t="s">
        <v>1045</v>
      </c>
      <c r="G29" s="575">
        <v>3</v>
      </c>
    </row>
    <row r="30" spans="3:7" s="24" customFormat="1" ht="15" customHeight="1" x14ac:dyDescent="0.25">
      <c r="C30" s="4179"/>
      <c r="D30" s="1305"/>
      <c r="E30" s="705">
        <v>106112712</v>
      </c>
      <c r="F30" s="349" t="s">
        <v>2176</v>
      </c>
      <c r="G30" s="575">
        <v>1</v>
      </c>
    </row>
    <row r="31" spans="3:7" s="24" customFormat="1" ht="15" customHeight="1" x14ac:dyDescent="0.25">
      <c r="C31" s="4179"/>
      <c r="D31" s="1305"/>
      <c r="E31" s="705">
        <v>106112878</v>
      </c>
      <c r="F31" s="349" t="s">
        <v>1042</v>
      </c>
      <c r="G31" s="575">
        <v>5</v>
      </c>
    </row>
    <row r="32" spans="3:7" s="24" customFormat="1" ht="15" customHeight="1" x14ac:dyDescent="0.25">
      <c r="C32" s="4179"/>
      <c r="D32" s="1305" t="s">
        <v>261</v>
      </c>
      <c r="E32" s="705">
        <v>106114701</v>
      </c>
      <c r="F32" s="349" t="s">
        <v>2177</v>
      </c>
      <c r="G32" s="575">
        <v>1</v>
      </c>
    </row>
    <row r="33" spans="2:14" s="24" customFormat="1" ht="15" customHeight="1" x14ac:dyDescent="0.25">
      <c r="C33" s="4179"/>
      <c r="D33" s="1305" t="s">
        <v>289</v>
      </c>
      <c r="E33" s="705">
        <v>106111795</v>
      </c>
      <c r="F33" s="349" t="s">
        <v>2178</v>
      </c>
      <c r="G33" s="575">
        <v>1</v>
      </c>
    </row>
    <row r="34" spans="2:14" s="24" customFormat="1" ht="15" customHeight="1" x14ac:dyDescent="0.25">
      <c r="C34" s="4179"/>
      <c r="D34" s="1305" t="s">
        <v>138</v>
      </c>
      <c r="E34" s="705">
        <v>106104101</v>
      </c>
      <c r="F34" s="349" t="s">
        <v>162</v>
      </c>
      <c r="G34" s="575">
        <v>1</v>
      </c>
    </row>
    <row r="35" spans="2:14" s="24" customFormat="1" ht="15" customHeight="1" x14ac:dyDescent="0.25">
      <c r="C35" s="4179"/>
      <c r="D35" s="1305" t="s">
        <v>298</v>
      </c>
      <c r="E35" s="705">
        <v>106105038</v>
      </c>
      <c r="F35" s="349" t="s">
        <v>299</v>
      </c>
      <c r="G35" s="575">
        <v>3</v>
      </c>
    </row>
    <row r="36" spans="2:14" s="24" customFormat="1" ht="15" customHeight="1" x14ac:dyDescent="0.25">
      <c r="C36" s="4179"/>
      <c r="D36" s="1305" t="s">
        <v>323</v>
      </c>
      <c r="E36" s="705">
        <v>106112525</v>
      </c>
      <c r="F36" s="349" t="s">
        <v>300</v>
      </c>
      <c r="G36" s="575">
        <v>3</v>
      </c>
    </row>
    <row r="37" spans="2:14" s="24" customFormat="1" ht="15" customHeight="1" x14ac:dyDescent="0.25">
      <c r="C37" s="4179"/>
      <c r="D37" s="1305" t="s">
        <v>1143</v>
      </c>
      <c r="E37" s="705">
        <v>106204234</v>
      </c>
      <c r="F37" s="349" t="s">
        <v>1144</v>
      </c>
      <c r="G37" s="575">
        <v>3</v>
      </c>
    </row>
    <row r="38" spans="2:14" s="24" customFormat="1" ht="15" customHeight="1" x14ac:dyDescent="0.25">
      <c r="C38" s="4179"/>
      <c r="D38" s="1305"/>
      <c r="E38" s="705">
        <v>106107580</v>
      </c>
      <c r="F38" s="349" t="s">
        <v>1277</v>
      </c>
      <c r="G38" s="575">
        <v>3</v>
      </c>
    </row>
    <row r="39" spans="2:14" s="24" customFormat="1" ht="15" customHeight="1" thickBot="1" x14ac:dyDescent="0.3">
      <c r="C39" s="4179"/>
      <c r="D39" s="1305" t="s">
        <v>196</v>
      </c>
      <c r="E39" s="705">
        <v>106201346</v>
      </c>
      <c r="F39" s="349" t="s">
        <v>324</v>
      </c>
      <c r="G39" s="575">
        <v>1</v>
      </c>
    </row>
    <row r="40" spans="2:14" s="24" customFormat="1" ht="15" customHeight="1" thickBot="1" x14ac:dyDescent="0.3">
      <c r="C40" s="4178"/>
      <c r="D40" s="1964" t="s">
        <v>518</v>
      </c>
      <c r="E40" s="1605">
        <v>106200854</v>
      </c>
      <c r="F40" s="1964" t="s">
        <v>2179</v>
      </c>
      <c r="G40" s="1965">
        <v>1</v>
      </c>
    </row>
    <row r="41" spans="2:14" ht="15.75" thickBot="1" x14ac:dyDescent="0.3">
      <c r="K41"/>
      <c r="L41"/>
    </row>
    <row r="42" spans="2:14" ht="18.75" customHeight="1" thickBot="1" x14ac:dyDescent="0.3">
      <c r="B42" s="499"/>
      <c r="C42" s="4168" t="s">
        <v>45</v>
      </c>
      <c r="D42" s="4169"/>
      <c r="E42" s="4169"/>
      <c r="F42" s="1725" t="s">
        <v>2189</v>
      </c>
      <c r="G42" s="1603" t="s">
        <v>2198</v>
      </c>
      <c r="K42"/>
      <c r="L42"/>
    </row>
    <row r="43" spans="2:14" ht="34.5" customHeight="1" thickBot="1" x14ac:dyDescent="0.3">
      <c r="B43" s="502"/>
      <c r="C43" s="316" t="s">
        <v>79</v>
      </c>
      <c r="D43" s="317"/>
      <c r="E43" s="318" t="s">
        <v>936</v>
      </c>
      <c r="F43" s="319" t="s">
        <v>250</v>
      </c>
      <c r="G43" s="2087" t="s">
        <v>960</v>
      </c>
      <c r="K43" s="48"/>
      <c r="L43" s="1080"/>
      <c r="M43" s="1080"/>
      <c r="N43" s="1081"/>
    </row>
    <row r="44" spans="2:14" ht="15.75" customHeight="1" x14ac:dyDescent="0.25">
      <c r="B44" s="4172" t="s">
        <v>585</v>
      </c>
      <c r="C44" s="185" t="s">
        <v>263</v>
      </c>
      <c r="D44" s="1055" t="s">
        <v>274</v>
      </c>
      <c r="E44" s="1294">
        <v>106104164</v>
      </c>
      <c r="F44" s="698" t="s">
        <v>275</v>
      </c>
      <c r="G44" s="1585">
        <v>1</v>
      </c>
      <c r="K44" s="358"/>
      <c r="L44" s="1082"/>
      <c r="M44" s="48"/>
      <c r="N44" s="1083"/>
    </row>
    <row r="45" spans="2:14" ht="15.75" customHeight="1" x14ac:dyDescent="0.25">
      <c r="B45" s="4173"/>
      <c r="C45" s="1796"/>
      <c r="D45" s="1057" t="s">
        <v>276</v>
      </c>
      <c r="E45" s="1296" t="s">
        <v>350</v>
      </c>
      <c r="F45" s="146" t="s">
        <v>277</v>
      </c>
      <c r="G45" s="1586">
        <v>1</v>
      </c>
      <c r="K45" s="358"/>
      <c r="L45" s="1082"/>
      <c r="M45" s="48"/>
      <c r="N45" s="1083"/>
    </row>
    <row r="46" spans="2:14" ht="15.75" customHeight="1" x14ac:dyDescent="0.25">
      <c r="B46" s="4173"/>
      <c r="C46" s="1796"/>
      <c r="D46" s="1057" t="s">
        <v>279</v>
      </c>
      <c r="E46" s="1296" t="s">
        <v>351</v>
      </c>
      <c r="F46" s="146" t="s">
        <v>280</v>
      </c>
      <c r="G46" s="1586">
        <v>1</v>
      </c>
      <c r="K46" s="358"/>
      <c r="L46" s="1082"/>
      <c r="M46" s="48"/>
      <c r="N46" s="1083"/>
    </row>
    <row r="47" spans="2:14" ht="15.75" customHeight="1" thickBot="1" x14ac:dyDescent="0.3">
      <c r="B47" s="4174"/>
      <c r="C47" s="1796"/>
      <c r="D47" s="743" t="s">
        <v>278</v>
      </c>
      <c r="E47" s="699" t="s">
        <v>352</v>
      </c>
      <c r="F47" s="147" t="s">
        <v>2124</v>
      </c>
      <c r="G47" s="1587">
        <v>1</v>
      </c>
      <c r="K47" s="358"/>
      <c r="L47" s="1082"/>
      <c r="M47" s="48"/>
      <c r="N47" s="1083"/>
    </row>
    <row r="48" spans="2:14" ht="15.75" customHeight="1" x14ac:dyDescent="0.25">
      <c r="B48" s="4172" t="s">
        <v>586</v>
      </c>
      <c r="C48" s="185" t="s">
        <v>305</v>
      </c>
      <c r="D48" s="745" t="s">
        <v>301</v>
      </c>
      <c r="E48" s="700">
        <v>106104092</v>
      </c>
      <c r="F48" s="148" t="s">
        <v>302</v>
      </c>
      <c r="G48" s="1588">
        <v>1</v>
      </c>
      <c r="K48" s="358"/>
      <c r="L48" s="1082"/>
      <c r="M48" s="48"/>
      <c r="N48" s="1083"/>
    </row>
    <row r="49" spans="2:14" ht="15.75" customHeight="1" x14ac:dyDescent="0.25">
      <c r="B49" s="4173"/>
      <c r="C49" s="1796"/>
      <c r="D49" s="745" t="s">
        <v>290</v>
      </c>
      <c r="E49" s="700">
        <v>106111802</v>
      </c>
      <c r="F49" s="1958" t="s">
        <v>306</v>
      </c>
      <c r="G49" s="1588">
        <v>1</v>
      </c>
      <c r="K49" s="358"/>
      <c r="L49" s="1082"/>
      <c r="M49" s="48"/>
      <c r="N49" s="1083"/>
    </row>
    <row r="50" spans="2:14" ht="15.75" customHeight="1" x14ac:dyDescent="0.25">
      <c r="B50" s="4173"/>
      <c r="C50" s="1796"/>
      <c r="D50" s="745" t="s">
        <v>307</v>
      </c>
      <c r="E50" s="700">
        <v>106109799</v>
      </c>
      <c r="F50" s="148" t="s">
        <v>308</v>
      </c>
      <c r="G50" s="1588">
        <v>2</v>
      </c>
      <c r="K50" s="358"/>
      <c r="L50" s="1082"/>
      <c r="M50" s="48"/>
      <c r="N50" s="1083"/>
    </row>
    <row r="51" spans="2:14" ht="15.75" customHeight="1" thickBot="1" x14ac:dyDescent="0.3">
      <c r="B51" s="4174"/>
      <c r="C51" s="1797"/>
      <c r="D51" s="1061" t="s">
        <v>292</v>
      </c>
      <c r="E51" s="1300">
        <v>106111805</v>
      </c>
      <c r="F51" s="149" t="s">
        <v>2180</v>
      </c>
      <c r="G51" s="1589">
        <v>1</v>
      </c>
      <c r="K51" s="358"/>
      <c r="L51" s="1082"/>
      <c r="M51" s="48"/>
      <c r="N51" s="1083"/>
    </row>
    <row r="52" spans="2:14" ht="15.75" customHeight="1" x14ac:dyDescent="0.25">
      <c r="B52" s="4172" t="s">
        <v>587</v>
      </c>
      <c r="C52" s="185" t="s">
        <v>310</v>
      </c>
      <c r="D52" s="1063" t="s">
        <v>67</v>
      </c>
      <c r="E52" s="701">
        <v>106104093</v>
      </c>
      <c r="F52" s="150" t="s">
        <v>1057</v>
      </c>
      <c r="G52" s="1590">
        <v>1</v>
      </c>
      <c r="K52" s="358"/>
      <c r="L52" s="1082"/>
      <c r="M52" s="48"/>
      <c r="N52" s="1083"/>
    </row>
    <row r="53" spans="2:14" ht="15.75" customHeight="1" thickBot="1" x14ac:dyDescent="0.3">
      <c r="B53" s="4173"/>
      <c r="C53" s="1797"/>
      <c r="D53" s="1063" t="s">
        <v>65</v>
      </c>
      <c r="E53" s="701">
        <v>106104223</v>
      </c>
      <c r="F53" s="150" t="s">
        <v>92</v>
      </c>
      <c r="G53" s="1590">
        <v>1</v>
      </c>
      <c r="K53" s="358"/>
      <c r="L53" s="1082"/>
      <c r="M53" s="48"/>
      <c r="N53" s="1083"/>
    </row>
    <row r="54" spans="2:14" ht="15.75" customHeight="1" x14ac:dyDescent="0.25">
      <c r="B54" s="4173"/>
      <c r="C54" s="185" t="s">
        <v>311</v>
      </c>
      <c r="D54" s="324" t="s">
        <v>312</v>
      </c>
      <c r="E54" s="702">
        <v>106104093</v>
      </c>
      <c r="F54" s="151" t="s">
        <v>1057</v>
      </c>
      <c r="G54" s="719">
        <v>1</v>
      </c>
      <c r="K54" s="358"/>
      <c r="L54" s="1082"/>
      <c r="M54" s="48"/>
      <c r="N54" s="1083"/>
    </row>
    <row r="55" spans="2:14" ht="15.75" customHeight="1" thickBot="1" x14ac:dyDescent="0.3">
      <c r="B55" s="4173"/>
      <c r="C55" s="1797"/>
      <c r="D55" s="324" t="s">
        <v>285</v>
      </c>
      <c r="E55" s="702">
        <v>106104219</v>
      </c>
      <c r="F55" s="151" t="s">
        <v>96</v>
      </c>
      <c r="G55" s="719">
        <v>1</v>
      </c>
      <c r="K55" s="358"/>
      <c r="L55" s="1082"/>
      <c r="M55" s="48"/>
      <c r="N55" s="1083"/>
    </row>
    <row r="56" spans="2:14" ht="15.75" customHeight="1" x14ac:dyDescent="0.25">
      <c r="B56" s="4173"/>
      <c r="C56" s="185" t="s">
        <v>313</v>
      </c>
      <c r="D56" s="713" t="s">
        <v>314</v>
      </c>
      <c r="E56" s="703">
        <v>106104093</v>
      </c>
      <c r="F56" s="153" t="s">
        <v>1057</v>
      </c>
      <c r="G56" s="1071">
        <v>1</v>
      </c>
      <c r="K56" s="358"/>
      <c r="L56" s="1082"/>
      <c r="M56" s="48"/>
      <c r="N56" s="1083"/>
    </row>
    <row r="57" spans="2:14" ht="15.75" customHeight="1" thickBot="1" x14ac:dyDescent="0.3">
      <c r="B57" s="4174"/>
      <c r="C57" s="1797"/>
      <c r="D57" s="713" t="s">
        <v>286</v>
      </c>
      <c r="E57" s="703">
        <v>106104221</v>
      </c>
      <c r="F57" s="153" t="s">
        <v>151</v>
      </c>
      <c r="G57" s="1071">
        <v>1</v>
      </c>
      <c r="K57" s="358"/>
      <c r="L57" s="1082"/>
      <c r="M57" s="48"/>
      <c r="N57" s="1083"/>
    </row>
    <row r="58" spans="2:14" ht="15.75" customHeight="1" x14ac:dyDescent="0.25">
      <c r="B58" s="1798" t="s">
        <v>588</v>
      </c>
      <c r="C58" s="185" t="s">
        <v>315</v>
      </c>
      <c r="D58" s="747" t="s">
        <v>21</v>
      </c>
      <c r="E58" s="704">
        <v>106104110</v>
      </c>
      <c r="F58" s="154" t="s">
        <v>316</v>
      </c>
      <c r="G58" s="1591">
        <v>1</v>
      </c>
      <c r="K58" s="358"/>
      <c r="L58" s="1082"/>
      <c r="M58" s="48"/>
      <c r="N58" s="1083"/>
    </row>
    <row r="59" spans="2:14" ht="15.75" customHeight="1" x14ac:dyDescent="0.25">
      <c r="B59" s="503"/>
      <c r="C59" s="1796"/>
      <c r="D59" s="747" t="s">
        <v>281</v>
      </c>
      <c r="E59" s="704">
        <v>106104081</v>
      </c>
      <c r="F59" s="154" t="s">
        <v>317</v>
      </c>
      <c r="G59" s="1591">
        <v>1</v>
      </c>
      <c r="K59" s="358"/>
      <c r="L59" s="1082"/>
      <c r="M59" s="48"/>
      <c r="N59" s="1083"/>
    </row>
    <row r="60" spans="2:14" ht="15.75" customHeight="1" x14ac:dyDescent="0.25">
      <c r="B60" s="503"/>
      <c r="C60" s="1796"/>
      <c r="D60" s="747" t="s">
        <v>283</v>
      </c>
      <c r="E60" s="704">
        <v>106104094</v>
      </c>
      <c r="F60" s="154" t="s">
        <v>318</v>
      </c>
      <c r="G60" s="1591">
        <v>1</v>
      </c>
      <c r="K60" s="358"/>
      <c r="L60" s="1082"/>
      <c r="M60" s="48"/>
      <c r="N60" s="1083"/>
    </row>
    <row r="61" spans="2:14" ht="15.75" customHeight="1" thickBot="1" x14ac:dyDescent="0.3">
      <c r="B61" s="504"/>
      <c r="C61" s="1797"/>
      <c r="D61" s="747" t="s">
        <v>64</v>
      </c>
      <c r="E61" s="704">
        <v>106104128</v>
      </c>
      <c r="F61" s="154" t="s">
        <v>154</v>
      </c>
      <c r="G61" s="1591">
        <v>1</v>
      </c>
      <c r="K61" s="358"/>
      <c r="L61" s="1082"/>
      <c r="M61" s="48"/>
      <c r="N61" s="1083"/>
    </row>
    <row r="62" spans="2:14" ht="15.75" customHeight="1" x14ac:dyDescent="0.25">
      <c r="B62" s="503" t="s">
        <v>647</v>
      </c>
      <c r="C62" s="186"/>
      <c r="D62" s="349" t="s">
        <v>271</v>
      </c>
      <c r="E62" s="705">
        <v>106120457</v>
      </c>
      <c r="F62" s="155" t="s">
        <v>272</v>
      </c>
      <c r="G62" s="575">
        <v>2</v>
      </c>
      <c r="K62" s="358"/>
      <c r="L62" s="1082"/>
      <c r="M62" s="48"/>
      <c r="N62" s="1083"/>
    </row>
    <row r="63" spans="2:14" ht="15.75" customHeight="1" x14ac:dyDescent="0.25">
      <c r="B63" s="503" t="s">
        <v>647</v>
      </c>
      <c r="C63" s="1796"/>
      <c r="D63" s="349" t="s">
        <v>287</v>
      </c>
      <c r="E63" s="705">
        <v>106105422</v>
      </c>
      <c r="F63" s="155" t="s">
        <v>288</v>
      </c>
      <c r="G63" s="575">
        <v>3</v>
      </c>
      <c r="K63" s="358"/>
      <c r="L63" s="1082"/>
      <c r="M63" s="48"/>
      <c r="N63" s="1083"/>
    </row>
    <row r="64" spans="2:14" ht="15.75" customHeight="1" x14ac:dyDescent="0.25">
      <c r="B64" s="503" t="s">
        <v>647</v>
      </c>
      <c r="C64" s="1796"/>
      <c r="D64" s="349" t="s">
        <v>29</v>
      </c>
      <c r="E64" s="705">
        <v>106111793</v>
      </c>
      <c r="F64" s="155" t="s">
        <v>320</v>
      </c>
      <c r="G64" s="575">
        <v>1</v>
      </c>
      <c r="K64" s="358"/>
      <c r="L64" s="1082"/>
      <c r="M64" s="48"/>
      <c r="N64" s="1083"/>
    </row>
    <row r="65" spans="1:14" ht="15.75" customHeight="1" x14ac:dyDescent="0.25">
      <c r="B65" s="503" t="s">
        <v>647</v>
      </c>
      <c r="C65" s="1796"/>
      <c r="D65" s="3854" t="s">
        <v>589</v>
      </c>
      <c r="E65" s="705">
        <v>106112529</v>
      </c>
      <c r="F65" s="1959" t="s">
        <v>321</v>
      </c>
      <c r="G65" s="575">
        <v>1</v>
      </c>
      <c r="K65" s="358"/>
      <c r="L65" s="1084"/>
      <c r="M65" s="48"/>
      <c r="N65" s="1083"/>
    </row>
    <row r="66" spans="1:14" ht="15.75" customHeight="1" x14ac:dyDescent="0.25">
      <c r="B66" s="503" t="s">
        <v>590</v>
      </c>
      <c r="C66" s="1796"/>
      <c r="D66" s="349" t="s">
        <v>40</v>
      </c>
      <c r="E66" s="705">
        <v>106200771</v>
      </c>
      <c r="F66" s="155" t="s">
        <v>322</v>
      </c>
      <c r="G66" s="575">
        <v>1</v>
      </c>
      <c r="K66" s="358"/>
      <c r="L66" s="1082"/>
      <c r="M66" s="48"/>
      <c r="N66" s="1083"/>
    </row>
    <row r="67" spans="1:14" ht="15.75" customHeight="1" x14ac:dyDescent="0.25">
      <c r="A67" s="373" t="s">
        <v>499</v>
      </c>
      <c r="B67" s="505" t="s">
        <v>591</v>
      </c>
      <c r="C67" s="1796"/>
      <c r="D67" s="515" t="s">
        <v>645</v>
      </c>
      <c r="E67" s="575">
        <v>106114701</v>
      </c>
      <c r="F67" s="155" t="s">
        <v>273</v>
      </c>
      <c r="G67" s="575">
        <v>1</v>
      </c>
      <c r="K67" s="1085"/>
      <c r="L67" s="1082"/>
      <c r="M67" s="48"/>
      <c r="N67" s="1083"/>
    </row>
    <row r="68" spans="1:14" ht="15.75" customHeight="1" x14ac:dyDescent="0.25">
      <c r="A68" s="373" t="s">
        <v>501</v>
      </c>
      <c r="B68" s="505" t="s">
        <v>591</v>
      </c>
      <c r="C68" s="1796"/>
      <c r="D68" s="349" t="s">
        <v>289</v>
      </c>
      <c r="E68" s="705">
        <v>106111795</v>
      </c>
      <c r="F68" s="155" t="s">
        <v>550</v>
      </c>
      <c r="G68" s="575">
        <v>1</v>
      </c>
      <c r="K68" s="358"/>
      <c r="L68" s="1082"/>
      <c r="M68" s="48"/>
      <c r="N68" s="1083"/>
    </row>
    <row r="69" spans="1:14" ht="15.75" customHeight="1" x14ac:dyDescent="0.25">
      <c r="A69" s="373" t="s">
        <v>502</v>
      </c>
      <c r="B69" s="503"/>
      <c r="C69" s="1796"/>
      <c r="D69" s="349" t="s">
        <v>138</v>
      </c>
      <c r="E69" s="705">
        <v>106104101</v>
      </c>
      <c r="F69" s="155" t="s">
        <v>162</v>
      </c>
      <c r="G69" s="575">
        <v>1</v>
      </c>
      <c r="K69" s="358"/>
      <c r="L69" s="1082"/>
      <c r="M69" s="48"/>
      <c r="N69" s="1083"/>
    </row>
    <row r="70" spans="1:14" ht="15.75" customHeight="1" x14ac:dyDescent="0.25">
      <c r="A70" s="373" t="s">
        <v>500</v>
      </c>
      <c r="B70" s="503" t="s">
        <v>647</v>
      </c>
      <c r="C70" s="1796"/>
      <c r="D70" s="349" t="s">
        <v>298</v>
      </c>
      <c r="E70" s="705">
        <v>106105038</v>
      </c>
      <c r="F70" s="155" t="s">
        <v>299</v>
      </c>
      <c r="G70" s="575">
        <v>3</v>
      </c>
      <c r="K70" s="358"/>
      <c r="L70" s="1082"/>
      <c r="M70" s="48"/>
      <c r="N70" s="1083"/>
    </row>
    <row r="71" spans="1:14" ht="15.75" customHeight="1" x14ac:dyDescent="0.25">
      <c r="B71" s="503" t="s">
        <v>647</v>
      </c>
      <c r="C71" s="1796"/>
      <c r="D71" s="349" t="s">
        <v>323</v>
      </c>
      <c r="E71" s="705">
        <v>106112525</v>
      </c>
      <c r="F71" s="155" t="s">
        <v>300</v>
      </c>
      <c r="G71" s="575">
        <v>3</v>
      </c>
      <c r="K71" s="358"/>
      <c r="L71" s="1082"/>
      <c r="M71" s="48"/>
      <c r="N71" s="1083"/>
    </row>
    <row r="72" spans="1:14" s="11" customFormat="1" ht="15.75" customHeight="1" x14ac:dyDescent="0.25">
      <c r="A72" s="1383"/>
      <c r="B72" s="503"/>
      <c r="C72" s="1796"/>
      <c r="D72" s="418"/>
      <c r="E72" s="1593">
        <v>106107580</v>
      </c>
      <c r="F72" s="155" t="s">
        <v>1277</v>
      </c>
      <c r="G72" s="1581">
        <v>3</v>
      </c>
      <c r="K72" s="939"/>
      <c r="L72" s="60"/>
      <c r="M72" s="48"/>
      <c r="N72" s="1083"/>
    </row>
    <row r="73" spans="1:14" s="11" customFormat="1" ht="15.75" customHeight="1" x14ac:dyDescent="0.25">
      <c r="A73" s="1383"/>
      <c r="B73" s="503" t="s">
        <v>647</v>
      </c>
      <c r="C73" s="1796"/>
      <c r="D73" s="184"/>
      <c r="E73" s="597">
        <v>106112712</v>
      </c>
      <c r="F73" s="144" t="s">
        <v>683</v>
      </c>
      <c r="G73" s="575">
        <v>3</v>
      </c>
      <c r="K73" s="1086"/>
      <c r="L73" s="48"/>
      <c r="M73" s="48"/>
      <c r="N73" s="1083"/>
    </row>
    <row r="74" spans="1:14" ht="15.75" customHeight="1" thickBot="1" x14ac:dyDescent="0.3">
      <c r="B74" s="504"/>
      <c r="C74" s="1796"/>
      <c r="D74" s="352" t="s">
        <v>196</v>
      </c>
      <c r="E74" s="706">
        <v>106201346</v>
      </c>
      <c r="F74" s="1960" t="s">
        <v>324</v>
      </c>
      <c r="G74" s="730">
        <v>1</v>
      </c>
      <c r="K74" s="358"/>
      <c r="L74" s="1087"/>
      <c r="M74" s="48"/>
      <c r="N74" s="1083"/>
    </row>
    <row r="75" spans="1:14" s="11" customFormat="1" ht="15.75" customHeight="1" thickBot="1" x14ac:dyDescent="0.3">
      <c r="A75" s="1342"/>
      <c r="B75" s="1686"/>
      <c r="C75" s="1582"/>
      <c r="D75" s="1961" t="str">
        <f>IF($F$42=$H$80,D80,IF($F$42=$H$81,D81))</f>
        <v xml:space="preserve"> AAS7100</v>
      </c>
      <c r="E75" s="1962">
        <f>IF($F$42=$H$80,E80,IF($F$42=$H$81,E81))</f>
        <v>106200854</v>
      </c>
      <c r="F75" s="1584" t="str">
        <f>IF($F$42=$H$80,F80,IF($F$42=$H$81,F81))</f>
        <v>VARIADOR PARA INGECON SUN TRIFASICO CON CONEXIÓN A RED 80 KW</v>
      </c>
      <c r="G75" s="1963">
        <v>1</v>
      </c>
      <c r="I75" s="182"/>
      <c r="J75" s="179"/>
      <c r="K75" s="1078"/>
      <c r="L75" s="1079"/>
      <c r="M75" s="180"/>
      <c r="N75" s="1083"/>
    </row>
    <row r="76" spans="1:14" x14ac:dyDescent="0.25">
      <c r="H76" s="11"/>
      <c r="I76" s="11"/>
      <c r="J76" s="11"/>
      <c r="M76" s="11"/>
    </row>
    <row r="77" spans="1:14" ht="15.75" thickBot="1" x14ac:dyDescent="0.3">
      <c r="E77" s="40" t="s">
        <v>148</v>
      </c>
      <c r="H77" s="11"/>
      <c r="I77" s="11"/>
      <c r="J77" s="11"/>
      <c r="M77" s="11"/>
    </row>
    <row r="78" spans="1:14" ht="15.75" thickBot="1" x14ac:dyDescent="0.3">
      <c r="B78" s="506"/>
      <c r="C78" s="4135" t="s">
        <v>11</v>
      </c>
      <c r="D78" s="4138"/>
      <c r="E78" s="4138"/>
      <c r="F78" s="4138"/>
      <c r="G78" s="4138"/>
      <c r="H78" s="4139"/>
      <c r="I78" s="11"/>
      <c r="J78" s="11"/>
      <c r="M78" s="11"/>
    </row>
    <row r="79" spans="1:14" ht="26.25" customHeight="1" thickBot="1" x14ac:dyDescent="0.3">
      <c r="B79" s="500"/>
      <c r="C79" s="6"/>
      <c r="D79" s="6"/>
      <c r="E79" s="131" t="s">
        <v>13</v>
      </c>
      <c r="F79" s="6" t="s">
        <v>1</v>
      </c>
      <c r="G79" s="140" t="s">
        <v>349</v>
      </c>
      <c r="H79" s="7" t="s">
        <v>8</v>
      </c>
      <c r="K79"/>
      <c r="L79"/>
    </row>
    <row r="80" spans="1:14" ht="18.75" customHeight="1" x14ac:dyDescent="0.25">
      <c r="B80" s="456"/>
      <c r="C80" s="1871"/>
      <c r="D80" s="1954" t="s">
        <v>435</v>
      </c>
      <c r="E80" s="1955">
        <v>106203422</v>
      </c>
      <c r="F80" s="1956" t="s">
        <v>2181</v>
      </c>
      <c r="G80" s="1957">
        <v>1</v>
      </c>
      <c r="H80" s="217" t="s">
        <v>2188</v>
      </c>
      <c r="K80"/>
      <c r="L80"/>
    </row>
    <row r="81" spans="2:12" ht="22.5" customHeight="1" thickBot="1" x14ac:dyDescent="0.3">
      <c r="B81" s="457"/>
      <c r="C81" s="1871"/>
      <c r="D81" s="1954" t="s">
        <v>355</v>
      </c>
      <c r="E81" s="1955">
        <v>106200854</v>
      </c>
      <c r="F81" s="1956" t="s">
        <v>2179</v>
      </c>
      <c r="G81" s="1957">
        <v>1</v>
      </c>
      <c r="H81" s="217" t="s">
        <v>2189</v>
      </c>
      <c r="K81"/>
      <c r="L81"/>
    </row>
    <row r="82" spans="2:12" ht="15.75" thickBot="1" x14ac:dyDescent="0.3"/>
    <row r="83" spans="2:12" ht="18.75" customHeight="1" thickBot="1" x14ac:dyDescent="0.3">
      <c r="C83" s="4157" t="s">
        <v>2182</v>
      </c>
      <c r="D83" s="4158"/>
      <c r="E83" s="4158"/>
      <c r="F83" s="4158"/>
      <c r="G83" s="1603" t="s">
        <v>2198</v>
      </c>
    </row>
    <row r="84" spans="2:12" ht="30.75" thickBot="1" x14ac:dyDescent="0.3">
      <c r="C84" s="4175" t="s">
        <v>79</v>
      </c>
      <c r="D84" s="4176"/>
      <c r="E84" s="2088" t="s">
        <v>326</v>
      </c>
      <c r="F84" s="2089" t="s">
        <v>250</v>
      </c>
      <c r="G84" s="2087" t="s">
        <v>960</v>
      </c>
      <c r="J84" s="11"/>
      <c r="L84"/>
    </row>
    <row r="85" spans="2:12" ht="15" customHeight="1" x14ac:dyDescent="0.25">
      <c r="C85" s="4170" t="s">
        <v>263</v>
      </c>
      <c r="D85" s="800" t="s">
        <v>274</v>
      </c>
      <c r="E85" s="587">
        <v>106104164</v>
      </c>
      <c r="F85" s="801" t="s">
        <v>275</v>
      </c>
      <c r="G85" s="587">
        <v>1</v>
      </c>
      <c r="J85" s="11"/>
      <c r="L85"/>
    </row>
    <row r="86" spans="2:12" x14ac:dyDescent="0.25">
      <c r="C86" s="4166"/>
      <c r="D86" s="802" t="s">
        <v>276</v>
      </c>
      <c r="E86" s="588">
        <v>106104211</v>
      </c>
      <c r="F86" s="803" t="s">
        <v>277</v>
      </c>
      <c r="G86" s="588">
        <v>1</v>
      </c>
      <c r="J86" s="11"/>
      <c r="L86"/>
    </row>
    <row r="87" spans="2:12" x14ac:dyDescent="0.25">
      <c r="C87" s="4166"/>
      <c r="D87" s="802" t="s">
        <v>279</v>
      </c>
      <c r="E87" s="588">
        <v>106106242</v>
      </c>
      <c r="F87" s="803" t="s">
        <v>280</v>
      </c>
      <c r="G87" s="588">
        <v>1</v>
      </c>
      <c r="J87" s="11"/>
      <c r="L87"/>
    </row>
    <row r="88" spans="2:12" ht="15.75" thickBot="1" x14ac:dyDescent="0.3">
      <c r="C88" s="4171"/>
      <c r="D88" s="804" t="s">
        <v>278</v>
      </c>
      <c r="E88" s="589">
        <v>106104214</v>
      </c>
      <c r="F88" s="805" t="s">
        <v>2124</v>
      </c>
      <c r="G88" s="589">
        <v>1</v>
      </c>
      <c r="J88" s="11"/>
      <c r="L88"/>
    </row>
    <row r="89" spans="2:12" ht="15" customHeight="1" x14ac:dyDescent="0.25">
      <c r="C89" s="4170" t="s">
        <v>305</v>
      </c>
      <c r="D89" s="806" t="s">
        <v>301</v>
      </c>
      <c r="E89" s="590">
        <v>106104092</v>
      </c>
      <c r="F89" s="807" t="s">
        <v>302</v>
      </c>
      <c r="G89" s="590">
        <v>1</v>
      </c>
      <c r="J89" s="11"/>
      <c r="L89"/>
    </row>
    <row r="90" spans="2:12" x14ac:dyDescent="0.25">
      <c r="C90" s="4166"/>
      <c r="D90" s="806" t="s">
        <v>290</v>
      </c>
      <c r="E90" s="590">
        <v>106111802</v>
      </c>
      <c r="F90" s="807" t="s">
        <v>306</v>
      </c>
      <c r="G90" s="590">
        <v>1</v>
      </c>
      <c r="J90" s="11"/>
      <c r="L90"/>
    </row>
    <row r="91" spans="2:12" x14ac:dyDescent="0.25">
      <c r="C91" s="4166"/>
      <c r="D91" s="806" t="s">
        <v>307</v>
      </c>
      <c r="E91" s="590">
        <v>106109799</v>
      </c>
      <c r="F91" s="807" t="s">
        <v>308</v>
      </c>
      <c r="G91" s="590">
        <v>2</v>
      </c>
      <c r="J91" s="11"/>
      <c r="L91"/>
    </row>
    <row r="92" spans="2:12" ht="15.75" thickBot="1" x14ac:dyDescent="0.3">
      <c r="C92" s="4167"/>
      <c r="D92" s="808" t="s">
        <v>292</v>
      </c>
      <c r="E92" s="591">
        <v>106111805</v>
      </c>
      <c r="F92" s="809" t="s">
        <v>2180</v>
      </c>
      <c r="G92" s="591">
        <v>1</v>
      </c>
      <c r="J92" s="11"/>
      <c r="L92"/>
    </row>
    <row r="93" spans="2:12" ht="15" customHeight="1" x14ac:dyDescent="0.25">
      <c r="C93" s="4165" t="s">
        <v>310</v>
      </c>
      <c r="D93" s="810" t="s">
        <v>67</v>
      </c>
      <c r="E93" s="592">
        <v>106104093</v>
      </c>
      <c r="F93" s="811" t="s">
        <v>1057</v>
      </c>
      <c r="G93" s="592">
        <v>1</v>
      </c>
      <c r="J93" s="11"/>
      <c r="L93"/>
    </row>
    <row r="94" spans="2:12" ht="15.75" thickBot="1" x14ac:dyDescent="0.3">
      <c r="C94" s="4167"/>
      <c r="D94" s="810" t="s">
        <v>65</v>
      </c>
      <c r="E94" s="592">
        <v>106104223</v>
      </c>
      <c r="F94" s="811" t="s">
        <v>92</v>
      </c>
      <c r="G94" s="592">
        <v>1</v>
      </c>
      <c r="J94" s="11"/>
      <c r="L94"/>
    </row>
    <row r="95" spans="2:12" ht="15" customHeight="1" x14ac:dyDescent="0.25">
      <c r="C95" s="4165" t="s">
        <v>311</v>
      </c>
      <c r="D95" s="812" t="s">
        <v>312</v>
      </c>
      <c r="E95" s="593">
        <v>106104093</v>
      </c>
      <c r="F95" s="813" t="s">
        <v>1057</v>
      </c>
      <c r="G95" s="593">
        <v>1</v>
      </c>
      <c r="J95" s="11"/>
      <c r="L95"/>
    </row>
    <row r="96" spans="2:12" ht="15.75" thickBot="1" x14ac:dyDescent="0.3">
      <c r="C96" s="4167"/>
      <c r="D96" s="812" t="s">
        <v>285</v>
      </c>
      <c r="E96" s="593">
        <v>106104219</v>
      </c>
      <c r="F96" s="813" t="s">
        <v>96</v>
      </c>
      <c r="G96" s="593">
        <v>1</v>
      </c>
      <c r="J96" s="11"/>
      <c r="L96"/>
    </row>
    <row r="97" spans="1:12" ht="15" customHeight="1" x14ac:dyDescent="0.25">
      <c r="C97" s="4165" t="s">
        <v>313</v>
      </c>
      <c r="D97" s="814" t="s">
        <v>314</v>
      </c>
      <c r="E97" s="594">
        <v>106104093</v>
      </c>
      <c r="F97" s="815" t="s">
        <v>1057</v>
      </c>
      <c r="G97" s="594">
        <v>1</v>
      </c>
      <c r="J97" s="11"/>
      <c r="L97"/>
    </row>
    <row r="98" spans="1:12" ht="15.75" thickBot="1" x14ac:dyDescent="0.3">
      <c r="C98" s="4167"/>
      <c r="D98" s="814" t="s">
        <v>286</v>
      </c>
      <c r="E98" s="594">
        <v>106104221</v>
      </c>
      <c r="F98" s="815" t="s">
        <v>151</v>
      </c>
      <c r="G98" s="594">
        <v>1</v>
      </c>
      <c r="J98" s="11"/>
      <c r="L98"/>
    </row>
    <row r="99" spans="1:12" ht="15" customHeight="1" x14ac:dyDescent="0.25">
      <c r="C99" s="4165" t="s">
        <v>315</v>
      </c>
      <c r="D99" s="816" t="s">
        <v>21</v>
      </c>
      <c r="E99" s="595">
        <v>106104110</v>
      </c>
      <c r="F99" s="817" t="s">
        <v>316</v>
      </c>
      <c r="G99" s="595">
        <v>1</v>
      </c>
      <c r="J99" s="11"/>
      <c r="L99"/>
    </row>
    <row r="100" spans="1:12" x14ac:dyDescent="0.25">
      <c r="C100" s="4166"/>
      <c r="D100" s="816" t="s">
        <v>281</v>
      </c>
      <c r="E100" s="595">
        <v>106104081</v>
      </c>
      <c r="F100" s="817" t="s">
        <v>317</v>
      </c>
      <c r="G100" s="595">
        <v>1</v>
      </c>
      <c r="J100" s="11"/>
      <c r="L100"/>
    </row>
    <row r="101" spans="1:12" x14ac:dyDescent="0.25">
      <c r="C101" s="4166"/>
      <c r="D101" s="816" t="s">
        <v>283</v>
      </c>
      <c r="E101" s="595">
        <v>106104094</v>
      </c>
      <c r="F101" s="817" t="s">
        <v>318</v>
      </c>
      <c r="G101" s="595">
        <v>1</v>
      </c>
      <c r="J101" s="11"/>
      <c r="L101"/>
    </row>
    <row r="102" spans="1:12" ht="15.75" thickBot="1" x14ac:dyDescent="0.3">
      <c r="C102" s="4167"/>
      <c r="D102" s="816" t="s">
        <v>64</v>
      </c>
      <c r="E102" s="595">
        <v>106104128</v>
      </c>
      <c r="F102" s="817" t="s">
        <v>154</v>
      </c>
      <c r="G102" s="595">
        <v>1</v>
      </c>
      <c r="J102" s="11"/>
      <c r="L102"/>
    </row>
    <row r="103" spans="1:12" x14ac:dyDescent="0.25">
      <c r="C103" s="4165"/>
      <c r="D103" s="818" t="s">
        <v>271</v>
      </c>
      <c r="E103" s="596">
        <v>106120457</v>
      </c>
      <c r="F103" s="819" t="s">
        <v>272</v>
      </c>
      <c r="G103" s="596">
        <v>2</v>
      </c>
      <c r="J103" s="11"/>
      <c r="L103"/>
    </row>
    <row r="104" spans="1:12" x14ac:dyDescent="0.25">
      <c r="C104" s="4166"/>
      <c r="D104" s="818" t="s">
        <v>287</v>
      </c>
      <c r="E104" s="596">
        <v>106105422</v>
      </c>
      <c r="F104" s="819" t="s">
        <v>288</v>
      </c>
      <c r="G104" s="596">
        <v>3</v>
      </c>
      <c r="J104" s="11"/>
      <c r="L104"/>
    </row>
    <row r="105" spans="1:12" x14ac:dyDescent="0.25">
      <c r="C105" s="4166"/>
      <c r="D105" s="818" t="s">
        <v>29</v>
      </c>
      <c r="E105" s="596">
        <v>106111793</v>
      </c>
      <c r="F105" s="819" t="s">
        <v>320</v>
      </c>
      <c r="G105" s="596">
        <v>1</v>
      </c>
      <c r="J105" s="11"/>
      <c r="L105"/>
    </row>
    <row r="106" spans="1:12" x14ac:dyDescent="0.25">
      <c r="C106" s="4166"/>
      <c r="D106" s="2564" t="s">
        <v>41</v>
      </c>
      <c r="E106" s="596">
        <v>106112529</v>
      </c>
      <c r="F106" s="819" t="s">
        <v>321</v>
      </c>
      <c r="G106" s="596">
        <v>1</v>
      </c>
      <c r="J106" s="11"/>
      <c r="L106"/>
    </row>
    <row r="107" spans="1:12" x14ac:dyDescent="0.25">
      <c r="C107" s="4166"/>
      <c r="D107" s="818" t="s">
        <v>40</v>
      </c>
      <c r="E107" s="596">
        <v>106200771</v>
      </c>
      <c r="F107" s="819" t="s">
        <v>322</v>
      </c>
      <c r="G107" s="596">
        <v>1</v>
      </c>
      <c r="J107" s="11"/>
      <c r="L107"/>
    </row>
    <row r="108" spans="1:12" x14ac:dyDescent="0.25">
      <c r="C108" s="4166"/>
      <c r="D108" s="818" t="s">
        <v>261</v>
      </c>
      <c r="E108" s="596">
        <v>106110278</v>
      </c>
      <c r="F108" s="819" t="s">
        <v>273</v>
      </c>
      <c r="G108" s="596">
        <v>1</v>
      </c>
      <c r="J108" s="11"/>
      <c r="L108"/>
    </row>
    <row r="109" spans="1:12" ht="30" x14ac:dyDescent="0.25">
      <c r="C109" s="4166"/>
      <c r="D109" s="818" t="s">
        <v>289</v>
      </c>
      <c r="E109" s="596">
        <v>106111795</v>
      </c>
      <c r="F109" s="819" t="s">
        <v>756</v>
      </c>
      <c r="G109" s="596">
        <v>3</v>
      </c>
      <c r="J109" s="11"/>
      <c r="L109"/>
    </row>
    <row r="110" spans="1:12" x14ac:dyDescent="0.25">
      <c r="A110" s="1803"/>
      <c r="C110" s="4166"/>
      <c r="D110" s="818" t="s">
        <v>138</v>
      </c>
      <c r="E110" s="596">
        <v>106104101</v>
      </c>
      <c r="F110" s="819" t="s">
        <v>162</v>
      </c>
      <c r="G110" s="596">
        <v>1</v>
      </c>
      <c r="J110" s="11"/>
      <c r="L110"/>
    </row>
    <row r="111" spans="1:12" x14ac:dyDescent="0.25">
      <c r="C111" s="4166"/>
      <c r="D111" s="818" t="s">
        <v>298</v>
      </c>
      <c r="E111" s="596">
        <v>106105038</v>
      </c>
      <c r="F111" s="819" t="s">
        <v>299</v>
      </c>
      <c r="G111" s="596">
        <v>3</v>
      </c>
      <c r="J111" s="11"/>
      <c r="L111"/>
    </row>
    <row r="112" spans="1:12" x14ac:dyDescent="0.25">
      <c r="C112" s="4166"/>
      <c r="D112" s="818" t="s">
        <v>323</v>
      </c>
      <c r="E112" s="596">
        <v>106112525</v>
      </c>
      <c r="F112" s="819" t="s">
        <v>300</v>
      </c>
      <c r="G112" s="596">
        <v>3</v>
      </c>
      <c r="J112" s="11"/>
      <c r="L112"/>
    </row>
    <row r="113" spans="1:12" x14ac:dyDescent="0.25">
      <c r="C113" s="4166"/>
      <c r="D113" s="818" t="s">
        <v>196</v>
      </c>
      <c r="E113" s="596">
        <v>106201346</v>
      </c>
      <c r="F113" s="819" t="s">
        <v>2183</v>
      </c>
      <c r="G113" s="596">
        <v>1</v>
      </c>
      <c r="J113" s="11"/>
      <c r="L113"/>
    </row>
    <row r="114" spans="1:12" ht="15.75" thickBot="1" x14ac:dyDescent="0.3">
      <c r="C114" s="4167"/>
      <c r="D114" s="820" t="s">
        <v>518</v>
      </c>
      <c r="E114" s="598">
        <v>106200854</v>
      </c>
      <c r="F114" s="821" t="s">
        <v>2184</v>
      </c>
      <c r="G114" s="598">
        <v>1</v>
      </c>
      <c r="J114" s="11"/>
      <c r="L114"/>
    </row>
    <row r="115" spans="1:12" ht="15.75" thickBot="1" x14ac:dyDescent="0.3">
      <c r="A115" s="1342"/>
    </row>
    <row r="116" spans="1:12" ht="18.75" customHeight="1" thickBot="1" x14ac:dyDescent="0.3">
      <c r="C116" s="4157" t="s">
        <v>2185</v>
      </c>
      <c r="D116" s="4158"/>
      <c r="E116" s="4158"/>
      <c r="F116" s="4159"/>
    </row>
    <row r="117" spans="1:12" ht="15.75" thickBot="1" x14ac:dyDescent="0.3">
      <c r="C117" s="4160" t="s">
        <v>79</v>
      </c>
      <c r="D117" s="4161"/>
      <c r="E117" s="1926" t="s">
        <v>349</v>
      </c>
      <c r="F117" s="1927" t="s">
        <v>833</v>
      </c>
    </row>
    <row r="118" spans="1:12" x14ac:dyDescent="0.25">
      <c r="C118" s="822"/>
      <c r="D118" s="1928" t="s">
        <v>29</v>
      </c>
      <c r="E118" s="1929">
        <v>1</v>
      </c>
      <c r="F118" s="1930" t="s">
        <v>320</v>
      </c>
    </row>
    <row r="119" spans="1:12" ht="28.5" customHeight="1" x14ac:dyDescent="0.25">
      <c r="C119" s="823"/>
      <c r="D119" s="2564" t="s">
        <v>41</v>
      </c>
      <c r="E119" s="825">
        <v>1</v>
      </c>
      <c r="F119" s="1330" t="s">
        <v>2128</v>
      </c>
    </row>
    <row r="120" spans="1:12" x14ac:dyDescent="0.25">
      <c r="C120" s="823"/>
      <c r="D120" s="824" t="s">
        <v>40</v>
      </c>
      <c r="E120" s="825">
        <v>1</v>
      </c>
      <c r="F120" s="826" t="s">
        <v>2129</v>
      </c>
    </row>
    <row r="121" spans="1:12" x14ac:dyDescent="0.25">
      <c r="C121" s="823"/>
      <c r="D121" s="1931" t="s">
        <v>263</v>
      </c>
      <c r="E121" s="1932">
        <v>1</v>
      </c>
      <c r="F121" s="1933" t="s">
        <v>275</v>
      </c>
    </row>
    <row r="122" spans="1:12" x14ac:dyDescent="0.25">
      <c r="C122" s="823"/>
      <c r="D122" s="1931" t="s">
        <v>834</v>
      </c>
      <c r="E122" s="1932">
        <v>2</v>
      </c>
      <c r="F122" s="1933" t="s">
        <v>272</v>
      </c>
    </row>
    <row r="123" spans="1:12" ht="15.75" thickBot="1" x14ac:dyDescent="0.3">
      <c r="C123" s="823"/>
      <c r="D123" s="1931" t="s">
        <v>287</v>
      </c>
      <c r="E123" s="1932">
        <v>3</v>
      </c>
      <c r="F123" s="1933" t="s">
        <v>288</v>
      </c>
      <c r="G123" s="1383">
        <v>106105422</v>
      </c>
    </row>
    <row r="124" spans="1:12" x14ac:dyDescent="0.25">
      <c r="C124" s="4162" t="s">
        <v>835</v>
      </c>
      <c r="D124" s="1931" t="s">
        <v>301</v>
      </c>
      <c r="E124" s="1932">
        <v>1</v>
      </c>
      <c r="F124" s="1933" t="s">
        <v>302</v>
      </c>
    </row>
    <row r="125" spans="1:12" x14ac:dyDescent="0.25">
      <c r="C125" s="4163"/>
      <c r="D125" s="1931" t="s">
        <v>290</v>
      </c>
      <c r="E125" s="1932">
        <v>1</v>
      </c>
      <c r="F125" s="1933" t="s">
        <v>2130</v>
      </c>
    </row>
    <row r="126" spans="1:12" ht="15.75" thickBot="1" x14ac:dyDescent="0.3">
      <c r="C126" s="4164"/>
      <c r="D126" s="1931" t="s">
        <v>292</v>
      </c>
      <c r="E126" s="1932">
        <v>1</v>
      </c>
      <c r="F126" s="1933" t="s">
        <v>773</v>
      </c>
    </row>
    <row r="127" spans="1:12" x14ac:dyDescent="0.25">
      <c r="C127" s="4162" t="s">
        <v>310</v>
      </c>
      <c r="D127" s="1934" t="s">
        <v>67</v>
      </c>
      <c r="E127" s="1932">
        <v>1</v>
      </c>
      <c r="F127" s="1933" t="s">
        <v>90</v>
      </c>
    </row>
    <row r="128" spans="1:12" ht="15.75" thickBot="1" x14ac:dyDescent="0.3">
      <c r="C128" s="4164"/>
      <c r="D128" s="1931" t="s">
        <v>65</v>
      </c>
      <c r="E128" s="1932">
        <v>1</v>
      </c>
      <c r="F128" s="1933" t="s">
        <v>92</v>
      </c>
    </row>
    <row r="129" spans="3:6" x14ac:dyDescent="0.25">
      <c r="C129" s="4162" t="s">
        <v>311</v>
      </c>
      <c r="D129" s="1931" t="s">
        <v>312</v>
      </c>
      <c r="E129" s="1932">
        <v>1</v>
      </c>
      <c r="F129" s="1933" t="s">
        <v>90</v>
      </c>
    </row>
    <row r="130" spans="3:6" ht="15.75" thickBot="1" x14ac:dyDescent="0.3">
      <c r="C130" s="4164"/>
      <c r="D130" s="1931" t="s">
        <v>285</v>
      </c>
      <c r="E130" s="1932">
        <v>1</v>
      </c>
      <c r="F130" s="1933" t="s">
        <v>96</v>
      </c>
    </row>
    <row r="131" spans="3:6" x14ac:dyDescent="0.25">
      <c r="C131" s="4162" t="s">
        <v>313</v>
      </c>
      <c r="D131" s="1931" t="s">
        <v>314</v>
      </c>
      <c r="E131" s="1932">
        <v>1</v>
      </c>
      <c r="F131" s="1933" t="s">
        <v>90</v>
      </c>
    </row>
    <row r="132" spans="3:6" ht="15.75" thickBot="1" x14ac:dyDescent="0.3">
      <c r="C132" s="4164"/>
      <c r="D132" s="1931" t="s">
        <v>286</v>
      </c>
      <c r="E132" s="1932">
        <v>1</v>
      </c>
      <c r="F132" s="1933" t="s">
        <v>468</v>
      </c>
    </row>
    <row r="133" spans="3:6" x14ac:dyDescent="0.25">
      <c r="C133" s="4162" t="s">
        <v>315</v>
      </c>
      <c r="D133" s="1931" t="s">
        <v>21</v>
      </c>
      <c r="E133" s="1932">
        <v>1</v>
      </c>
      <c r="F133" s="1933" t="s">
        <v>316</v>
      </c>
    </row>
    <row r="134" spans="3:6" x14ac:dyDescent="0.25">
      <c r="C134" s="4163"/>
      <c r="D134" s="1931" t="s">
        <v>281</v>
      </c>
      <c r="E134" s="1932">
        <v>1</v>
      </c>
      <c r="F134" s="1933" t="s">
        <v>317</v>
      </c>
    </row>
    <row r="135" spans="3:6" x14ac:dyDescent="0.25">
      <c r="C135" s="4163"/>
      <c r="D135" s="1931" t="s">
        <v>283</v>
      </c>
      <c r="E135" s="1932">
        <v>1</v>
      </c>
      <c r="F135" s="1933" t="s">
        <v>318</v>
      </c>
    </row>
    <row r="136" spans="3:6" ht="15.75" thickBot="1" x14ac:dyDescent="0.3">
      <c r="C136" s="4164"/>
      <c r="D136" s="1931" t="s">
        <v>64</v>
      </c>
      <c r="E136" s="1932">
        <v>1</v>
      </c>
      <c r="F136" s="1933" t="s">
        <v>154</v>
      </c>
    </row>
    <row r="137" spans="3:6" x14ac:dyDescent="0.25">
      <c r="C137" s="823"/>
      <c r="D137" s="1935" t="s">
        <v>261</v>
      </c>
      <c r="E137" s="1932">
        <v>1</v>
      </c>
      <c r="F137" s="1933" t="s">
        <v>273</v>
      </c>
    </row>
    <row r="138" spans="3:6" x14ac:dyDescent="0.25">
      <c r="C138" s="823"/>
      <c r="D138" s="1935" t="s">
        <v>341</v>
      </c>
      <c r="E138" s="1932">
        <v>3</v>
      </c>
      <c r="F138" s="1933" t="s">
        <v>756</v>
      </c>
    </row>
    <row r="139" spans="3:6" x14ac:dyDescent="0.25">
      <c r="C139" s="823"/>
      <c r="D139" s="1935" t="s">
        <v>138</v>
      </c>
      <c r="E139" s="1932">
        <v>1</v>
      </c>
      <c r="F139" s="1933" t="s">
        <v>162</v>
      </c>
    </row>
    <row r="140" spans="3:6" x14ac:dyDescent="0.25">
      <c r="C140" s="823"/>
      <c r="D140" s="1936" t="s">
        <v>298</v>
      </c>
      <c r="E140" s="1932">
        <v>3</v>
      </c>
      <c r="F140" s="1933" t="s">
        <v>299</v>
      </c>
    </row>
    <row r="141" spans="3:6" x14ac:dyDescent="0.25">
      <c r="C141" s="823"/>
      <c r="D141" s="1936" t="s">
        <v>323</v>
      </c>
      <c r="E141" s="1932">
        <v>3</v>
      </c>
      <c r="F141" s="1933" t="s">
        <v>300</v>
      </c>
    </row>
    <row r="142" spans="3:6" x14ac:dyDescent="0.25">
      <c r="C142" s="823"/>
      <c r="D142" s="824" t="s">
        <v>2</v>
      </c>
      <c r="E142" s="825">
        <v>1</v>
      </c>
      <c r="F142" s="826" t="s">
        <v>2131</v>
      </c>
    </row>
    <row r="143" spans="3:6" ht="30.75" thickBot="1" x14ac:dyDescent="0.3">
      <c r="C143" s="827"/>
      <c r="D143" s="828" t="s">
        <v>518</v>
      </c>
      <c r="E143" s="829">
        <v>1</v>
      </c>
      <c r="F143" s="1331" t="s">
        <v>2179</v>
      </c>
    </row>
    <row r="144" spans="3:6" ht="15.75" thickBot="1" x14ac:dyDescent="0.3"/>
    <row r="145" spans="4:12" ht="18.75" customHeight="1" thickBot="1" x14ac:dyDescent="0.3">
      <c r="D145" s="4157" t="s">
        <v>2186</v>
      </c>
      <c r="E145" s="4158"/>
      <c r="F145" s="4158"/>
      <c r="G145" s="4159"/>
      <c r="J145" s="11"/>
      <c r="L145"/>
    </row>
    <row r="146" spans="4:12" ht="15.75" thickBot="1" x14ac:dyDescent="0.3">
      <c r="D146" s="831" t="s">
        <v>79</v>
      </c>
      <c r="E146" s="832" t="s">
        <v>2061</v>
      </c>
      <c r="F146" s="833" t="s">
        <v>1</v>
      </c>
    </row>
    <row r="147" spans="4:12" ht="27" thickBot="1" x14ac:dyDescent="0.3">
      <c r="D147" s="834" t="s">
        <v>836</v>
      </c>
      <c r="E147" s="234">
        <v>1</v>
      </c>
      <c r="F147" s="835" t="s">
        <v>2134</v>
      </c>
    </row>
    <row r="148" spans="4:12" ht="39.75" thickBot="1" x14ac:dyDescent="0.3">
      <c r="D148" s="834" t="s">
        <v>2135</v>
      </c>
      <c r="E148" s="234">
        <v>3</v>
      </c>
      <c r="F148" s="155" t="s">
        <v>1277</v>
      </c>
    </row>
    <row r="149" spans="4:12" ht="15.75" thickBot="1" x14ac:dyDescent="0.3">
      <c r="D149" s="834" t="s">
        <v>834</v>
      </c>
      <c r="E149" s="234">
        <v>2</v>
      </c>
      <c r="F149" s="835" t="s">
        <v>272</v>
      </c>
    </row>
    <row r="150" spans="4:12" ht="15.75" thickBot="1" x14ac:dyDescent="0.3">
      <c r="D150" s="834" t="s">
        <v>837</v>
      </c>
      <c r="E150" s="234">
        <v>1</v>
      </c>
      <c r="F150" s="835" t="s">
        <v>273</v>
      </c>
    </row>
    <row r="151" spans="4:12" ht="15.75" thickBot="1" x14ac:dyDescent="0.3">
      <c r="D151" s="836" t="s">
        <v>274</v>
      </c>
      <c r="E151" s="234">
        <v>1</v>
      </c>
      <c r="F151" s="837" t="s">
        <v>275</v>
      </c>
    </row>
    <row r="152" spans="4:12" ht="15.75" thickBot="1" x14ac:dyDescent="0.3">
      <c r="D152" s="836" t="s">
        <v>276</v>
      </c>
      <c r="E152" s="234">
        <v>1</v>
      </c>
      <c r="F152" s="837" t="s">
        <v>277</v>
      </c>
    </row>
    <row r="153" spans="4:12" ht="15.75" thickBot="1" x14ac:dyDescent="0.3">
      <c r="D153" s="836" t="s">
        <v>278</v>
      </c>
      <c r="E153" s="234">
        <v>1</v>
      </c>
      <c r="F153" s="837" t="s">
        <v>2124</v>
      </c>
    </row>
    <row r="154" spans="4:12" ht="15.75" thickBot="1" x14ac:dyDescent="0.3">
      <c r="D154" s="836" t="s">
        <v>279</v>
      </c>
      <c r="E154" s="234">
        <v>1</v>
      </c>
      <c r="F154" s="837" t="s">
        <v>280</v>
      </c>
    </row>
    <row r="155" spans="4:12" ht="15.75" thickBot="1" x14ac:dyDescent="0.3">
      <c r="D155" s="836" t="s">
        <v>473</v>
      </c>
      <c r="E155" s="234">
        <v>1</v>
      </c>
      <c r="F155" s="837" t="s">
        <v>474</v>
      </c>
    </row>
    <row r="156" spans="4:12" ht="15.75" thickBot="1" x14ac:dyDescent="0.3">
      <c r="D156" s="836" t="s">
        <v>21</v>
      </c>
      <c r="E156" s="234">
        <v>1</v>
      </c>
      <c r="F156" s="837" t="s">
        <v>316</v>
      </c>
    </row>
    <row r="157" spans="4:12" ht="15.75" thickBot="1" x14ac:dyDescent="0.3">
      <c r="D157" s="836" t="s">
        <v>281</v>
      </c>
      <c r="E157" s="234">
        <v>1</v>
      </c>
      <c r="F157" s="837" t="s">
        <v>317</v>
      </c>
    </row>
    <row r="158" spans="4:12" ht="15.75" thickBot="1" x14ac:dyDescent="0.3">
      <c r="D158" s="836" t="s">
        <v>283</v>
      </c>
      <c r="E158" s="234">
        <v>1</v>
      </c>
      <c r="F158" s="837" t="s">
        <v>318</v>
      </c>
    </row>
    <row r="159" spans="4:12" ht="15.75" thickBot="1" x14ac:dyDescent="0.3">
      <c r="D159" s="836" t="s">
        <v>64</v>
      </c>
      <c r="E159" s="234">
        <v>1</v>
      </c>
      <c r="F159" s="837" t="s">
        <v>154</v>
      </c>
    </row>
    <row r="160" spans="4:12" ht="15.75" thickBot="1" x14ac:dyDescent="0.3">
      <c r="D160" s="836" t="s">
        <v>838</v>
      </c>
      <c r="E160" s="234">
        <v>2</v>
      </c>
      <c r="F160" s="837" t="s">
        <v>468</v>
      </c>
    </row>
    <row r="161" spans="4:7" ht="27" thickBot="1" x14ac:dyDescent="0.3">
      <c r="D161" s="836" t="s">
        <v>839</v>
      </c>
      <c r="E161" s="234">
        <v>3</v>
      </c>
      <c r="F161" s="837" t="s">
        <v>478</v>
      </c>
    </row>
    <row r="162" spans="4:7" ht="15.75" thickBot="1" x14ac:dyDescent="0.3">
      <c r="D162" s="836" t="s">
        <v>65</v>
      </c>
      <c r="E162" s="234">
        <v>1</v>
      </c>
      <c r="F162" s="837" t="s">
        <v>92</v>
      </c>
    </row>
    <row r="163" spans="4:7" ht="15.75" thickBot="1" x14ac:dyDescent="0.3">
      <c r="D163" s="836" t="s">
        <v>285</v>
      </c>
      <c r="E163" s="234">
        <v>1</v>
      </c>
      <c r="F163" s="837" t="s">
        <v>96</v>
      </c>
    </row>
    <row r="164" spans="4:7" ht="27" thickBot="1" x14ac:dyDescent="0.3">
      <c r="D164" s="836" t="s">
        <v>2136</v>
      </c>
      <c r="E164" s="234">
        <v>4</v>
      </c>
      <c r="F164" s="837" t="s">
        <v>90</v>
      </c>
    </row>
    <row r="165" spans="4:7" ht="27" thickBot="1" x14ac:dyDescent="0.3">
      <c r="D165" s="836" t="s">
        <v>840</v>
      </c>
      <c r="E165" s="234">
        <v>2</v>
      </c>
      <c r="F165" s="837" t="s">
        <v>2137</v>
      </c>
    </row>
    <row r="166" spans="4:7" ht="27" thickBot="1" x14ac:dyDescent="0.3">
      <c r="D166" s="836" t="s">
        <v>484</v>
      </c>
      <c r="E166" s="234">
        <v>1</v>
      </c>
      <c r="F166" s="837" t="s">
        <v>2138</v>
      </c>
    </row>
    <row r="167" spans="4:7" ht="27" thickBot="1" x14ac:dyDescent="0.3">
      <c r="D167" s="2564" t="s">
        <v>41</v>
      </c>
      <c r="E167" s="234">
        <v>1</v>
      </c>
      <c r="F167" s="837" t="s">
        <v>2139</v>
      </c>
    </row>
    <row r="168" spans="4:7" ht="15.75" thickBot="1" x14ac:dyDescent="0.3">
      <c r="D168" s="836" t="s">
        <v>29</v>
      </c>
      <c r="E168" s="234">
        <v>1</v>
      </c>
      <c r="F168" s="837" t="s">
        <v>320</v>
      </c>
    </row>
    <row r="169" spans="4:7" ht="15.75" thickBot="1" x14ac:dyDescent="0.3">
      <c r="D169" s="836" t="s">
        <v>841</v>
      </c>
      <c r="E169" s="234">
        <v>1</v>
      </c>
      <c r="F169" s="837" t="s">
        <v>2140</v>
      </c>
    </row>
    <row r="170" spans="4:7" ht="15.75" thickBot="1" x14ac:dyDescent="0.3">
      <c r="D170" s="836" t="s">
        <v>287</v>
      </c>
      <c r="E170" s="234">
        <v>3</v>
      </c>
      <c r="F170" s="837" t="s">
        <v>288</v>
      </c>
      <c r="G170" s="1383">
        <v>106105422</v>
      </c>
    </row>
    <row r="171" spans="4:7" ht="15.75" thickBot="1" x14ac:dyDescent="0.3">
      <c r="D171" s="836" t="s">
        <v>341</v>
      </c>
      <c r="E171" s="234">
        <v>1</v>
      </c>
      <c r="F171" s="835" t="s">
        <v>756</v>
      </c>
    </row>
    <row r="172" spans="4:7" ht="15.75" thickBot="1" x14ac:dyDescent="0.3">
      <c r="D172" s="836" t="s">
        <v>290</v>
      </c>
      <c r="E172" s="234">
        <v>1</v>
      </c>
      <c r="F172" s="837" t="s">
        <v>2130</v>
      </c>
    </row>
    <row r="173" spans="4:7" ht="15.75" thickBot="1" x14ac:dyDescent="0.3">
      <c r="D173" s="836" t="s">
        <v>292</v>
      </c>
      <c r="E173" s="234">
        <v>1</v>
      </c>
      <c r="F173" s="837" t="s">
        <v>773</v>
      </c>
    </row>
    <row r="174" spans="4:7" ht="15.75" thickBot="1" x14ac:dyDescent="0.3">
      <c r="D174" s="836" t="s">
        <v>307</v>
      </c>
      <c r="E174" s="234">
        <v>1</v>
      </c>
      <c r="F174" s="837" t="s">
        <v>842</v>
      </c>
    </row>
    <row r="175" spans="4:7" ht="15.75" thickBot="1" x14ac:dyDescent="0.3">
      <c r="D175" s="836" t="s">
        <v>843</v>
      </c>
      <c r="E175" s="234">
        <v>1</v>
      </c>
      <c r="F175" s="837" t="s">
        <v>302</v>
      </c>
    </row>
    <row r="176" spans="4:7" ht="15.75" thickBot="1" x14ac:dyDescent="0.3">
      <c r="D176" s="836" t="s">
        <v>298</v>
      </c>
      <c r="E176" s="234">
        <v>3</v>
      </c>
      <c r="F176" s="837" t="s">
        <v>299</v>
      </c>
    </row>
    <row r="177" spans="3:6" ht="39.75" thickBot="1" x14ac:dyDescent="0.3">
      <c r="D177" s="836" t="s">
        <v>2141</v>
      </c>
      <c r="E177" s="234">
        <v>3</v>
      </c>
      <c r="F177" s="837" t="s">
        <v>300</v>
      </c>
    </row>
    <row r="178" spans="3:6" ht="15.75" thickBot="1" x14ac:dyDescent="0.3">
      <c r="D178" s="834"/>
      <c r="E178" s="234">
        <v>1</v>
      </c>
      <c r="F178" s="837" t="s">
        <v>2142</v>
      </c>
    </row>
    <row r="179" spans="3:6" ht="15.75" thickBot="1" x14ac:dyDescent="0.3">
      <c r="D179" s="836" t="s">
        <v>2</v>
      </c>
      <c r="E179" s="234">
        <v>1</v>
      </c>
      <c r="F179" s="837" t="s">
        <v>2053</v>
      </c>
    </row>
    <row r="180" spans="3:6" ht="15.75" thickBot="1" x14ac:dyDescent="0.3">
      <c r="D180" s="836" t="s">
        <v>844</v>
      </c>
      <c r="E180" s="234">
        <v>1</v>
      </c>
      <c r="F180" s="837" t="s">
        <v>142</v>
      </c>
    </row>
    <row r="181" spans="3:6" ht="15.75" thickBot="1" x14ac:dyDescent="0.3">
      <c r="D181" s="836" t="s">
        <v>844</v>
      </c>
      <c r="E181" s="234">
        <v>1</v>
      </c>
      <c r="F181" s="837" t="s">
        <v>2143</v>
      </c>
    </row>
    <row r="182" spans="3:6" ht="15.75" thickBot="1" x14ac:dyDescent="0.3">
      <c r="D182" s="836" t="s">
        <v>844</v>
      </c>
      <c r="E182" s="234">
        <v>1</v>
      </c>
      <c r="F182" s="837" t="s">
        <v>2144</v>
      </c>
    </row>
    <row r="184" spans="3:6" ht="15.75" thickBot="1" x14ac:dyDescent="0.3"/>
    <row r="185" spans="3:6" ht="18.75" customHeight="1" thickBot="1" x14ac:dyDescent="0.3">
      <c r="C185" s="4157" t="s">
        <v>2187</v>
      </c>
      <c r="D185" s="4158"/>
      <c r="E185" s="4158"/>
      <c r="F185" s="4159"/>
    </row>
    <row r="186" spans="3:6" ht="15.75" thickBot="1" x14ac:dyDescent="0.3">
      <c r="C186" s="838" t="s">
        <v>2035</v>
      </c>
      <c r="D186" s="839" t="s">
        <v>2123</v>
      </c>
      <c r="E186" s="840" t="s">
        <v>2036</v>
      </c>
      <c r="F186" s="840" t="s">
        <v>1</v>
      </c>
    </row>
    <row r="187" spans="3:6" ht="15.75" thickBot="1" x14ac:dyDescent="0.3">
      <c r="C187" s="841">
        <v>1</v>
      </c>
      <c r="D187" s="842" t="s">
        <v>438</v>
      </c>
      <c r="E187" s="844">
        <v>1</v>
      </c>
      <c r="F187" s="843" t="s">
        <v>2146</v>
      </c>
    </row>
    <row r="188" spans="3:6" ht="15.75" thickBot="1" x14ac:dyDescent="0.3">
      <c r="C188" s="845" t="s">
        <v>32</v>
      </c>
      <c r="D188" s="846" t="s">
        <v>33</v>
      </c>
      <c r="E188" s="848">
        <v>3</v>
      </c>
      <c r="F188" s="847" t="s">
        <v>1277</v>
      </c>
    </row>
    <row r="189" spans="3:6" ht="15.75" thickBot="1" x14ac:dyDescent="0.3">
      <c r="C189" s="845">
        <v>2</v>
      </c>
      <c r="D189" s="846" t="s">
        <v>845</v>
      </c>
      <c r="E189" s="848">
        <v>2</v>
      </c>
      <c r="F189" s="847" t="s">
        <v>2147</v>
      </c>
    </row>
    <row r="190" spans="3:6" ht="15.75" thickBot="1" x14ac:dyDescent="0.3">
      <c r="C190" s="845">
        <v>3</v>
      </c>
      <c r="D190" s="846" t="s">
        <v>50</v>
      </c>
      <c r="E190" s="848">
        <v>2</v>
      </c>
      <c r="F190" s="847" t="s">
        <v>846</v>
      </c>
    </row>
    <row r="191" spans="3:6" ht="15.75" thickBot="1" x14ac:dyDescent="0.3">
      <c r="C191" s="841">
        <v>4</v>
      </c>
      <c r="D191" s="842" t="s">
        <v>2148</v>
      </c>
      <c r="E191" s="844">
        <v>1</v>
      </c>
      <c r="F191" s="843" t="s">
        <v>2149</v>
      </c>
    </row>
    <row r="192" spans="3:6" ht="15.75" thickBot="1" x14ac:dyDescent="0.3">
      <c r="C192" s="841" t="s">
        <v>5</v>
      </c>
      <c r="D192" s="842" t="s">
        <v>847</v>
      </c>
      <c r="E192" s="844">
        <v>1</v>
      </c>
      <c r="F192" s="843" t="s">
        <v>277</v>
      </c>
    </row>
    <row r="193" spans="3:6" ht="15.75" thickBot="1" x14ac:dyDescent="0.3">
      <c r="C193" s="841" t="s">
        <v>848</v>
      </c>
      <c r="D193" s="842" t="s">
        <v>849</v>
      </c>
      <c r="E193" s="844">
        <v>1</v>
      </c>
      <c r="F193" s="843" t="s">
        <v>2150</v>
      </c>
    </row>
    <row r="194" spans="3:6" ht="15.75" thickBot="1" x14ac:dyDescent="0.3">
      <c r="C194" s="841" t="s">
        <v>850</v>
      </c>
      <c r="D194" s="842" t="s">
        <v>851</v>
      </c>
      <c r="E194" s="844">
        <v>1</v>
      </c>
      <c r="F194" s="843" t="s">
        <v>2151</v>
      </c>
    </row>
    <row r="195" spans="3:6" ht="15.75" thickBot="1" x14ac:dyDescent="0.3">
      <c r="C195" s="845" t="s">
        <v>852</v>
      </c>
      <c r="D195" s="846" t="s">
        <v>853</v>
      </c>
      <c r="E195" s="848">
        <v>1</v>
      </c>
      <c r="F195" s="847" t="s">
        <v>2152</v>
      </c>
    </row>
    <row r="196" spans="3:6" ht="15.75" thickBot="1" x14ac:dyDescent="0.3">
      <c r="C196" s="841">
        <v>5</v>
      </c>
      <c r="D196" s="842" t="s">
        <v>854</v>
      </c>
      <c r="E196" s="844">
        <v>1</v>
      </c>
      <c r="F196" s="843" t="s">
        <v>2153</v>
      </c>
    </row>
    <row r="197" spans="3:6" ht="15.75" thickBot="1" x14ac:dyDescent="0.3">
      <c r="C197" s="841" t="s">
        <v>855</v>
      </c>
      <c r="D197" s="842" t="s">
        <v>856</v>
      </c>
      <c r="E197" s="844">
        <v>1</v>
      </c>
      <c r="F197" s="843" t="s">
        <v>2154</v>
      </c>
    </row>
    <row r="198" spans="3:6" ht="15.75" thickBot="1" x14ac:dyDescent="0.3">
      <c r="C198" s="841" t="s">
        <v>857</v>
      </c>
      <c r="D198" s="842" t="s">
        <v>858</v>
      </c>
      <c r="E198" s="844">
        <v>1</v>
      </c>
      <c r="F198" s="843" t="s">
        <v>2155</v>
      </c>
    </row>
    <row r="199" spans="3:6" ht="15.75" thickBot="1" x14ac:dyDescent="0.3">
      <c r="C199" s="845" t="s">
        <v>859</v>
      </c>
      <c r="D199" s="846" t="s">
        <v>2156</v>
      </c>
      <c r="E199" s="848">
        <v>1</v>
      </c>
      <c r="F199" s="847" t="s">
        <v>2157</v>
      </c>
    </row>
    <row r="200" spans="3:6" ht="15.75" thickBot="1" x14ac:dyDescent="0.3">
      <c r="C200" s="841"/>
      <c r="D200" s="842"/>
      <c r="E200" s="844"/>
      <c r="F200" s="849" t="s">
        <v>2158</v>
      </c>
    </row>
    <row r="201" spans="3:6" ht="15.75" thickBot="1" x14ac:dyDescent="0.3">
      <c r="C201" s="841">
        <v>6</v>
      </c>
      <c r="D201" s="842" t="s">
        <v>860</v>
      </c>
      <c r="E201" s="844">
        <v>4</v>
      </c>
      <c r="F201" s="843" t="s">
        <v>861</v>
      </c>
    </row>
    <row r="202" spans="3:6" ht="15.75" thickBot="1" x14ac:dyDescent="0.3">
      <c r="C202" s="841" t="s">
        <v>838</v>
      </c>
      <c r="D202" s="842" t="s">
        <v>862</v>
      </c>
      <c r="E202" s="844">
        <v>2</v>
      </c>
      <c r="F202" s="843" t="s">
        <v>2159</v>
      </c>
    </row>
    <row r="203" spans="3:6" ht="15.75" thickBot="1" x14ac:dyDescent="0.3">
      <c r="C203" s="841" t="s">
        <v>839</v>
      </c>
      <c r="D203" s="842" t="s">
        <v>863</v>
      </c>
      <c r="E203" s="844">
        <v>3</v>
      </c>
      <c r="F203" s="843" t="s">
        <v>2160</v>
      </c>
    </row>
    <row r="204" spans="3:6" ht="15.75" thickBot="1" x14ac:dyDescent="0.3">
      <c r="C204" s="841" t="s">
        <v>65</v>
      </c>
      <c r="D204" s="842" t="s">
        <v>864</v>
      </c>
      <c r="E204" s="844">
        <v>1</v>
      </c>
      <c r="F204" s="843" t="s">
        <v>2161</v>
      </c>
    </row>
    <row r="205" spans="3:6" ht="15.75" thickBot="1" x14ac:dyDescent="0.3">
      <c r="C205" s="841" t="s">
        <v>285</v>
      </c>
      <c r="D205" s="842" t="s">
        <v>865</v>
      </c>
      <c r="E205" s="844">
        <v>1</v>
      </c>
      <c r="F205" s="843" t="s">
        <v>66</v>
      </c>
    </row>
    <row r="206" spans="3:6" ht="15.75" thickBot="1" x14ac:dyDescent="0.3">
      <c r="C206" s="845" t="s">
        <v>490</v>
      </c>
      <c r="D206" s="846" t="s">
        <v>2162</v>
      </c>
      <c r="E206" s="848">
        <v>1</v>
      </c>
      <c r="F206" s="847" t="s">
        <v>2072</v>
      </c>
    </row>
    <row r="207" spans="3:6" ht="15.75" thickBot="1" x14ac:dyDescent="0.3">
      <c r="C207" s="845">
        <v>7</v>
      </c>
      <c r="D207" s="846" t="s">
        <v>866</v>
      </c>
      <c r="E207" s="848">
        <v>1</v>
      </c>
      <c r="F207" s="847" t="s">
        <v>2102</v>
      </c>
    </row>
    <row r="208" spans="3:6" ht="15.75" thickBot="1" x14ac:dyDescent="0.3">
      <c r="C208" s="845">
        <v>8</v>
      </c>
      <c r="D208" s="846" t="s">
        <v>867</v>
      </c>
      <c r="E208" s="848">
        <v>1</v>
      </c>
      <c r="F208" s="847" t="s">
        <v>2163</v>
      </c>
    </row>
    <row r="209" spans="3:7" ht="15.75" thickBot="1" x14ac:dyDescent="0.3">
      <c r="C209" s="845">
        <v>9</v>
      </c>
      <c r="D209" s="846" t="s">
        <v>2164</v>
      </c>
      <c r="E209" s="848">
        <v>1</v>
      </c>
      <c r="F209" s="847" t="s">
        <v>2165</v>
      </c>
    </row>
    <row r="210" spans="3:7" x14ac:dyDescent="0.25">
      <c r="C210" s="841">
        <v>10</v>
      </c>
      <c r="D210" s="850" t="s">
        <v>58</v>
      </c>
      <c r="E210" s="852">
        <v>1</v>
      </c>
      <c r="F210" s="851" t="s">
        <v>2077</v>
      </c>
    </row>
    <row r="211" spans="3:7" ht="15.75" thickBot="1" x14ac:dyDescent="0.3">
      <c r="C211" s="845">
        <v>10</v>
      </c>
      <c r="D211" s="846" t="s">
        <v>868</v>
      </c>
      <c r="E211" s="848">
        <v>3</v>
      </c>
      <c r="F211" s="847" t="s">
        <v>2166</v>
      </c>
    </row>
    <row r="212" spans="3:7" ht="15.75" thickBot="1" x14ac:dyDescent="0.3">
      <c r="C212" s="845">
        <v>11</v>
      </c>
      <c r="D212" s="846" t="s">
        <v>59</v>
      </c>
      <c r="E212" s="848">
        <v>3</v>
      </c>
      <c r="F212" s="847" t="s">
        <v>60</v>
      </c>
    </row>
    <row r="213" spans="3:7" ht="15.75" thickBot="1" x14ac:dyDescent="0.3">
      <c r="C213" s="841">
        <v>12</v>
      </c>
      <c r="D213" s="842" t="s">
        <v>2167</v>
      </c>
      <c r="E213" s="844">
        <v>1</v>
      </c>
      <c r="F213" s="843" t="s">
        <v>2168</v>
      </c>
      <c r="G213" s="766">
        <v>106104176</v>
      </c>
    </row>
    <row r="214" spans="3:7" ht="15.75" thickBot="1" x14ac:dyDescent="0.3">
      <c r="C214" s="841" t="s">
        <v>869</v>
      </c>
      <c r="D214" s="842" t="s">
        <v>870</v>
      </c>
      <c r="E214" s="844">
        <v>1</v>
      </c>
      <c r="F214" s="843" t="s">
        <v>2169</v>
      </c>
      <c r="G214" s="122">
        <v>106104215</v>
      </c>
    </row>
    <row r="215" spans="3:7" ht="15.75" thickBot="1" x14ac:dyDescent="0.3">
      <c r="C215" s="841" t="s">
        <v>871</v>
      </c>
      <c r="D215" s="842" t="s">
        <v>872</v>
      </c>
      <c r="E215" s="844">
        <v>1</v>
      </c>
      <c r="F215" s="843" t="s">
        <v>873</v>
      </c>
    </row>
    <row r="216" spans="3:7" ht="15.75" thickBot="1" x14ac:dyDescent="0.3">
      <c r="C216" s="845" t="s">
        <v>874</v>
      </c>
      <c r="D216" s="846" t="s">
        <v>875</v>
      </c>
      <c r="E216" s="848">
        <v>1</v>
      </c>
      <c r="F216" s="847" t="s">
        <v>2155</v>
      </c>
    </row>
    <row r="217" spans="3:7" ht="15.75" thickBot="1" x14ac:dyDescent="0.3">
      <c r="C217" s="841">
        <v>13</v>
      </c>
      <c r="D217" s="842" t="s">
        <v>876</v>
      </c>
      <c r="E217" s="844">
        <v>3</v>
      </c>
      <c r="F217" s="843" t="s">
        <v>2170</v>
      </c>
    </row>
    <row r="218" spans="3:7" ht="15.75" thickBot="1" x14ac:dyDescent="0.3">
      <c r="C218" s="845" t="s">
        <v>877</v>
      </c>
      <c r="D218" s="846" t="s">
        <v>878</v>
      </c>
      <c r="E218" s="848">
        <v>3</v>
      </c>
      <c r="F218" s="847" t="s">
        <v>879</v>
      </c>
    </row>
    <row r="219" spans="3:7" ht="15.75" thickBot="1" x14ac:dyDescent="0.3">
      <c r="C219" s="841">
        <v>14</v>
      </c>
      <c r="D219" s="853" t="s">
        <v>880</v>
      </c>
      <c r="E219" s="855">
        <v>1</v>
      </c>
      <c r="F219" s="854" t="s">
        <v>2142</v>
      </c>
    </row>
    <row r="220" spans="3:7" ht="15.75" thickBot="1" x14ac:dyDescent="0.3">
      <c r="C220" s="845" t="s">
        <v>881</v>
      </c>
      <c r="D220" s="835"/>
      <c r="E220" s="848">
        <v>1</v>
      </c>
      <c r="F220" s="847" t="s">
        <v>2171</v>
      </c>
    </row>
  </sheetData>
  <mergeCells count="31">
    <mergeCell ref="C15:C16"/>
    <mergeCell ref="C17:C20"/>
    <mergeCell ref="C21:C40"/>
    <mergeCell ref="C2:D2"/>
    <mergeCell ref="C3:C6"/>
    <mergeCell ref="C7:C10"/>
    <mergeCell ref="C11:C12"/>
    <mergeCell ref="C13:C14"/>
    <mergeCell ref="C78:H78"/>
    <mergeCell ref="C42:E42"/>
    <mergeCell ref="B44:B47"/>
    <mergeCell ref="B48:B51"/>
    <mergeCell ref="B52:B57"/>
    <mergeCell ref="C97:C98"/>
    <mergeCell ref="C99:C102"/>
    <mergeCell ref="C103:C114"/>
    <mergeCell ref="C83:F83"/>
    <mergeCell ref="C84:D84"/>
    <mergeCell ref="C85:C88"/>
    <mergeCell ref="C89:C92"/>
    <mergeCell ref="C93:C94"/>
    <mergeCell ref="C95:C96"/>
    <mergeCell ref="C133:C136"/>
    <mergeCell ref="C116:F116"/>
    <mergeCell ref="C185:F185"/>
    <mergeCell ref="C117:D117"/>
    <mergeCell ref="C124:C126"/>
    <mergeCell ref="C127:C128"/>
    <mergeCell ref="C129:C130"/>
    <mergeCell ref="C131:C132"/>
    <mergeCell ref="D145:G145"/>
  </mergeCells>
  <dataValidations count="1">
    <dataValidation type="list" allowBlank="1" showInputMessage="1" showErrorMessage="1" sqref="F42">
      <formula1>$H$80:$H$81</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360"/>
  <sheetViews>
    <sheetView topLeftCell="B94" zoomScale="80" zoomScaleNormal="80" workbookViewId="0">
      <selection activeCell="F124" sqref="F124"/>
    </sheetView>
  </sheetViews>
  <sheetFormatPr baseColWidth="10" defaultRowHeight="15" x14ac:dyDescent="0.25"/>
  <cols>
    <col min="1" max="1" width="42.5703125" style="1383" customWidth="1"/>
    <col min="2" max="2" width="13.85546875" style="501" customWidth="1"/>
    <col min="3" max="3" width="11.42578125" style="1383"/>
    <col min="4" max="4" width="15.7109375" style="1804" customWidth="1"/>
    <col min="5" max="5" width="14.85546875" style="1383" customWidth="1"/>
    <col min="6" max="6" width="67.85546875" style="1383" customWidth="1"/>
    <col min="7" max="7" width="61.85546875" style="1383" customWidth="1"/>
    <col min="8" max="8" width="15.7109375" style="11" hidden="1" customWidth="1"/>
    <col min="9" max="9" width="15.85546875" style="11" customWidth="1"/>
    <col min="10" max="10" width="16.42578125" style="11" customWidth="1"/>
    <col min="11" max="12" width="16.42578125" style="1383" customWidth="1"/>
    <col min="13" max="13" width="11.42578125" style="11" customWidth="1"/>
    <col min="14" max="14" width="14.42578125" style="11" customWidth="1"/>
    <col min="15" max="15" width="16.140625" style="11" customWidth="1"/>
    <col min="16" max="16" width="14.85546875" style="11" customWidth="1"/>
    <col min="17" max="17" width="11.42578125" style="11"/>
    <col min="18" max="18" width="16.5703125" style="11" customWidth="1"/>
    <col min="19" max="19" width="13.28515625" style="11" customWidth="1"/>
    <col min="20" max="20" width="11.42578125" style="11"/>
    <col min="21" max="21" width="67.85546875" style="11" bestFit="1" customWidth="1"/>
    <col min="22" max="22" width="14.85546875" style="11" bestFit="1" customWidth="1"/>
    <col min="23" max="16384" width="11.42578125" style="11"/>
  </cols>
  <sheetData>
    <row r="1" spans="1:16" s="1359" customFormat="1" ht="15.75" thickBot="1" x14ac:dyDescent="0.3">
      <c r="A1" s="1383"/>
      <c r="B1" s="501"/>
      <c r="C1" s="1383"/>
      <c r="D1" s="1804"/>
      <c r="E1" s="1383"/>
      <c r="F1" s="1383"/>
      <c r="G1" s="1383"/>
      <c r="H1" s="228" t="s">
        <v>1002</v>
      </c>
      <c r="J1" s="1383"/>
      <c r="K1" s="1383"/>
      <c r="N1" s="228" t="s">
        <v>1002</v>
      </c>
    </row>
    <row r="2" spans="1:16" ht="18.75" customHeight="1" thickBot="1" x14ac:dyDescent="0.3">
      <c r="B2" s="499"/>
      <c r="C2" s="4168" t="s">
        <v>45</v>
      </c>
      <c r="D2" s="4169"/>
      <c r="E2" s="4169"/>
      <c r="F2" s="1725" t="s">
        <v>1038</v>
      </c>
      <c r="G2" s="1603" t="s">
        <v>2197</v>
      </c>
      <c r="H2" s="984">
        <v>3</v>
      </c>
      <c r="I2" s="1359"/>
      <c r="J2" s="1383"/>
      <c r="L2" s="11"/>
      <c r="N2" s="984">
        <v>50</v>
      </c>
      <c r="O2" s="1359"/>
    </row>
    <row r="3" spans="1:16" s="392" customFormat="1" ht="30.75" thickBot="1" x14ac:dyDescent="0.3">
      <c r="A3" s="1383"/>
      <c r="B3" s="502"/>
      <c r="C3" s="4195" t="s">
        <v>79</v>
      </c>
      <c r="D3" s="4196"/>
      <c r="E3" s="394" t="s">
        <v>936</v>
      </c>
      <c r="F3" s="388" t="s">
        <v>1</v>
      </c>
      <c r="G3" s="3892"/>
      <c r="H3" s="389" t="s">
        <v>960</v>
      </c>
      <c r="I3" s="262" t="s">
        <v>1007</v>
      </c>
      <c r="J3" s="132" t="s">
        <v>251</v>
      </c>
      <c r="K3" s="132" t="s">
        <v>2475</v>
      </c>
      <c r="L3" s="1746" t="s">
        <v>3358</v>
      </c>
      <c r="M3" s="3286" t="s">
        <v>3039</v>
      </c>
      <c r="O3" s="262" t="s">
        <v>1007</v>
      </c>
      <c r="P3" s="132" t="s">
        <v>251</v>
      </c>
    </row>
    <row r="4" spans="1:16" ht="15.75" customHeight="1" x14ac:dyDescent="0.25">
      <c r="B4" s="4189" t="s">
        <v>585</v>
      </c>
      <c r="C4" s="4186" t="s">
        <v>263</v>
      </c>
      <c r="D4" s="2561" t="s">
        <v>274</v>
      </c>
      <c r="E4" s="2562">
        <v>106104164</v>
      </c>
      <c r="F4" s="2563" t="s">
        <v>275</v>
      </c>
      <c r="G4" s="3896" t="s">
        <v>1735</v>
      </c>
      <c r="H4" s="2561">
        <v>1</v>
      </c>
      <c r="I4" s="2551">
        <f t="shared" ref="I4:I11" si="0">IF(ROUNDDOWN($H$2/20,0)&lt;M4,M4,ROUNDDOWN($H$2/20,0))</f>
        <v>1</v>
      </c>
      <c r="J4" s="1367">
        <f>$I4*'Lista global'!P35</f>
        <v>285.41250000000002</v>
      </c>
      <c r="K4" s="1367">
        <f>$I4*'Lista global'!Q35</f>
        <v>240.34736842105266</v>
      </c>
      <c r="L4" s="2370">
        <f>$I4*'Lista global'!M35</f>
        <v>228.33</v>
      </c>
      <c r="M4" s="2633">
        <v>1</v>
      </c>
      <c r="O4" s="1366" t="s">
        <v>1392</v>
      </c>
      <c r="P4" s="1367"/>
    </row>
    <row r="5" spans="1:16" ht="15.75" customHeight="1" x14ac:dyDescent="0.25">
      <c r="B5" s="4190"/>
      <c r="C5" s="4187"/>
      <c r="D5" s="2564" t="s">
        <v>276</v>
      </c>
      <c r="E5" s="2565">
        <v>106104211</v>
      </c>
      <c r="F5" s="2566" t="s">
        <v>277</v>
      </c>
      <c r="G5" s="3895" t="s">
        <v>1747</v>
      </c>
      <c r="H5" s="2564">
        <v>1</v>
      </c>
      <c r="I5" s="2552">
        <f t="shared" si="0"/>
        <v>1</v>
      </c>
      <c r="J5" s="2009">
        <f>$I5*'Lista global'!P41</f>
        <v>13.637499999999999</v>
      </c>
      <c r="K5" s="2009">
        <f>$I5*'Lista global'!Q41</f>
        <v>11.48421052631579</v>
      </c>
      <c r="L5" s="2371">
        <f>$I5*'Lista global'!M41</f>
        <v>10.91</v>
      </c>
      <c r="M5" s="2633">
        <v>1</v>
      </c>
      <c r="O5" s="1368" t="s">
        <v>1392</v>
      </c>
      <c r="P5" s="1369"/>
    </row>
    <row r="6" spans="1:16" ht="15.75" customHeight="1" x14ac:dyDescent="0.25">
      <c r="B6" s="4190"/>
      <c r="C6" s="4187"/>
      <c r="D6" s="2564" t="s">
        <v>279</v>
      </c>
      <c r="E6" s="2565">
        <v>106106242</v>
      </c>
      <c r="F6" s="2566" t="s">
        <v>280</v>
      </c>
      <c r="G6" s="3895" t="s">
        <v>2574</v>
      </c>
      <c r="H6" s="2564">
        <v>1</v>
      </c>
      <c r="I6" s="2552">
        <f t="shared" si="0"/>
        <v>1</v>
      </c>
      <c r="J6" s="2009">
        <f>$I6*'Lista global'!P77</f>
        <v>13.474999999999998</v>
      </c>
      <c r="K6" s="2009">
        <f>$I6*'Lista global'!Q77</f>
        <v>11.347368421052632</v>
      </c>
      <c r="L6" s="2371">
        <f>$I6*'Lista global'!M77</f>
        <v>10.78</v>
      </c>
      <c r="M6" s="2633">
        <v>1</v>
      </c>
      <c r="O6" s="1368" t="s">
        <v>1392</v>
      </c>
      <c r="P6" s="1369"/>
    </row>
    <row r="7" spans="1:16" ht="15.75" customHeight="1" thickBot="1" x14ac:dyDescent="0.3">
      <c r="B7" s="4191"/>
      <c r="C7" s="4188"/>
      <c r="D7" s="2567" t="s">
        <v>278</v>
      </c>
      <c r="E7" s="2568">
        <v>106104214</v>
      </c>
      <c r="F7" s="2569" t="s">
        <v>304</v>
      </c>
      <c r="G7" s="3894" t="s">
        <v>1750</v>
      </c>
      <c r="H7" s="2567">
        <v>1</v>
      </c>
      <c r="I7" s="2556">
        <f t="shared" si="0"/>
        <v>1</v>
      </c>
      <c r="J7" s="1548">
        <f>$I7*'Lista global'!P43</f>
        <v>8.4124999999999996</v>
      </c>
      <c r="K7" s="1548">
        <f>$I7*'Lista global'!Q43</f>
        <v>7.0842105263157906</v>
      </c>
      <c r="L7" s="2371">
        <f>$I7*'Lista global'!M43</f>
        <v>6.73</v>
      </c>
      <c r="M7" s="1347">
        <v>1</v>
      </c>
      <c r="O7" s="1368" t="s">
        <v>1392</v>
      </c>
      <c r="P7" s="1369"/>
    </row>
    <row r="8" spans="1:16" ht="15" customHeight="1" x14ac:dyDescent="0.25">
      <c r="B8" s="4189" t="s">
        <v>586</v>
      </c>
      <c r="C8" s="4186" t="s">
        <v>305</v>
      </c>
      <c r="D8" s="2561" t="s">
        <v>301</v>
      </c>
      <c r="E8" s="2562">
        <v>106104092</v>
      </c>
      <c r="F8" s="2563" t="s">
        <v>302</v>
      </c>
      <c r="G8" s="3896" t="s">
        <v>1362</v>
      </c>
      <c r="H8" s="2561">
        <v>1</v>
      </c>
      <c r="I8" s="2551">
        <f t="shared" si="0"/>
        <v>1</v>
      </c>
      <c r="J8" s="1367">
        <f>$I8*'Lista global'!P16</f>
        <v>7.0750000000000002</v>
      </c>
      <c r="K8" s="1367">
        <f>$I8*'Lista global'!Q16</f>
        <v>5.957894736842106</v>
      </c>
      <c r="L8" s="2371">
        <f>$I8*'Lista global'!M16</f>
        <v>5.66</v>
      </c>
      <c r="M8" s="1347">
        <v>1</v>
      </c>
      <c r="O8" s="1368" t="s">
        <v>1392</v>
      </c>
      <c r="P8" s="1369"/>
    </row>
    <row r="9" spans="1:16" ht="15.75" customHeight="1" x14ac:dyDescent="0.25">
      <c r="B9" s="4190"/>
      <c r="C9" s="4187"/>
      <c r="D9" s="2564" t="s">
        <v>290</v>
      </c>
      <c r="E9" s="2570">
        <v>106111802</v>
      </c>
      <c r="F9" s="2566" t="s">
        <v>306</v>
      </c>
      <c r="G9" s="3895" t="s">
        <v>1848</v>
      </c>
      <c r="H9" s="2564">
        <v>1</v>
      </c>
      <c r="I9" s="2552">
        <f t="shared" si="0"/>
        <v>1</v>
      </c>
      <c r="J9" s="2009">
        <f>$I9*'Lista global'!P103</f>
        <v>245.71249999999998</v>
      </c>
      <c r="K9" s="2009">
        <f>$I9*'Lista global'!Q103</f>
        <v>206.91578947368421</v>
      </c>
      <c r="L9" s="2371">
        <f>$I9*'Lista global'!M103</f>
        <v>196.57</v>
      </c>
      <c r="M9" s="1347">
        <v>1</v>
      </c>
      <c r="O9" s="1368" t="s">
        <v>1392</v>
      </c>
      <c r="P9" s="1369"/>
    </row>
    <row r="10" spans="1:16" ht="15.75" customHeight="1" x14ac:dyDescent="0.25">
      <c r="A10" s="1383" t="s">
        <v>999</v>
      </c>
      <c r="B10" s="4190"/>
      <c r="C10" s="4187"/>
      <c r="D10" s="2564" t="s">
        <v>307</v>
      </c>
      <c r="E10" s="2570">
        <v>106109799</v>
      </c>
      <c r="F10" s="2566" t="s">
        <v>308</v>
      </c>
      <c r="G10" s="3895" t="s">
        <v>2575</v>
      </c>
      <c r="H10" s="2564">
        <v>2</v>
      </c>
      <c r="I10" s="2552">
        <f t="shared" si="0"/>
        <v>1</v>
      </c>
      <c r="J10" s="2009">
        <f>$I10*'Lista global'!P79</f>
        <v>7.55</v>
      </c>
      <c r="K10" s="2009">
        <f>$I10*'Lista global'!Q79</f>
        <v>6.3578947368421055</v>
      </c>
      <c r="L10" s="2371">
        <f>$I10*'Lista global'!M79</f>
        <v>6.04</v>
      </c>
      <c r="M10" s="1347">
        <v>1</v>
      </c>
      <c r="O10" s="1368" t="s">
        <v>1392</v>
      </c>
      <c r="P10" s="1369"/>
    </row>
    <row r="11" spans="1:16" ht="15.75" customHeight="1" thickBot="1" x14ac:dyDescent="0.3">
      <c r="B11" s="4191"/>
      <c r="C11" s="4187"/>
      <c r="D11" s="2571" t="s">
        <v>292</v>
      </c>
      <c r="E11" s="2572">
        <v>106111805</v>
      </c>
      <c r="F11" s="2573" t="s">
        <v>309</v>
      </c>
      <c r="G11" s="3897" t="s">
        <v>1753</v>
      </c>
      <c r="H11" s="2571">
        <v>1</v>
      </c>
      <c r="I11" s="2559">
        <f t="shared" si="0"/>
        <v>1</v>
      </c>
      <c r="J11" s="2560">
        <f>$I11*'Lista global'!P104</f>
        <v>27.774999999999999</v>
      </c>
      <c r="K11" s="2560">
        <f>$I11*'Lista global'!Q104</f>
        <v>23.389473684210525</v>
      </c>
      <c r="L11" s="2371">
        <f>$I11*'Lista global'!M104</f>
        <v>22.22</v>
      </c>
      <c r="M11" s="1347">
        <v>1</v>
      </c>
      <c r="O11" s="1368" t="s">
        <v>1392</v>
      </c>
      <c r="P11" s="1369"/>
    </row>
    <row r="12" spans="1:16" ht="15.75" customHeight="1" x14ac:dyDescent="0.25">
      <c r="B12" s="4189" t="s">
        <v>587</v>
      </c>
      <c r="C12" s="4192" t="s">
        <v>310</v>
      </c>
      <c r="D12" s="2561" t="s">
        <v>67</v>
      </c>
      <c r="E12" s="2562">
        <v>106104093</v>
      </c>
      <c r="F12" s="2563" t="s">
        <v>1057</v>
      </c>
      <c r="G12" s="3896" t="s">
        <v>1703</v>
      </c>
      <c r="H12" s="2561">
        <v>1</v>
      </c>
      <c r="I12" s="2557">
        <f t="shared" ref="I12:I17" si="1">IF(ROUND($H$2/12,0)&lt;M12,M12,ROUND($H$2/12,0))</f>
        <v>1</v>
      </c>
      <c r="J12" s="1367">
        <f>$I12*'Lista global'!P17</f>
        <v>2.2624999999999997</v>
      </c>
      <c r="K12" s="1367">
        <f>$I12*'Lista global'!Q17</f>
        <v>1.905263157894737</v>
      </c>
      <c r="L12" s="2371">
        <f>$I12*'Lista global'!M17</f>
        <v>1.81</v>
      </c>
      <c r="M12" s="1347">
        <v>1</v>
      </c>
      <c r="O12" s="1370">
        <v>1</v>
      </c>
      <c r="P12" s="1369"/>
    </row>
    <row r="13" spans="1:16" ht="15.75" customHeight="1" x14ac:dyDescent="0.25">
      <c r="B13" s="4190"/>
      <c r="C13" s="4193"/>
      <c r="D13" s="2564" t="s">
        <v>65</v>
      </c>
      <c r="E13" s="2570">
        <v>106104223</v>
      </c>
      <c r="F13" s="2566" t="s">
        <v>92</v>
      </c>
      <c r="G13" s="3895" t="s">
        <v>1765</v>
      </c>
      <c r="H13" s="2564">
        <v>1</v>
      </c>
      <c r="I13" s="2553">
        <f t="shared" si="1"/>
        <v>1</v>
      </c>
      <c r="J13" s="2009">
        <f>$I13*'Lista global'!P48</f>
        <v>56.199999999999996</v>
      </c>
      <c r="K13" s="2009">
        <f>$I13*'Lista global'!Q48</f>
        <v>47.326315789473689</v>
      </c>
      <c r="L13" s="2371">
        <f>$I13*'Lista global'!M48</f>
        <v>44.96</v>
      </c>
      <c r="M13" s="1347">
        <v>1</v>
      </c>
      <c r="O13" s="1370">
        <v>1</v>
      </c>
      <c r="P13" s="1369"/>
    </row>
    <row r="14" spans="1:16" ht="15.75" customHeight="1" x14ac:dyDescent="0.25">
      <c r="B14" s="4190"/>
      <c r="C14" s="4193" t="s">
        <v>311</v>
      </c>
      <c r="D14" s="2564" t="s">
        <v>312</v>
      </c>
      <c r="E14" s="2570">
        <v>106104093</v>
      </c>
      <c r="F14" s="2566" t="s">
        <v>1057</v>
      </c>
      <c r="G14" s="3895" t="s">
        <v>1703</v>
      </c>
      <c r="H14" s="2564">
        <v>1</v>
      </c>
      <c r="I14" s="2553">
        <f t="shared" si="1"/>
        <v>1</v>
      </c>
      <c r="J14" s="2009">
        <f>$I14*'Lista global'!P17</f>
        <v>2.2624999999999997</v>
      </c>
      <c r="K14" s="2009">
        <f>$I14*'Lista global'!Q17</f>
        <v>1.905263157894737</v>
      </c>
      <c r="L14" s="2371">
        <f>$I14*'Lista global'!M17</f>
        <v>1.81</v>
      </c>
      <c r="M14" s="1347">
        <v>1</v>
      </c>
      <c r="O14" s="1370">
        <v>1</v>
      </c>
      <c r="P14" s="1369"/>
    </row>
    <row r="15" spans="1:16" ht="15.75" customHeight="1" x14ac:dyDescent="0.25">
      <c r="B15" s="4190"/>
      <c r="C15" s="4193"/>
      <c r="D15" s="2564" t="s">
        <v>285</v>
      </c>
      <c r="E15" s="2570">
        <v>106104219</v>
      </c>
      <c r="F15" s="2566" t="s">
        <v>96</v>
      </c>
      <c r="G15" s="3895" t="s">
        <v>1759</v>
      </c>
      <c r="H15" s="2564">
        <v>1</v>
      </c>
      <c r="I15" s="2553">
        <f t="shared" si="1"/>
        <v>1</v>
      </c>
      <c r="J15" s="2009">
        <f>$I15*'Lista global'!P46</f>
        <v>25.224999999999998</v>
      </c>
      <c r="K15" s="2009">
        <f>$I15*'Lista global'!Q46</f>
        <v>21.242105263157896</v>
      </c>
      <c r="L15" s="2371">
        <f>$I15*'Lista global'!M46</f>
        <v>20.18</v>
      </c>
      <c r="M15" s="1347">
        <v>1</v>
      </c>
      <c r="O15" s="1370">
        <v>1</v>
      </c>
      <c r="P15" s="1369"/>
    </row>
    <row r="16" spans="1:16" ht="15.75" customHeight="1" x14ac:dyDescent="0.25">
      <c r="B16" s="4190"/>
      <c r="C16" s="4193" t="s">
        <v>313</v>
      </c>
      <c r="D16" s="2564" t="s">
        <v>314</v>
      </c>
      <c r="E16" s="2570">
        <v>106104093</v>
      </c>
      <c r="F16" s="2566" t="s">
        <v>1057</v>
      </c>
      <c r="G16" s="3895" t="s">
        <v>1703</v>
      </c>
      <c r="H16" s="2564">
        <v>1</v>
      </c>
      <c r="I16" s="2553">
        <f t="shared" si="1"/>
        <v>1</v>
      </c>
      <c r="J16" s="2009">
        <f>$I16*'Lista global'!P17</f>
        <v>2.2624999999999997</v>
      </c>
      <c r="K16" s="2009">
        <f>$I16*'Lista global'!Q17</f>
        <v>1.905263157894737</v>
      </c>
      <c r="L16" s="2371">
        <f>$I16*'Lista global'!M17</f>
        <v>1.81</v>
      </c>
      <c r="M16" s="1347">
        <v>1</v>
      </c>
      <c r="O16" s="1370">
        <v>1</v>
      </c>
      <c r="P16" s="1369"/>
    </row>
    <row r="17" spans="1:16" ht="15.75" customHeight="1" thickBot="1" x14ac:dyDescent="0.3">
      <c r="B17" s="4191"/>
      <c r="C17" s="4194"/>
      <c r="D17" s="2567" t="s">
        <v>286</v>
      </c>
      <c r="E17" s="2574">
        <v>106104221</v>
      </c>
      <c r="F17" s="2569" t="s">
        <v>151</v>
      </c>
      <c r="G17" s="3894" t="s">
        <v>1762</v>
      </c>
      <c r="H17" s="2567">
        <v>1</v>
      </c>
      <c r="I17" s="2558">
        <f t="shared" si="1"/>
        <v>1</v>
      </c>
      <c r="J17" s="1548">
        <f>$I17*'Lista global'!P47</f>
        <v>31.837499999999999</v>
      </c>
      <c r="K17" s="1548">
        <f>$I17*'Lista global'!Q47</f>
        <v>26.810526315789474</v>
      </c>
      <c r="L17" s="2371">
        <f>$I17*'Lista global'!M47</f>
        <v>25.47</v>
      </c>
      <c r="M17" s="1347">
        <v>1</v>
      </c>
      <c r="O17" s="1370">
        <v>1</v>
      </c>
      <c r="P17" s="1369"/>
    </row>
    <row r="18" spans="1:16" ht="15" customHeight="1" x14ac:dyDescent="0.25">
      <c r="B18" s="1096" t="s">
        <v>588</v>
      </c>
      <c r="C18" s="4186" t="s">
        <v>315</v>
      </c>
      <c r="D18" s="2561" t="s">
        <v>21</v>
      </c>
      <c r="E18" s="2562">
        <v>106104110</v>
      </c>
      <c r="F18" s="2563" t="s">
        <v>316</v>
      </c>
      <c r="G18" s="3896" t="s">
        <v>1712</v>
      </c>
      <c r="H18" s="2561">
        <v>1</v>
      </c>
      <c r="I18" s="2551">
        <f>IF(ROUNDDOWN($H$2/20,0)&lt;M18,M18,ROUNDDOWN($H$2/20,0))</f>
        <v>1</v>
      </c>
      <c r="J18" s="1367">
        <f>$I18*'Lista global'!P23</f>
        <v>195.01249999999999</v>
      </c>
      <c r="K18" s="1367">
        <f>$I18*'Lista global'!Q23</f>
        <v>164.22105263157894</v>
      </c>
      <c r="L18" s="2371">
        <f>$I18*'Lista global'!M23</f>
        <v>156.01</v>
      </c>
      <c r="M18" s="1347">
        <v>1</v>
      </c>
      <c r="O18" s="1368" t="s">
        <v>1392</v>
      </c>
      <c r="P18" s="1369"/>
    </row>
    <row r="19" spans="1:16" ht="15.75" customHeight="1" x14ac:dyDescent="0.25">
      <c r="B19" s="573"/>
      <c r="C19" s="4187"/>
      <c r="D19" s="2564" t="s">
        <v>281</v>
      </c>
      <c r="E19" s="2570">
        <v>106104081</v>
      </c>
      <c r="F19" s="2566" t="s">
        <v>317</v>
      </c>
      <c r="G19" s="3895" t="s">
        <v>1694</v>
      </c>
      <c r="H19" s="2564">
        <v>1</v>
      </c>
      <c r="I19" s="2552">
        <f>IF(ROUNDDOWN($H$2/20,0)&lt;M19,M19,ROUNDDOWN($H$2/20,0))</f>
        <v>1</v>
      </c>
      <c r="J19" s="2009">
        <f>$I19*'Lista global'!P12</f>
        <v>28.274999999999999</v>
      </c>
      <c r="K19" s="2009">
        <f>$I19*'Lista global'!Q12</f>
        <v>23.810526315789478</v>
      </c>
      <c r="L19" s="2371">
        <f>$I19*'Lista global'!M12</f>
        <v>22.62</v>
      </c>
      <c r="M19" s="1347">
        <v>1</v>
      </c>
      <c r="O19" s="1368" t="s">
        <v>1392</v>
      </c>
      <c r="P19" s="1369"/>
    </row>
    <row r="20" spans="1:16" ht="15.75" customHeight="1" x14ac:dyDescent="0.25">
      <c r="B20" s="573"/>
      <c r="C20" s="4187"/>
      <c r="D20" s="2564" t="s">
        <v>283</v>
      </c>
      <c r="E20" s="2570">
        <v>106104094</v>
      </c>
      <c r="F20" s="2566" t="s">
        <v>318</v>
      </c>
      <c r="G20" s="3895" t="s">
        <v>1576</v>
      </c>
      <c r="H20" s="2564">
        <v>1</v>
      </c>
      <c r="I20" s="2552">
        <f>IF(ROUNDDOWN($H$2/20,0)&lt;M20,M20,ROUNDDOWN($H$2/20,0))</f>
        <v>1</v>
      </c>
      <c r="J20" s="2009">
        <f>$I20*'Lista global'!P18</f>
        <v>2.9624999999999999</v>
      </c>
      <c r="K20" s="2009">
        <f>$I20*'Lista global'!Q18</f>
        <v>2.4947368421052634</v>
      </c>
      <c r="L20" s="2371">
        <f>$I20*'Lista global'!M18</f>
        <v>2.37</v>
      </c>
      <c r="M20" s="1347">
        <v>1</v>
      </c>
      <c r="O20" s="1368" t="s">
        <v>1392</v>
      </c>
      <c r="P20" s="1369"/>
    </row>
    <row r="21" spans="1:16" ht="15.75" customHeight="1" thickBot="1" x14ac:dyDescent="0.3">
      <c r="B21" s="573"/>
      <c r="C21" s="4188"/>
      <c r="D21" s="2567" t="s">
        <v>64</v>
      </c>
      <c r="E21" s="2574">
        <v>106104128</v>
      </c>
      <c r="F21" s="2569" t="s">
        <v>154</v>
      </c>
      <c r="G21" s="3894" t="s">
        <v>1721</v>
      </c>
      <c r="H21" s="2567">
        <v>1</v>
      </c>
      <c r="I21" s="2556">
        <f>IF(ROUNDDOWN($H$2/20,0)&lt;M21,M21,ROUNDDOWN($H$2/20,0))</f>
        <v>1</v>
      </c>
      <c r="J21" s="1548">
        <f>$I21*'Lista global'!P29</f>
        <v>8.5374999999999996</v>
      </c>
      <c r="K21" s="1548">
        <f>$I21*'Lista global'!Q29</f>
        <v>7.1894736842105269</v>
      </c>
      <c r="L21" s="2371">
        <f>$I21*'Lista global'!M29</f>
        <v>6.83</v>
      </c>
      <c r="M21" s="1347">
        <v>1</v>
      </c>
      <c r="O21" s="1368" t="s">
        <v>1392</v>
      </c>
      <c r="P21" s="1369"/>
    </row>
    <row r="22" spans="1:16" ht="15.75" customHeight="1" x14ac:dyDescent="0.25">
      <c r="B22" s="2367" t="s">
        <v>647</v>
      </c>
      <c r="C22" s="2575"/>
      <c r="D22" s="2561" t="s">
        <v>271</v>
      </c>
      <c r="E22" s="2562">
        <v>106120457</v>
      </c>
      <c r="F22" s="2563" t="s">
        <v>272</v>
      </c>
      <c r="G22" s="3896" t="s">
        <v>1901</v>
      </c>
      <c r="H22" s="2561">
        <v>2</v>
      </c>
      <c r="I22" s="2551">
        <f>IF(2*ROUNDUP($H$2/10,0)&lt;M22,M22,2*ROUNDUP($H$2/10,0))</f>
        <v>2</v>
      </c>
      <c r="J22" s="1367">
        <f>$I22*'Lista global'!P174</f>
        <v>129.25</v>
      </c>
      <c r="K22" s="1367">
        <f>$I22*'Lista global'!Q174</f>
        <v>108.8421052631579</v>
      </c>
      <c r="L22" s="2371">
        <f>$I22*'Lista global'!M174</f>
        <v>103.4</v>
      </c>
      <c r="M22" s="1347">
        <v>1</v>
      </c>
      <c r="O22" s="1368">
        <v>2</v>
      </c>
      <c r="P22" s="1369"/>
    </row>
    <row r="23" spans="1:16" ht="15.75" customHeight="1" x14ac:dyDescent="0.25">
      <c r="B23" s="573" t="s">
        <v>647</v>
      </c>
      <c r="C23" s="2576"/>
      <c r="D23" s="2564" t="s">
        <v>287</v>
      </c>
      <c r="E23" s="2570">
        <v>106105422</v>
      </c>
      <c r="F23" s="2566" t="s">
        <v>288</v>
      </c>
      <c r="G23" s="3895" t="s">
        <v>1799</v>
      </c>
      <c r="H23" s="2564">
        <v>3</v>
      </c>
      <c r="I23" s="2552">
        <f>IF(3*$I$41&lt;M23,M23,3*$I$41)</f>
        <v>3</v>
      </c>
      <c r="J23" s="2009">
        <f>$I23*'Lista global'!P65</f>
        <v>4.0875000000000004</v>
      </c>
      <c r="K23" s="2009">
        <f>$I23*'Lista global'!Q65</f>
        <v>3.4421052631578952</v>
      </c>
      <c r="L23" s="2371">
        <f>$I23*'Lista global'!M65</f>
        <v>3.2700000000000005</v>
      </c>
      <c r="M23" s="1347">
        <v>1</v>
      </c>
      <c r="O23" s="1368">
        <v>3</v>
      </c>
      <c r="P23" s="1369"/>
    </row>
    <row r="24" spans="1:16" ht="15.75" customHeight="1" x14ac:dyDescent="0.25">
      <c r="B24" s="573" t="s">
        <v>647</v>
      </c>
      <c r="C24" s="2576"/>
      <c r="D24" s="2564"/>
      <c r="E24" s="2565">
        <v>106111647</v>
      </c>
      <c r="F24" s="2566" t="s">
        <v>319</v>
      </c>
      <c r="G24" s="3895" t="s">
        <v>1229</v>
      </c>
      <c r="H24" s="2564">
        <v>1</v>
      </c>
      <c r="I24" s="2552">
        <f>IF(ROUNDDOWN($H$2/10,0)&lt;M24,M24,ROUNDDOWN($H$2/10,0))</f>
        <v>1</v>
      </c>
      <c r="J24" s="2009">
        <f>$I24*'Lista global'!P98</f>
        <v>65.424999999999997</v>
      </c>
      <c r="K24" s="2009">
        <f>$I24*'Lista global'!Q98</f>
        <v>55.09473684210527</v>
      </c>
      <c r="L24" s="2371">
        <f>$I24*'Lista global'!M98</f>
        <v>52.34</v>
      </c>
      <c r="M24" s="1347">
        <v>1</v>
      </c>
      <c r="O24" s="1368">
        <v>0</v>
      </c>
      <c r="P24" s="1369"/>
    </row>
    <row r="25" spans="1:16" x14ac:dyDescent="0.25">
      <c r="B25" s="573" t="s">
        <v>647</v>
      </c>
      <c r="C25" s="2576"/>
      <c r="D25" s="2564" t="s">
        <v>29</v>
      </c>
      <c r="E25" s="2570">
        <v>106111793</v>
      </c>
      <c r="F25" s="2566" t="s">
        <v>320</v>
      </c>
      <c r="G25" s="3895" t="s">
        <v>1723</v>
      </c>
      <c r="H25" s="2564">
        <v>1</v>
      </c>
      <c r="I25" s="2552">
        <f>IF(ROUNDUP($H$2/10,0)&lt;M25,M25,ROUNDUP($H$2/10,0))</f>
        <v>1</v>
      </c>
      <c r="J25" s="2009">
        <f>$I25*'Lista global'!P100</f>
        <v>197.66249999999999</v>
      </c>
      <c r="K25" s="2009">
        <f>$I25*'Lista global'!Q100</f>
        <v>166.45263157894738</v>
      </c>
      <c r="L25" s="2371">
        <f>$I25*'Lista global'!M100</f>
        <v>158.13</v>
      </c>
      <c r="M25" s="1347">
        <v>1</v>
      </c>
      <c r="O25" s="1368">
        <v>1</v>
      </c>
      <c r="P25" s="1369"/>
    </row>
    <row r="26" spans="1:16" ht="17.25" customHeight="1" x14ac:dyDescent="0.25">
      <c r="B26" s="573" t="s">
        <v>647</v>
      </c>
      <c r="C26" s="2576"/>
      <c r="D26" s="2564" t="s">
        <v>3753</v>
      </c>
      <c r="E26" s="2570">
        <v>106208741</v>
      </c>
      <c r="F26" s="1348" t="s">
        <v>3755</v>
      </c>
      <c r="G26" s="3895" t="s">
        <v>3756</v>
      </c>
      <c r="H26" s="2564">
        <v>1</v>
      </c>
      <c r="I26" s="2552">
        <f>IF(ROUNDUP($H$2/10,0)&lt;M26,M26,ROUNDUP($H$2/10,0))</f>
        <v>1</v>
      </c>
      <c r="J26" s="2009">
        <f>$I26*'Lista global'!P356</f>
        <v>293.07499999999999</v>
      </c>
      <c r="K26" s="2009">
        <f>$I26*'Lista global'!Q356</f>
        <v>195.38333333333335</v>
      </c>
      <c r="L26" s="2371">
        <f>$I26*'Lista global'!M356</f>
        <v>117.23</v>
      </c>
      <c r="M26" s="1347">
        <v>1</v>
      </c>
      <c r="O26" s="1368">
        <v>1</v>
      </c>
      <c r="P26" s="1369"/>
    </row>
    <row r="27" spans="1:16" ht="15.75" customHeight="1" x14ac:dyDescent="0.25">
      <c r="B27" s="573" t="s">
        <v>647</v>
      </c>
      <c r="C27" s="2576"/>
      <c r="D27" s="2564" t="s">
        <v>1044</v>
      </c>
      <c r="E27" s="2570">
        <v>106204289</v>
      </c>
      <c r="F27" s="2566" t="s">
        <v>1043</v>
      </c>
      <c r="G27" s="3895" t="s">
        <v>2960</v>
      </c>
      <c r="H27" s="2564">
        <v>1</v>
      </c>
      <c r="I27" s="2552">
        <f>IF(ROUNDUP($H$2/10,0)&lt;M27,M27,ROUNDUP($H$2/10,0))</f>
        <v>1</v>
      </c>
      <c r="J27" s="2009">
        <f>$I27*'Lista global'!P232</f>
        <v>52.4</v>
      </c>
      <c r="K27" s="2009">
        <f>$I27*'Lista global'!Q232</f>
        <v>34.933333333333337</v>
      </c>
      <c r="L27" s="2371">
        <f>$I27*'Lista global'!M232</f>
        <v>20.96</v>
      </c>
      <c r="M27" s="1347">
        <v>1</v>
      </c>
      <c r="O27" s="1368">
        <v>1</v>
      </c>
      <c r="P27" s="1369"/>
    </row>
    <row r="28" spans="1:16" ht="15.75" customHeight="1" x14ac:dyDescent="0.25">
      <c r="B28" s="573" t="s">
        <v>647</v>
      </c>
      <c r="C28" s="2576"/>
      <c r="D28" s="2564" t="s">
        <v>1046</v>
      </c>
      <c r="E28" s="2570">
        <v>106117401</v>
      </c>
      <c r="F28" s="2566" t="s">
        <v>1041</v>
      </c>
      <c r="G28" s="3895" t="s">
        <v>1518</v>
      </c>
      <c r="H28" s="2564">
        <v>1</v>
      </c>
      <c r="I28" s="2553">
        <f>IF(ROUND($H$2/4,0)&lt;M28,M28,ROUND($H$2/4,0))</f>
        <v>1</v>
      </c>
      <c r="J28" s="2009">
        <f>$I28*'Lista global'!P152</f>
        <v>1.1625000000000001</v>
      </c>
      <c r="K28" s="2009">
        <f>$I28*'Lista global'!Q152</f>
        <v>0.97894736842105268</v>
      </c>
      <c r="L28" s="2371">
        <f>$I28*'Lista global'!M152</f>
        <v>0.93</v>
      </c>
      <c r="M28" s="1347">
        <v>1</v>
      </c>
      <c r="O28" s="1370">
        <v>2</v>
      </c>
      <c r="P28" s="1369"/>
    </row>
    <row r="29" spans="1:16" ht="15.75" customHeight="1" x14ac:dyDescent="0.25">
      <c r="B29" s="573" t="s">
        <v>1048</v>
      </c>
      <c r="C29" s="2576"/>
      <c r="D29" s="2564" t="s">
        <v>1047</v>
      </c>
      <c r="E29" s="2570">
        <v>106116005</v>
      </c>
      <c r="F29" s="2566" t="s">
        <v>1040</v>
      </c>
      <c r="G29" s="3895" t="s">
        <v>1499</v>
      </c>
      <c r="H29" s="2564">
        <v>2</v>
      </c>
      <c r="I29" s="2554">
        <f>IF(H29*$I$41&lt;M29,M29,H29*$I$41)</f>
        <v>2</v>
      </c>
      <c r="J29" s="2009">
        <f>$I29*'Lista global'!P150</f>
        <v>7.7749999999999995</v>
      </c>
      <c r="K29" s="2009">
        <f>$I29*'Lista global'!Q150</f>
        <v>6.5473684210526315</v>
      </c>
      <c r="L29" s="2371">
        <f>$I29*'Lista global'!M150</f>
        <v>6.22</v>
      </c>
      <c r="M29" s="1347">
        <v>1</v>
      </c>
      <c r="O29" s="1370">
        <v>5</v>
      </c>
      <c r="P29" s="1369"/>
    </row>
    <row r="30" spans="1:16" ht="15.75" customHeight="1" x14ac:dyDescent="0.25">
      <c r="B30" s="573" t="s">
        <v>647</v>
      </c>
      <c r="C30" s="2576"/>
      <c r="D30" s="2564"/>
      <c r="E30" s="2570">
        <v>106105886</v>
      </c>
      <c r="F30" s="2566" t="s">
        <v>1045</v>
      </c>
      <c r="G30" s="3895" t="s">
        <v>1233</v>
      </c>
      <c r="H30" s="2564">
        <v>3</v>
      </c>
      <c r="I30" s="2553">
        <f>IF(ROUND($H$2/20,0)&lt;M30,M30,ROUND($H$2/20,0))</f>
        <v>1</v>
      </c>
      <c r="J30" s="2009">
        <f>$I30*'Lista global'!P72</f>
        <v>4.1624999999999996</v>
      </c>
      <c r="K30" s="2009">
        <f>$I30*'Lista global'!Q72</f>
        <v>3.5052631578947371</v>
      </c>
      <c r="L30" s="2371">
        <f>$I30*'Lista global'!M72</f>
        <v>3.33</v>
      </c>
      <c r="M30" s="1347">
        <v>1</v>
      </c>
      <c r="O30" s="1370">
        <v>1</v>
      </c>
      <c r="P30" s="1369"/>
    </row>
    <row r="31" spans="1:16" ht="15.75" customHeight="1" x14ac:dyDescent="0.25">
      <c r="A31" s="373" t="s">
        <v>499</v>
      </c>
      <c r="B31" s="2368" t="s">
        <v>591</v>
      </c>
      <c r="C31" s="2576"/>
      <c r="D31" s="2564" t="s">
        <v>645</v>
      </c>
      <c r="E31" s="2570">
        <v>106114701</v>
      </c>
      <c r="F31" s="2566" t="s">
        <v>273</v>
      </c>
      <c r="G31" s="3895" t="s">
        <v>1244</v>
      </c>
      <c r="H31" s="2564">
        <v>1</v>
      </c>
      <c r="I31" s="2553">
        <f>IF(ROUND($H$2/4,0)&lt;M31,M31,ROUND($H$2/4,0))</f>
        <v>1</v>
      </c>
      <c r="J31" s="2009">
        <f>$I31*'Lista global'!P146</f>
        <v>92.85</v>
      </c>
      <c r="K31" s="2009">
        <f>$I31*'Lista global'!Q146</f>
        <v>78.189473684210526</v>
      </c>
      <c r="L31" s="2371">
        <f>$I31*'Lista global'!M146</f>
        <v>74.28</v>
      </c>
      <c r="M31" s="1347">
        <v>1</v>
      </c>
      <c r="O31" s="1370">
        <v>2</v>
      </c>
      <c r="P31" s="1369"/>
    </row>
    <row r="32" spans="1:16" ht="15.75" customHeight="1" x14ac:dyDescent="0.25">
      <c r="A32" s="373" t="s">
        <v>501</v>
      </c>
      <c r="B32" s="2368" t="s">
        <v>591</v>
      </c>
      <c r="C32" s="2576"/>
      <c r="D32" s="2564" t="s">
        <v>289</v>
      </c>
      <c r="E32" s="2570">
        <v>106111795</v>
      </c>
      <c r="F32" s="2566" t="s">
        <v>550</v>
      </c>
      <c r="G32" s="3895" t="s">
        <v>3050</v>
      </c>
      <c r="H32" s="2564">
        <v>1</v>
      </c>
      <c r="I32" s="2553">
        <f>IF(ROUND($H$2/4,0)&lt;M32,M32,ROUND($H$2/4,0))</f>
        <v>1</v>
      </c>
      <c r="J32" s="2009">
        <f>$I32*'Lista global'!P102</f>
        <v>92.85</v>
      </c>
      <c r="K32" s="2009">
        <f>$I32*'Lista global'!Q102</f>
        <v>78.189473684210526</v>
      </c>
      <c r="L32" s="2371">
        <f>$I32*'Lista global'!M102</f>
        <v>74.28</v>
      </c>
      <c r="M32" s="1347">
        <v>1</v>
      </c>
      <c r="O32" s="1370">
        <v>2</v>
      </c>
      <c r="P32" s="1369"/>
    </row>
    <row r="33" spans="1:16" ht="15.75" customHeight="1" x14ac:dyDescent="0.25">
      <c r="A33" s="373" t="s">
        <v>502</v>
      </c>
      <c r="B33" s="573"/>
      <c r="C33" s="2576"/>
      <c r="D33" s="2564" t="s">
        <v>138</v>
      </c>
      <c r="E33" s="2570">
        <v>106104101</v>
      </c>
      <c r="F33" s="2566" t="s">
        <v>162</v>
      </c>
      <c r="G33" s="3895" t="s">
        <v>1709</v>
      </c>
      <c r="H33" s="2564">
        <v>1</v>
      </c>
      <c r="I33" s="2553">
        <f>IF(ROUNDDOWN(H2/10,0)&lt;M33,M33,ROUNDDOWN(H2/10,0))</f>
        <v>1</v>
      </c>
      <c r="J33" s="2009">
        <f>$I33*'Lista global'!P21</f>
        <v>2.0125000000000002</v>
      </c>
      <c r="K33" s="2009">
        <f>$I33*'Lista global'!Q21</f>
        <v>1.6947368421052633</v>
      </c>
      <c r="L33" s="2371">
        <f>$I33*'Lista global'!M21</f>
        <v>1.61</v>
      </c>
      <c r="M33" s="1347">
        <v>1</v>
      </c>
      <c r="O33" s="1370">
        <v>0</v>
      </c>
      <c r="P33" s="1369"/>
    </row>
    <row r="34" spans="1:16" ht="15.75" customHeight="1" x14ac:dyDescent="0.25">
      <c r="A34" s="373" t="s">
        <v>500</v>
      </c>
      <c r="B34" s="573" t="s">
        <v>647</v>
      </c>
      <c r="C34" s="2576"/>
      <c r="D34" s="2564" t="s">
        <v>298</v>
      </c>
      <c r="E34" s="2570">
        <v>106105038</v>
      </c>
      <c r="F34" s="2566" t="s">
        <v>299</v>
      </c>
      <c r="G34" s="3895" t="s">
        <v>1249</v>
      </c>
      <c r="H34" s="2564">
        <v>3</v>
      </c>
      <c r="I34" s="2552">
        <f>IF(I35&lt;M34,M34,I35)</f>
        <v>1</v>
      </c>
      <c r="J34" s="2009">
        <f>$I34*'Lista global'!P55</f>
        <v>1.35</v>
      </c>
      <c r="K34" s="2009">
        <f>$I34*'Lista global'!Q55</f>
        <v>1.1368421052631581</v>
      </c>
      <c r="L34" s="2371">
        <f>$I34*'Lista global'!M55</f>
        <v>1.08</v>
      </c>
      <c r="M34" s="1347">
        <v>1</v>
      </c>
      <c r="O34" s="1368">
        <v>3</v>
      </c>
      <c r="P34" s="1369"/>
    </row>
    <row r="35" spans="1:16" ht="15.75" customHeight="1" x14ac:dyDescent="0.25">
      <c r="B35" s="573" t="s">
        <v>647</v>
      </c>
      <c r="C35" s="2576"/>
      <c r="D35" s="2564" t="s">
        <v>323</v>
      </c>
      <c r="E35" s="2570">
        <v>106112525</v>
      </c>
      <c r="F35" s="2566" t="s">
        <v>300</v>
      </c>
      <c r="G35" s="3895" t="s">
        <v>1247</v>
      </c>
      <c r="H35" s="2564">
        <v>3</v>
      </c>
      <c r="I35" s="2554">
        <f>IF(ROUNDUP($H$2*H35/10,0)&lt;M35,M35,ROUNDUP($H$2*H35/10,0))</f>
        <v>1</v>
      </c>
      <c r="J35" s="2009">
        <f>$I35*'Lista global'!P113</f>
        <v>97.162499999999994</v>
      </c>
      <c r="K35" s="2009">
        <f>$I35*'Lista global'!Q113</f>
        <v>81.821052631578951</v>
      </c>
      <c r="L35" s="2371">
        <f>$I35*'Lista global'!M113</f>
        <v>77.73</v>
      </c>
      <c r="M35" s="1347">
        <v>1</v>
      </c>
      <c r="O35" s="1371">
        <v>3</v>
      </c>
      <c r="P35" s="1369"/>
    </row>
    <row r="36" spans="1:16" ht="15.75" customHeight="1" x14ac:dyDescent="0.25">
      <c r="B36" s="573" t="s">
        <v>647</v>
      </c>
      <c r="C36" s="2576"/>
      <c r="D36" s="2564"/>
      <c r="E36" s="2570">
        <v>106112878</v>
      </c>
      <c r="F36" s="2566" t="s">
        <v>1042</v>
      </c>
      <c r="G36" s="3895" t="s">
        <v>1559</v>
      </c>
      <c r="H36" s="2564">
        <v>5</v>
      </c>
      <c r="I36" s="2554">
        <f>IF(H36*$I$41&lt;M36,M36,H36*$I$41)</f>
        <v>5</v>
      </c>
      <c r="J36" s="2009">
        <f>$I36*'Lista global'!P120</f>
        <v>12.125</v>
      </c>
      <c r="K36" s="2009">
        <f>$I36*'Lista global'!Q120</f>
        <v>10.210526315789474</v>
      </c>
      <c r="L36" s="2371">
        <f>$I36*'Lista global'!M120</f>
        <v>9.6999999999999993</v>
      </c>
      <c r="M36" s="1347">
        <v>1</v>
      </c>
      <c r="O36" s="1371">
        <v>5</v>
      </c>
      <c r="P36" s="1369"/>
    </row>
    <row r="37" spans="1:16" s="24" customFormat="1" ht="15" customHeight="1" x14ac:dyDescent="0.25">
      <c r="C37" s="2576"/>
      <c r="D37" s="2577" t="s">
        <v>1143</v>
      </c>
      <c r="E37" s="2565">
        <v>106204234</v>
      </c>
      <c r="F37" s="2566" t="s">
        <v>1144</v>
      </c>
      <c r="G37" s="3895" t="s">
        <v>1609</v>
      </c>
      <c r="H37" s="2564">
        <v>3</v>
      </c>
      <c r="I37" s="2552">
        <f>IF(ROUNDUP($H$2/20,0)&lt;M37,M37,ROUNDUP($H$2/20,0))</f>
        <v>1</v>
      </c>
      <c r="J37" s="2009">
        <f>$I37*'Lista global'!P231</f>
        <v>18.462499999999999</v>
      </c>
      <c r="K37" s="2009">
        <f>$I37*'Lista global'!Q231</f>
        <v>15.547368421052632</v>
      </c>
      <c r="L37" s="2371">
        <f>$I37*'Lista global'!M231</f>
        <v>14.77</v>
      </c>
      <c r="M37" s="3285">
        <v>1</v>
      </c>
      <c r="O37" s="1371">
        <v>1</v>
      </c>
      <c r="P37" s="1369"/>
    </row>
    <row r="38" spans="1:16" ht="15.75" customHeight="1" x14ac:dyDescent="0.25">
      <c r="B38" s="573"/>
      <c r="C38" s="2576"/>
      <c r="D38" s="2578"/>
      <c r="E38" s="2579">
        <v>106107580</v>
      </c>
      <c r="F38" s="2566" t="s">
        <v>1277</v>
      </c>
      <c r="G38" s="3895" t="s">
        <v>1278</v>
      </c>
      <c r="H38" s="1814">
        <v>3</v>
      </c>
      <c r="I38" s="2554">
        <f>IF(H38*$I$41&lt;M38,M38,H38*$I$41)</f>
        <v>3</v>
      </c>
      <c r="J38" s="2009">
        <f>$I38*'Lista global'!P78</f>
        <v>3.2624999999999997</v>
      </c>
      <c r="K38" s="2009">
        <f>$I38*'Lista global'!Q78</f>
        <v>2.7473684210526317</v>
      </c>
      <c r="L38" s="2371">
        <f>$I38*'Lista global'!M78</f>
        <v>2.61</v>
      </c>
      <c r="M38" s="1347">
        <v>1</v>
      </c>
      <c r="O38" s="1371">
        <v>3</v>
      </c>
      <c r="P38" s="1369"/>
    </row>
    <row r="39" spans="1:16" ht="15.75" customHeight="1" x14ac:dyDescent="0.25">
      <c r="B39" s="573" t="s">
        <v>647</v>
      </c>
      <c r="C39" s="2576"/>
      <c r="D39" s="2564"/>
      <c r="E39" s="2570">
        <v>106112712</v>
      </c>
      <c r="F39" s="2580" t="s">
        <v>683</v>
      </c>
      <c r="G39" s="3893" t="s">
        <v>1519</v>
      </c>
      <c r="H39" s="2564">
        <v>1</v>
      </c>
      <c r="I39" s="2554">
        <f>IF(H39*$I$41&lt;M39,M39,H39*$I$41)</f>
        <v>1</v>
      </c>
      <c r="J39" s="2009">
        <f>$I39*'Lista global'!P117</f>
        <v>4.3249999999999993</v>
      </c>
      <c r="K39" s="2009">
        <f>$I39*'Lista global'!Q117</f>
        <v>3.642105263157895</v>
      </c>
      <c r="L39" s="2371">
        <f>$I39*'Lista global'!M117</f>
        <v>3.46</v>
      </c>
      <c r="M39" s="1347">
        <v>1</v>
      </c>
      <c r="O39" s="1371">
        <v>1</v>
      </c>
      <c r="P39" s="1369"/>
    </row>
    <row r="40" spans="1:16" ht="15.75" customHeight="1" thickBot="1" x14ac:dyDescent="0.3">
      <c r="B40" s="2369"/>
      <c r="C40" s="2581"/>
      <c r="D40" s="2567" t="s">
        <v>196</v>
      </c>
      <c r="E40" s="2574">
        <v>106201346</v>
      </c>
      <c r="F40" s="2582" t="s">
        <v>324</v>
      </c>
      <c r="G40" s="3894" t="s">
        <v>1526</v>
      </c>
      <c r="H40" s="2567">
        <v>1</v>
      </c>
      <c r="I40" s="2555">
        <f>IF(ROUNDDOWN($H$2/4,0)&lt;M40,M40,ROUNDDOWN($H$2/4,0))</f>
        <v>1</v>
      </c>
      <c r="J40" s="1548">
        <f>$I40*'Lista global'!P199</f>
        <v>73.724999999999994</v>
      </c>
      <c r="K40" s="1548">
        <f>$I40*'Lista global'!Q199</f>
        <v>49.15</v>
      </c>
      <c r="L40" s="2372">
        <f>$I40*'Lista global'!M199</f>
        <v>29.49</v>
      </c>
      <c r="M40" s="1347">
        <v>1</v>
      </c>
      <c r="O40" s="1372">
        <v>3</v>
      </c>
      <c r="P40" s="1373"/>
    </row>
    <row r="41" spans="1:16" s="225" customFormat="1" ht="15" customHeight="1" thickBot="1" x14ac:dyDescent="0.3">
      <c r="A41" s="1342"/>
      <c r="B41" s="2369"/>
      <c r="C41" s="2583"/>
      <c r="D41" s="2584" t="str">
        <f>IF($F2=$H46,D46,IF($F2=$H47,D47))</f>
        <v>AAS7101</v>
      </c>
      <c r="E41" s="2585">
        <f>IF($F2=$H46,E46,IF($F2=$H47,E47))</f>
        <v>106200855</v>
      </c>
      <c r="F41" s="2586" t="str">
        <f>IF($F2=$H46,F46,IF($F2=$H47,F47))</f>
        <v>VARIADOR INGECON SUN TRIFASICO CON CONEXIÓN A RED 100 kW</v>
      </c>
      <c r="G41" s="2586" t="s">
        <v>1927</v>
      </c>
      <c r="H41" s="2587">
        <v>1</v>
      </c>
      <c r="I41" s="2588">
        <f>IF(ROUNDUP(H2*3/100,0)&lt;M41,M41,ROUNDUP(H2*3/100,0))</f>
        <v>1</v>
      </c>
      <c r="J41" s="2011">
        <f>IF($F2=$H46,$I41*'Lista global'!P225,IF($F2=$H47,$I41*'Lista global'!P189))</f>
        <v>5836.7058823529396</v>
      </c>
      <c r="K41" s="2011">
        <f>IF($F2=$H46,$I41*'Lista global'!Q225,IF($F2=$H47,$I41*'Lista global'!Q189))</f>
        <v>3600</v>
      </c>
      <c r="L41" s="2372">
        <f>IF($F2=$H46,$I41*'Lista global'!M225,IF($F2=$H47,$I41*'Lista global'!M189))</f>
        <v>1984.48</v>
      </c>
      <c r="M41" s="3287">
        <v>1</v>
      </c>
      <c r="O41" s="992">
        <v>1</v>
      </c>
      <c r="P41" s="1030"/>
    </row>
    <row r="42" spans="1:16" ht="15.75" thickBot="1" x14ac:dyDescent="0.3">
      <c r="G42" s="86"/>
      <c r="H42" s="1383"/>
      <c r="I42" s="1516" t="s">
        <v>941</v>
      </c>
      <c r="J42" s="1517">
        <f>SUM(J4:J41)</f>
        <v>7953.7183823529394</v>
      </c>
      <c r="K42" s="1517">
        <f>SUM(K4:K41)</f>
        <v>5309.2035087719305</v>
      </c>
      <c r="L42" s="1312">
        <f>SUM(L4:L41)</f>
        <v>3510.41</v>
      </c>
      <c r="M42" s="2633"/>
      <c r="O42" s="1310" t="s">
        <v>941</v>
      </c>
      <c r="P42" s="1312">
        <f>SUM(P4:P41)</f>
        <v>0</v>
      </c>
    </row>
    <row r="43" spans="1:16" ht="15.75" thickBot="1" x14ac:dyDescent="0.3">
      <c r="E43" s="40" t="s">
        <v>148</v>
      </c>
    </row>
    <row r="44" spans="1:16" ht="15.75" thickBot="1" x14ac:dyDescent="0.3">
      <c r="B44" s="506"/>
      <c r="C44" s="4135" t="s">
        <v>11</v>
      </c>
      <c r="D44" s="4136"/>
      <c r="E44" s="4136"/>
      <c r="F44" s="4136"/>
      <c r="G44" s="4136"/>
      <c r="H44" s="4137"/>
    </row>
    <row r="45" spans="1:16" ht="27.75" customHeight="1" thickBot="1" x14ac:dyDescent="0.3">
      <c r="B45" s="500"/>
      <c r="C45" s="6"/>
      <c r="D45" s="6"/>
      <c r="E45" s="407" t="s">
        <v>13</v>
      </c>
      <c r="F45" s="6" t="s">
        <v>1</v>
      </c>
      <c r="G45" s="140" t="s">
        <v>349</v>
      </c>
      <c r="H45" s="7" t="s">
        <v>8</v>
      </c>
    </row>
    <row r="46" spans="1:16" x14ac:dyDescent="0.25">
      <c r="B46" s="456"/>
      <c r="C46" s="252"/>
      <c r="D46" s="253" t="s">
        <v>437</v>
      </c>
      <c r="E46" s="406">
        <v>106203421</v>
      </c>
      <c r="F46" s="254" t="s">
        <v>325</v>
      </c>
      <c r="G46" s="255">
        <v>1</v>
      </c>
      <c r="H46" s="251" t="s">
        <v>1039</v>
      </c>
    </row>
    <row r="47" spans="1:16" ht="15" customHeight="1" thickBot="1" x14ac:dyDescent="0.3">
      <c r="B47" s="457"/>
      <c r="C47" s="1981"/>
      <c r="D47" s="1982" t="s">
        <v>438</v>
      </c>
      <c r="E47" s="1985">
        <v>106200855</v>
      </c>
      <c r="F47" s="1983" t="s">
        <v>436</v>
      </c>
      <c r="G47" s="1984">
        <v>1</v>
      </c>
      <c r="H47" s="251" t="s">
        <v>1038</v>
      </c>
    </row>
    <row r="48" spans="1:16" ht="15" customHeight="1" x14ac:dyDescent="0.25">
      <c r="B48" s="74"/>
      <c r="C48" s="74"/>
      <c r="D48" s="156"/>
      <c r="E48" s="1097"/>
      <c r="F48" s="1098"/>
      <c r="G48" s="78"/>
      <c r="H48" s="242"/>
      <c r="I48" s="78"/>
      <c r="J48" s="78"/>
      <c r="K48" s="78"/>
      <c r="L48" s="78"/>
      <c r="M48" s="244"/>
      <c r="N48" s="1099"/>
      <c r="O48" s="245"/>
      <c r="P48" s="246"/>
    </row>
    <row r="49" spans="1:16" ht="15.75" thickBot="1" x14ac:dyDescent="0.3">
      <c r="H49" s="11" t="s">
        <v>43</v>
      </c>
    </row>
    <row r="50" spans="1:16" ht="18.75" customHeight="1" thickBot="1" x14ac:dyDescent="0.3">
      <c r="B50" s="499"/>
      <c r="C50" s="4168" t="s">
        <v>45</v>
      </c>
      <c r="D50" s="4169"/>
      <c r="E50" s="4169"/>
      <c r="F50" s="1799" t="s">
        <v>930</v>
      </c>
      <c r="G50" s="1800"/>
      <c r="H50" s="11" t="s">
        <v>44</v>
      </c>
    </row>
    <row r="51" spans="1:16" s="392" customFormat="1" ht="26.25" thickBot="1" x14ac:dyDescent="0.3">
      <c r="A51" s="1383"/>
      <c r="B51" s="502"/>
      <c r="C51" s="4195" t="s">
        <v>79</v>
      </c>
      <c r="D51" s="4196"/>
      <c r="E51" s="394" t="s">
        <v>936</v>
      </c>
      <c r="F51" s="388" t="s">
        <v>1</v>
      </c>
      <c r="G51" s="389" t="s">
        <v>960</v>
      </c>
      <c r="I51" s="11"/>
      <c r="J51" s="11"/>
      <c r="K51" s="1383"/>
      <c r="L51" s="1383"/>
      <c r="M51" s="48"/>
      <c r="N51" s="1080"/>
      <c r="O51" s="1080"/>
      <c r="P51" s="1081"/>
    </row>
    <row r="52" spans="1:16" ht="15.75" customHeight="1" x14ac:dyDescent="0.25">
      <c r="B52" s="4172" t="s">
        <v>585</v>
      </c>
      <c r="C52" s="4183" t="s">
        <v>263</v>
      </c>
      <c r="D52" s="1997" t="s">
        <v>274</v>
      </c>
      <c r="E52" s="1597">
        <v>106104164</v>
      </c>
      <c r="F52" s="698" t="s">
        <v>275</v>
      </c>
      <c r="G52" s="1598">
        <v>1</v>
      </c>
      <c r="I52" s="392"/>
      <c r="J52" s="392"/>
      <c r="K52" s="392"/>
      <c r="L52" s="392"/>
      <c r="M52" s="1086"/>
      <c r="N52" s="1082"/>
      <c r="O52" s="48"/>
      <c r="P52" s="1083"/>
    </row>
    <row r="53" spans="1:16" ht="15.75" customHeight="1" x14ac:dyDescent="0.25">
      <c r="B53" s="4173"/>
      <c r="C53" s="4185"/>
      <c r="D53" s="1998" t="s">
        <v>276</v>
      </c>
      <c r="E53" s="1966">
        <v>106104211</v>
      </c>
      <c r="F53" s="146" t="s">
        <v>277</v>
      </c>
      <c r="G53" s="1987">
        <v>1</v>
      </c>
      <c r="M53" s="358"/>
      <c r="N53" s="1082"/>
      <c r="O53" s="48"/>
      <c r="P53" s="1083"/>
    </row>
    <row r="54" spans="1:16" ht="15.75" customHeight="1" x14ac:dyDescent="0.25">
      <c r="B54" s="4173"/>
      <c r="C54" s="4185"/>
      <c r="D54" s="1998" t="s">
        <v>279</v>
      </c>
      <c r="E54" s="1966">
        <v>106106242</v>
      </c>
      <c r="F54" s="146" t="s">
        <v>280</v>
      </c>
      <c r="G54" s="1987">
        <v>1</v>
      </c>
      <c r="M54" s="358"/>
      <c r="N54" s="1082"/>
      <c r="O54" s="48"/>
      <c r="P54" s="1083"/>
    </row>
    <row r="55" spans="1:16" ht="15.75" customHeight="1" thickBot="1" x14ac:dyDescent="0.3">
      <c r="B55" s="4174"/>
      <c r="C55" s="4206"/>
      <c r="D55" s="1999" t="s">
        <v>278</v>
      </c>
      <c r="E55" s="1967">
        <v>106104214</v>
      </c>
      <c r="F55" s="147" t="s">
        <v>304</v>
      </c>
      <c r="G55" s="1988">
        <v>1</v>
      </c>
      <c r="M55" s="358"/>
      <c r="N55" s="1082"/>
      <c r="O55" s="48"/>
      <c r="P55" s="1083"/>
    </row>
    <row r="56" spans="1:16" ht="15" customHeight="1" x14ac:dyDescent="0.25">
      <c r="B56" s="4172" t="s">
        <v>586</v>
      </c>
      <c r="C56" s="4183" t="s">
        <v>305</v>
      </c>
      <c r="D56" s="2000" t="s">
        <v>301</v>
      </c>
      <c r="E56" s="1968">
        <v>106104092</v>
      </c>
      <c r="F56" s="148" t="s">
        <v>302</v>
      </c>
      <c r="G56" s="1989">
        <v>1</v>
      </c>
      <c r="M56" s="1086"/>
      <c r="N56" s="1082"/>
      <c r="O56" s="48"/>
      <c r="P56" s="1083"/>
    </row>
    <row r="57" spans="1:16" ht="15.75" customHeight="1" x14ac:dyDescent="0.25">
      <c r="B57" s="4173"/>
      <c r="C57" s="4185"/>
      <c r="D57" s="2000" t="s">
        <v>290</v>
      </c>
      <c r="E57" s="1968">
        <v>106111802</v>
      </c>
      <c r="F57" s="148" t="s">
        <v>306</v>
      </c>
      <c r="G57" s="1989">
        <v>1</v>
      </c>
      <c r="M57" s="1086"/>
      <c r="N57" s="1082"/>
      <c r="O57" s="48"/>
      <c r="P57" s="1083"/>
    </row>
    <row r="58" spans="1:16" ht="15.75" customHeight="1" x14ac:dyDescent="0.25">
      <c r="A58" s="1383" t="s">
        <v>999</v>
      </c>
      <c r="B58" s="4173"/>
      <c r="C58" s="4185"/>
      <c r="D58" s="2000" t="s">
        <v>307</v>
      </c>
      <c r="E58" s="1968">
        <v>106109799</v>
      </c>
      <c r="F58" s="148" t="s">
        <v>308</v>
      </c>
      <c r="G58" s="1989">
        <v>2</v>
      </c>
      <c r="M58" s="1086"/>
      <c r="N58" s="1082"/>
      <c r="O58" s="48"/>
      <c r="P58" s="1083"/>
    </row>
    <row r="59" spans="1:16" ht="15.75" customHeight="1" thickBot="1" x14ac:dyDescent="0.3">
      <c r="B59" s="4174"/>
      <c r="C59" s="4206"/>
      <c r="D59" s="2001" t="s">
        <v>292</v>
      </c>
      <c r="E59" s="1969">
        <v>106111805</v>
      </c>
      <c r="F59" s="149" t="s">
        <v>309</v>
      </c>
      <c r="G59" s="1990">
        <v>1</v>
      </c>
      <c r="M59" s="1086"/>
      <c r="N59" s="1082"/>
      <c r="O59" s="48"/>
      <c r="P59" s="1083"/>
    </row>
    <row r="60" spans="1:16" ht="15.75" customHeight="1" x14ac:dyDescent="0.25">
      <c r="B60" s="4172" t="s">
        <v>587</v>
      </c>
      <c r="C60" s="4183" t="s">
        <v>310</v>
      </c>
      <c r="D60" s="2002" t="s">
        <v>67</v>
      </c>
      <c r="E60" s="1970">
        <v>106104093</v>
      </c>
      <c r="F60" s="150" t="s">
        <v>1057</v>
      </c>
      <c r="G60" s="1991">
        <v>1</v>
      </c>
      <c r="M60" s="1086"/>
      <c r="N60" s="1082"/>
      <c r="O60" s="48"/>
      <c r="P60" s="1083"/>
    </row>
    <row r="61" spans="1:16" ht="15.75" customHeight="1" thickBot="1" x14ac:dyDescent="0.3">
      <c r="B61" s="4173"/>
      <c r="C61" s="4206"/>
      <c r="D61" s="2002" t="s">
        <v>65</v>
      </c>
      <c r="E61" s="1970">
        <v>106104223</v>
      </c>
      <c r="F61" s="150" t="s">
        <v>92</v>
      </c>
      <c r="G61" s="1991">
        <v>1</v>
      </c>
      <c r="M61" s="1086"/>
      <c r="N61" s="1082"/>
      <c r="O61" s="48"/>
      <c r="P61" s="1083"/>
    </row>
    <row r="62" spans="1:16" ht="15.75" customHeight="1" x14ac:dyDescent="0.25">
      <c r="B62" s="4173"/>
      <c r="C62" s="4183" t="s">
        <v>311</v>
      </c>
      <c r="D62" s="2003" t="s">
        <v>312</v>
      </c>
      <c r="E62" s="1971">
        <v>106104093</v>
      </c>
      <c r="F62" s="151" t="s">
        <v>1057</v>
      </c>
      <c r="G62" s="1992">
        <v>1</v>
      </c>
      <c r="M62" s="1086"/>
      <c r="N62" s="1082"/>
      <c r="O62" s="48"/>
      <c r="P62" s="1083"/>
    </row>
    <row r="63" spans="1:16" ht="15.75" customHeight="1" thickBot="1" x14ac:dyDescent="0.3">
      <c r="B63" s="4173"/>
      <c r="C63" s="4206"/>
      <c r="D63" s="2003" t="s">
        <v>285</v>
      </c>
      <c r="E63" s="1971">
        <v>106104219</v>
      </c>
      <c r="F63" s="151" t="s">
        <v>96</v>
      </c>
      <c r="G63" s="1992">
        <v>1</v>
      </c>
      <c r="M63" s="1086"/>
      <c r="N63" s="1082"/>
      <c r="O63" s="48"/>
      <c r="P63" s="1083"/>
    </row>
    <row r="64" spans="1:16" ht="15.75" customHeight="1" x14ac:dyDescent="0.25">
      <c r="B64" s="4173"/>
      <c r="C64" s="4183" t="s">
        <v>313</v>
      </c>
      <c r="D64" s="2004" t="s">
        <v>314</v>
      </c>
      <c r="E64" s="1972">
        <v>106104093</v>
      </c>
      <c r="F64" s="153" t="s">
        <v>1057</v>
      </c>
      <c r="G64" s="1993">
        <v>1</v>
      </c>
      <c r="M64" s="1086"/>
      <c r="N64" s="1082"/>
      <c r="O64" s="48"/>
      <c r="P64" s="1083"/>
    </row>
    <row r="65" spans="1:16" ht="15.75" customHeight="1" thickBot="1" x14ac:dyDescent="0.3">
      <c r="B65" s="4174"/>
      <c r="C65" s="4206"/>
      <c r="D65" s="2004" t="s">
        <v>286</v>
      </c>
      <c r="E65" s="1972">
        <v>106104221</v>
      </c>
      <c r="F65" s="153" t="s">
        <v>151</v>
      </c>
      <c r="G65" s="1993">
        <v>1</v>
      </c>
      <c r="M65" s="1086"/>
      <c r="N65" s="1082"/>
      <c r="O65" s="48"/>
      <c r="P65" s="1083"/>
    </row>
    <row r="66" spans="1:16" ht="23.25" customHeight="1" x14ac:dyDescent="0.25">
      <c r="B66" s="1096" t="s">
        <v>588</v>
      </c>
      <c r="C66" s="4183" t="s">
        <v>315</v>
      </c>
      <c r="D66" s="2005" t="s">
        <v>21</v>
      </c>
      <c r="E66" s="1973">
        <v>106104110</v>
      </c>
      <c r="F66" s="154" t="s">
        <v>316</v>
      </c>
      <c r="G66" s="1994">
        <v>1</v>
      </c>
      <c r="M66" s="1086"/>
      <c r="N66" s="1082"/>
      <c r="O66" s="48"/>
      <c r="P66" s="1083"/>
    </row>
    <row r="67" spans="1:16" ht="15.75" customHeight="1" x14ac:dyDescent="0.25">
      <c r="B67" s="573"/>
      <c r="C67" s="4185"/>
      <c r="D67" s="2005" t="s">
        <v>281</v>
      </c>
      <c r="E67" s="1973">
        <v>106104081</v>
      </c>
      <c r="F67" s="154" t="s">
        <v>317</v>
      </c>
      <c r="G67" s="1994">
        <v>1</v>
      </c>
      <c r="M67" s="1086"/>
      <c r="N67" s="1082"/>
      <c r="O67" s="48"/>
      <c r="P67" s="1083"/>
    </row>
    <row r="68" spans="1:16" ht="15.75" customHeight="1" x14ac:dyDescent="0.25">
      <c r="B68" s="573"/>
      <c r="C68" s="4185"/>
      <c r="D68" s="2005" t="s">
        <v>283</v>
      </c>
      <c r="E68" s="1973">
        <v>106104094</v>
      </c>
      <c r="F68" s="154" t="s">
        <v>318</v>
      </c>
      <c r="G68" s="1994">
        <v>1</v>
      </c>
      <c r="M68" s="1086"/>
      <c r="N68" s="1082"/>
      <c r="O68" s="48"/>
      <c r="P68" s="1083"/>
    </row>
    <row r="69" spans="1:16" ht="15.75" customHeight="1" thickBot="1" x14ac:dyDescent="0.3">
      <c r="B69" s="573"/>
      <c r="C69" s="4206"/>
      <c r="D69" s="2005" t="s">
        <v>64</v>
      </c>
      <c r="E69" s="1973">
        <v>106104128</v>
      </c>
      <c r="F69" s="154" t="s">
        <v>154</v>
      </c>
      <c r="G69" s="1994">
        <v>1</v>
      </c>
      <c r="M69" s="1086"/>
      <c r="N69" s="1082"/>
      <c r="O69" s="48"/>
      <c r="P69" s="1083"/>
    </row>
    <row r="70" spans="1:16" ht="15.75" customHeight="1" x14ac:dyDescent="0.25">
      <c r="B70" s="574" t="s">
        <v>647</v>
      </c>
      <c r="C70" s="1595"/>
      <c r="D70" s="184" t="s">
        <v>271</v>
      </c>
      <c r="E70" s="1974">
        <v>106120457</v>
      </c>
      <c r="F70" s="155" t="s">
        <v>272</v>
      </c>
      <c r="G70" s="1995">
        <v>2</v>
      </c>
      <c r="M70" s="1086"/>
      <c r="N70" s="1082"/>
      <c r="O70" s="48"/>
      <c r="P70" s="1083"/>
    </row>
    <row r="71" spans="1:16" ht="15.75" customHeight="1" x14ac:dyDescent="0.25">
      <c r="B71" s="503" t="s">
        <v>647</v>
      </c>
      <c r="C71" s="1596"/>
      <c r="D71" s="184" t="s">
        <v>287</v>
      </c>
      <c r="E71" s="1974">
        <v>106105422</v>
      </c>
      <c r="F71" s="155" t="s">
        <v>288</v>
      </c>
      <c r="G71" s="1995">
        <v>3</v>
      </c>
      <c r="M71" s="1086"/>
      <c r="N71" s="1082"/>
      <c r="O71" s="48"/>
      <c r="P71" s="1083"/>
    </row>
    <row r="72" spans="1:16" ht="15.75" customHeight="1" x14ac:dyDescent="0.25">
      <c r="B72" s="503" t="s">
        <v>647</v>
      </c>
      <c r="C72" s="1596"/>
      <c r="D72" s="184"/>
      <c r="E72" s="1975">
        <v>106111647</v>
      </c>
      <c r="F72" s="155" t="s">
        <v>319</v>
      </c>
      <c r="G72" s="1995">
        <v>1</v>
      </c>
      <c r="M72" s="358"/>
      <c r="N72" s="1082"/>
      <c r="O72" s="48"/>
      <c r="P72" s="1083"/>
    </row>
    <row r="73" spans="1:16" ht="15.75" customHeight="1" x14ac:dyDescent="0.25">
      <c r="B73" s="503" t="s">
        <v>647</v>
      </c>
      <c r="C73" s="1596"/>
      <c r="D73" s="184" t="s">
        <v>29</v>
      </c>
      <c r="E73" s="1974">
        <v>106111793</v>
      </c>
      <c r="F73" s="155" t="s">
        <v>320</v>
      </c>
      <c r="G73" s="1995">
        <v>1</v>
      </c>
      <c r="M73" s="1086"/>
      <c r="N73" s="1082"/>
      <c r="O73" s="48"/>
      <c r="P73" s="1083"/>
    </row>
    <row r="74" spans="1:16" ht="26.25" customHeight="1" x14ac:dyDescent="0.25">
      <c r="B74" s="503" t="s">
        <v>647</v>
      </c>
      <c r="C74" s="1596"/>
      <c r="D74" s="2564" t="s">
        <v>3852</v>
      </c>
      <c r="E74" s="1974">
        <v>106112529</v>
      </c>
      <c r="F74" s="155" t="s">
        <v>321</v>
      </c>
      <c r="G74" s="1995">
        <v>1</v>
      </c>
      <c r="M74" s="1086"/>
      <c r="N74" s="1082"/>
      <c r="O74" s="48"/>
      <c r="P74" s="1083"/>
    </row>
    <row r="75" spans="1:16" ht="15.75" customHeight="1" x14ac:dyDescent="0.25">
      <c r="B75" s="503" t="s">
        <v>590</v>
      </c>
      <c r="C75" s="1596"/>
      <c r="D75" s="184" t="s">
        <v>40</v>
      </c>
      <c r="E75" s="1974">
        <v>106200771</v>
      </c>
      <c r="F75" s="155" t="s">
        <v>322</v>
      </c>
      <c r="G75" s="1995">
        <v>1</v>
      </c>
      <c r="M75" s="1086"/>
      <c r="N75" s="1082"/>
      <c r="O75" s="48"/>
      <c r="P75" s="1083"/>
    </row>
    <row r="76" spans="1:16" ht="15.75" customHeight="1" x14ac:dyDescent="0.25">
      <c r="B76" s="503" t="s">
        <v>647</v>
      </c>
      <c r="C76" s="1596"/>
      <c r="D76" s="184"/>
      <c r="E76" s="1974">
        <v>106112712</v>
      </c>
      <c r="F76" s="144" t="s">
        <v>683</v>
      </c>
      <c r="G76" s="1995">
        <v>3</v>
      </c>
      <c r="M76" s="1086"/>
      <c r="N76" s="48"/>
      <c r="O76" s="48"/>
      <c r="P76" s="1083"/>
    </row>
    <row r="77" spans="1:16" ht="15.75" customHeight="1" x14ac:dyDescent="0.25">
      <c r="A77" s="373" t="s">
        <v>499</v>
      </c>
      <c r="B77" s="505" t="s">
        <v>591</v>
      </c>
      <c r="C77" s="1596"/>
      <c r="D77" s="515" t="s">
        <v>645</v>
      </c>
      <c r="E77" s="603">
        <v>106114701</v>
      </c>
      <c r="F77" s="155" t="s">
        <v>273</v>
      </c>
      <c r="G77" s="1995">
        <v>1</v>
      </c>
      <c r="M77" s="1085"/>
      <c r="N77" s="1082"/>
      <c r="O77" s="48"/>
      <c r="P77" s="1083"/>
    </row>
    <row r="78" spans="1:16" ht="15.75" customHeight="1" x14ac:dyDescent="0.25">
      <c r="A78" s="373" t="s">
        <v>501</v>
      </c>
      <c r="B78" s="505" t="s">
        <v>591</v>
      </c>
      <c r="C78" s="1596"/>
      <c r="D78" s="184" t="s">
        <v>289</v>
      </c>
      <c r="E78" s="1974">
        <v>106111795</v>
      </c>
      <c r="F78" s="155" t="s">
        <v>550</v>
      </c>
      <c r="G78" s="1995">
        <v>1</v>
      </c>
      <c r="M78" s="1086"/>
      <c r="N78" s="1082"/>
      <c r="O78" s="48"/>
      <c r="P78" s="1083"/>
    </row>
    <row r="79" spans="1:16" ht="15.75" customHeight="1" x14ac:dyDescent="0.25">
      <c r="A79" s="373" t="s">
        <v>502</v>
      </c>
      <c r="B79" s="503"/>
      <c r="C79" s="1596"/>
      <c r="D79" s="184" t="s">
        <v>138</v>
      </c>
      <c r="E79" s="1974">
        <v>106104101</v>
      </c>
      <c r="F79" s="155" t="s">
        <v>162</v>
      </c>
      <c r="G79" s="1995">
        <v>1</v>
      </c>
      <c r="M79" s="1086"/>
      <c r="N79" s="1082"/>
      <c r="O79" s="48"/>
      <c r="P79" s="1083"/>
    </row>
    <row r="80" spans="1:16" ht="15.75" customHeight="1" x14ac:dyDescent="0.25">
      <c r="A80" s="373" t="s">
        <v>500</v>
      </c>
      <c r="B80" s="503" t="s">
        <v>647</v>
      </c>
      <c r="C80" s="1596"/>
      <c r="D80" s="184" t="s">
        <v>298</v>
      </c>
      <c r="E80" s="1974">
        <v>106105038</v>
      </c>
      <c r="F80" s="155" t="s">
        <v>299</v>
      </c>
      <c r="G80" s="1995">
        <v>3</v>
      </c>
      <c r="M80" s="1086"/>
      <c r="N80" s="1082"/>
      <c r="O80" s="48"/>
      <c r="P80" s="1083"/>
    </row>
    <row r="81" spans="1:19" ht="15.75" customHeight="1" x14ac:dyDescent="0.25">
      <c r="B81" s="503" t="s">
        <v>647</v>
      </c>
      <c r="C81" s="1596"/>
      <c r="D81" s="184" t="s">
        <v>323</v>
      </c>
      <c r="E81" s="1974">
        <v>106112525</v>
      </c>
      <c r="F81" s="155" t="s">
        <v>300</v>
      </c>
      <c r="G81" s="1995">
        <v>3</v>
      </c>
      <c r="M81" s="1086"/>
      <c r="N81" s="1082"/>
      <c r="O81" s="48"/>
      <c r="P81" s="1083"/>
    </row>
    <row r="82" spans="1:19" s="24" customFormat="1" ht="15" customHeight="1" x14ac:dyDescent="0.25">
      <c r="C82" s="1596"/>
      <c r="D82" s="2006" t="s">
        <v>1143</v>
      </c>
      <c r="E82" s="1975">
        <v>106204234</v>
      </c>
      <c r="F82" s="155" t="s">
        <v>1144</v>
      </c>
      <c r="G82" s="1995">
        <v>3</v>
      </c>
    </row>
    <row r="83" spans="1:19" ht="15.75" customHeight="1" x14ac:dyDescent="0.25">
      <c r="B83" s="503"/>
      <c r="C83" s="1596"/>
      <c r="D83" s="418"/>
      <c r="E83" s="1976">
        <v>106107580</v>
      </c>
      <c r="F83" s="349" t="s">
        <v>1277</v>
      </c>
      <c r="G83" s="1996">
        <v>3</v>
      </c>
      <c r="M83" s="939"/>
      <c r="N83" s="60"/>
      <c r="O83" s="48"/>
      <c r="P83" s="1083"/>
    </row>
    <row r="84" spans="1:19" ht="15.75" customHeight="1" thickBot="1" x14ac:dyDescent="0.3">
      <c r="B84" s="504"/>
      <c r="C84" s="1801"/>
      <c r="D84" s="2007" t="s">
        <v>196</v>
      </c>
      <c r="E84" s="1379">
        <v>106201346</v>
      </c>
      <c r="F84" s="1380" t="s">
        <v>324</v>
      </c>
      <c r="G84" s="1600">
        <v>1</v>
      </c>
      <c r="M84" s="1086"/>
      <c r="N84" s="1082"/>
      <c r="O84" s="48"/>
      <c r="P84" s="1083"/>
    </row>
    <row r="85" spans="1:19" s="225" customFormat="1" ht="15" customHeight="1" thickBot="1" x14ac:dyDescent="0.3">
      <c r="A85" s="1342"/>
      <c r="B85" s="504"/>
      <c r="C85" s="1794"/>
      <c r="D85" s="964" t="str">
        <f>IF($F$50=$H$90,D90,IF($F$50=$H$91,D91))</f>
        <v>AAS7101</v>
      </c>
      <c r="E85" s="1985">
        <f>IF($F$50=$H$90,E90,IF($F$50=$H$91,E91))</f>
        <v>106200855</v>
      </c>
      <c r="F85" s="964" t="str">
        <f>IF($F$50=$H$90,F90,IF($F$50=$H$91,F91))</f>
        <v>VARIADOR INGECON SUN TRIFASICO CON CONEXIÓN A RED 100 kW</v>
      </c>
      <c r="G85" s="1601">
        <v>1</v>
      </c>
      <c r="I85" s="11"/>
      <c r="J85" s="11"/>
      <c r="K85" s="1383"/>
      <c r="L85" s="1383"/>
      <c r="M85" s="1374"/>
      <c r="N85" s="1375"/>
      <c r="O85" s="249"/>
      <c r="P85" s="1083"/>
    </row>
    <row r="86" spans="1:19" x14ac:dyDescent="0.25">
      <c r="R86" s="250"/>
      <c r="S86" s="248"/>
    </row>
    <row r="87" spans="1:19" ht="15.75" thickBot="1" x14ac:dyDescent="0.3">
      <c r="E87" s="40" t="s">
        <v>148</v>
      </c>
    </row>
    <row r="88" spans="1:19" ht="15.75" thickBot="1" x14ac:dyDescent="0.3">
      <c r="B88" s="506"/>
      <c r="C88" s="4135" t="s">
        <v>11</v>
      </c>
      <c r="D88" s="4136"/>
      <c r="E88" s="4136"/>
      <c r="F88" s="4136"/>
      <c r="G88" s="4137"/>
    </row>
    <row r="89" spans="1:19" ht="27.75" customHeight="1" thickBot="1" x14ac:dyDescent="0.3">
      <c r="B89" s="500"/>
      <c r="C89" s="6"/>
      <c r="D89" s="6"/>
      <c r="E89" s="407" t="s">
        <v>13</v>
      </c>
      <c r="F89" s="6" t="s">
        <v>1</v>
      </c>
      <c r="G89" s="140" t="s">
        <v>349</v>
      </c>
      <c r="H89" s="7" t="s">
        <v>8</v>
      </c>
    </row>
    <row r="90" spans="1:19" x14ac:dyDescent="0.25">
      <c r="B90" s="456"/>
      <c r="C90" s="252"/>
      <c r="D90" s="253" t="s">
        <v>437</v>
      </c>
      <c r="E90" s="406">
        <v>106203421</v>
      </c>
      <c r="F90" s="254" t="s">
        <v>325</v>
      </c>
      <c r="G90" s="255">
        <v>1</v>
      </c>
      <c r="H90" s="1986" t="s">
        <v>2190</v>
      </c>
    </row>
    <row r="91" spans="1:19" ht="15" customHeight="1" thickBot="1" x14ac:dyDescent="0.3">
      <c r="B91" s="457"/>
      <c r="C91" s="1981"/>
      <c r="D91" s="1982" t="s">
        <v>438</v>
      </c>
      <c r="E91" s="1985">
        <v>106200855</v>
      </c>
      <c r="F91" s="1983" t="s">
        <v>436</v>
      </c>
      <c r="G91" s="1984">
        <v>1</v>
      </c>
      <c r="H91" s="1986" t="s">
        <v>930</v>
      </c>
    </row>
    <row r="92" spans="1:19" ht="15.75" thickBot="1" x14ac:dyDescent="0.3"/>
    <row r="93" spans="1:19" ht="18.75" customHeight="1" thickBot="1" x14ac:dyDescent="0.3">
      <c r="C93" s="24"/>
      <c r="D93" s="1802"/>
      <c r="E93" s="4157" t="s">
        <v>754</v>
      </c>
      <c r="F93" s="4158"/>
      <c r="G93" s="4159"/>
      <c r="H93" s="24"/>
      <c r="I93" s="24"/>
    </row>
    <row r="94" spans="1:19" ht="15.75" thickBot="1" x14ac:dyDescent="0.3">
      <c r="C94" s="4181" t="s">
        <v>79</v>
      </c>
      <c r="D94" s="4182"/>
      <c r="E94" s="697" t="s">
        <v>9</v>
      </c>
      <c r="F94" s="697" t="s">
        <v>1</v>
      </c>
      <c r="G94" s="389" t="s">
        <v>960</v>
      </c>
    </row>
    <row r="95" spans="1:19" ht="15" customHeight="1" x14ac:dyDescent="0.25">
      <c r="C95" s="4177" t="s">
        <v>263</v>
      </c>
      <c r="D95" s="698" t="s">
        <v>274</v>
      </c>
      <c r="E95" s="1045">
        <v>106104164</v>
      </c>
      <c r="F95" s="1055" t="s">
        <v>275</v>
      </c>
      <c r="G95" s="1056">
        <v>1</v>
      </c>
    </row>
    <row r="96" spans="1:19" ht="15" customHeight="1" x14ac:dyDescent="0.25">
      <c r="C96" s="4179"/>
      <c r="D96" s="146" t="s">
        <v>276</v>
      </c>
      <c r="E96" s="1046">
        <v>106104211</v>
      </c>
      <c r="F96" s="1057" t="s">
        <v>277</v>
      </c>
      <c r="G96" s="1058">
        <v>1</v>
      </c>
    </row>
    <row r="97" spans="3:7" ht="15" customHeight="1" x14ac:dyDescent="0.25">
      <c r="C97" s="4179"/>
      <c r="D97" s="146" t="s">
        <v>279</v>
      </c>
      <c r="E97" s="1046" t="s">
        <v>351</v>
      </c>
      <c r="F97" s="1057" t="s">
        <v>280</v>
      </c>
      <c r="G97" s="1058">
        <v>1</v>
      </c>
    </row>
    <row r="98" spans="3:7" ht="15.75" customHeight="1" thickBot="1" x14ac:dyDescent="0.3">
      <c r="C98" s="4179"/>
      <c r="D98" s="147" t="s">
        <v>278</v>
      </c>
      <c r="E98" s="1047">
        <v>106104214</v>
      </c>
      <c r="F98" s="743" t="s">
        <v>304</v>
      </c>
      <c r="G98" s="1059">
        <v>1</v>
      </c>
    </row>
    <row r="99" spans="3:7" ht="15" customHeight="1" x14ac:dyDescent="0.25">
      <c r="C99" s="4177" t="s">
        <v>305</v>
      </c>
      <c r="D99" s="148" t="s">
        <v>301</v>
      </c>
      <c r="E99" s="1048">
        <v>106104092</v>
      </c>
      <c r="F99" s="745" t="s">
        <v>302</v>
      </c>
      <c r="G99" s="1060">
        <v>1</v>
      </c>
    </row>
    <row r="100" spans="3:7" ht="15" customHeight="1" x14ac:dyDescent="0.25">
      <c r="C100" s="4179"/>
      <c r="D100" s="148" t="s">
        <v>290</v>
      </c>
      <c r="E100" s="1048">
        <v>106111802</v>
      </c>
      <c r="F100" s="745" t="s">
        <v>306</v>
      </c>
      <c r="G100" s="1060">
        <v>1</v>
      </c>
    </row>
    <row r="101" spans="3:7" ht="15" customHeight="1" x14ac:dyDescent="0.25">
      <c r="C101" s="4179"/>
      <c r="D101" s="148" t="s">
        <v>307</v>
      </c>
      <c r="E101" s="1048">
        <v>106109799</v>
      </c>
      <c r="F101" s="745" t="s">
        <v>308</v>
      </c>
      <c r="G101" s="1060">
        <v>2</v>
      </c>
    </row>
    <row r="102" spans="3:7" ht="15.75" customHeight="1" thickBot="1" x14ac:dyDescent="0.3">
      <c r="C102" s="4178"/>
      <c r="D102" s="149" t="s">
        <v>292</v>
      </c>
      <c r="E102" s="1049">
        <v>106111805</v>
      </c>
      <c r="F102" s="1061" t="s">
        <v>309</v>
      </c>
      <c r="G102" s="1062">
        <v>1</v>
      </c>
    </row>
    <row r="103" spans="3:7" ht="15" customHeight="1" x14ac:dyDescent="0.25">
      <c r="C103" s="4177" t="s">
        <v>310</v>
      </c>
      <c r="D103" s="150" t="s">
        <v>67</v>
      </c>
      <c r="E103" s="1050">
        <v>106104093</v>
      </c>
      <c r="F103" s="1063" t="s">
        <v>1057</v>
      </c>
      <c r="G103" s="1064">
        <v>1</v>
      </c>
    </row>
    <row r="104" spans="3:7" ht="15.75" customHeight="1" thickBot="1" x14ac:dyDescent="0.3">
      <c r="C104" s="4178"/>
      <c r="D104" s="150" t="s">
        <v>65</v>
      </c>
      <c r="E104" s="1050">
        <v>106104223</v>
      </c>
      <c r="F104" s="1063" t="s">
        <v>92</v>
      </c>
      <c r="G104" s="1064">
        <v>1</v>
      </c>
    </row>
    <row r="105" spans="3:7" ht="15" customHeight="1" x14ac:dyDescent="0.25">
      <c r="C105" s="4177" t="s">
        <v>311</v>
      </c>
      <c r="D105" s="151" t="s">
        <v>312</v>
      </c>
      <c r="E105" s="1051">
        <v>106104093</v>
      </c>
      <c r="F105" s="324" t="s">
        <v>1057</v>
      </c>
      <c r="G105" s="1065">
        <v>1</v>
      </c>
    </row>
    <row r="106" spans="3:7" ht="15.75" customHeight="1" thickBot="1" x14ac:dyDescent="0.3">
      <c r="C106" s="4178"/>
      <c r="D106" s="151" t="s">
        <v>285</v>
      </c>
      <c r="E106" s="1051">
        <v>106104219</v>
      </c>
      <c r="F106" s="324" t="s">
        <v>96</v>
      </c>
      <c r="G106" s="1065">
        <v>1</v>
      </c>
    </row>
    <row r="107" spans="3:7" ht="15" customHeight="1" x14ac:dyDescent="0.25">
      <c r="C107" s="4177" t="s">
        <v>313</v>
      </c>
      <c r="D107" s="153" t="s">
        <v>314</v>
      </c>
      <c r="E107" s="1052">
        <v>106104093</v>
      </c>
      <c r="F107" s="713" t="s">
        <v>1057</v>
      </c>
      <c r="G107" s="1066">
        <v>1</v>
      </c>
    </row>
    <row r="108" spans="3:7" ht="15.75" customHeight="1" thickBot="1" x14ac:dyDescent="0.3">
      <c r="C108" s="4178"/>
      <c r="D108" s="153" t="s">
        <v>286</v>
      </c>
      <c r="E108" s="1052">
        <v>106104221</v>
      </c>
      <c r="F108" s="713" t="s">
        <v>151</v>
      </c>
      <c r="G108" s="1066">
        <v>1</v>
      </c>
    </row>
    <row r="109" spans="3:7" ht="15" customHeight="1" x14ac:dyDescent="0.25">
      <c r="C109" s="4177" t="s">
        <v>315</v>
      </c>
      <c r="D109" s="154" t="s">
        <v>21</v>
      </c>
      <c r="E109" s="1053">
        <v>106104110</v>
      </c>
      <c r="F109" s="747" t="s">
        <v>316</v>
      </c>
      <c r="G109" s="1067">
        <v>1</v>
      </c>
    </row>
    <row r="110" spans="3:7" ht="15" customHeight="1" x14ac:dyDescent="0.25">
      <c r="C110" s="4179"/>
      <c r="D110" s="154" t="s">
        <v>281</v>
      </c>
      <c r="E110" s="1053">
        <v>106104081</v>
      </c>
      <c r="F110" s="747" t="s">
        <v>317</v>
      </c>
      <c r="G110" s="1067">
        <v>1</v>
      </c>
    </row>
    <row r="111" spans="3:7" ht="15" customHeight="1" x14ac:dyDescent="0.25">
      <c r="C111" s="4179"/>
      <c r="D111" s="154" t="s">
        <v>283</v>
      </c>
      <c r="E111" s="1053">
        <v>106104094</v>
      </c>
      <c r="F111" s="747" t="s">
        <v>318</v>
      </c>
      <c r="G111" s="1067">
        <v>1</v>
      </c>
    </row>
    <row r="112" spans="3:7" ht="15.75" customHeight="1" thickBot="1" x14ac:dyDescent="0.3">
      <c r="C112" s="4178"/>
      <c r="D112" s="154" t="s">
        <v>64</v>
      </c>
      <c r="E112" s="1053">
        <v>106104128</v>
      </c>
      <c r="F112" s="747" t="s">
        <v>154</v>
      </c>
      <c r="G112" s="1067">
        <v>1</v>
      </c>
    </row>
    <row r="113" spans="1:7" ht="15" customHeight="1" x14ac:dyDescent="0.25">
      <c r="C113" s="4180"/>
      <c r="D113" s="155" t="s">
        <v>271</v>
      </c>
      <c r="E113" s="368">
        <v>106120457</v>
      </c>
      <c r="F113" s="349" t="s">
        <v>272</v>
      </c>
      <c r="G113" s="399">
        <v>2</v>
      </c>
    </row>
    <row r="114" spans="1:7" ht="15" customHeight="1" x14ac:dyDescent="0.25">
      <c r="C114" s="4179"/>
      <c r="D114" s="155" t="s">
        <v>287</v>
      </c>
      <c r="E114" s="368">
        <v>106105422</v>
      </c>
      <c r="F114" s="349" t="s">
        <v>288</v>
      </c>
      <c r="G114" s="399">
        <v>3</v>
      </c>
    </row>
    <row r="115" spans="1:7" ht="15" customHeight="1" x14ac:dyDescent="0.25">
      <c r="C115" s="4179"/>
      <c r="D115" s="155"/>
      <c r="E115" s="368">
        <v>106111647</v>
      </c>
      <c r="F115" s="349" t="s">
        <v>319</v>
      </c>
      <c r="G115" s="399">
        <v>1</v>
      </c>
    </row>
    <row r="116" spans="1:7" ht="15" customHeight="1" x14ac:dyDescent="0.25">
      <c r="C116" s="4179"/>
      <c r="D116" s="155" t="s">
        <v>29</v>
      </c>
      <c r="E116" s="368">
        <v>106111793</v>
      </c>
      <c r="F116" s="349" t="s">
        <v>320</v>
      </c>
      <c r="G116" s="399">
        <v>1</v>
      </c>
    </row>
    <row r="117" spans="1:7" ht="15" customHeight="1" x14ac:dyDescent="0.25">
      <c r="C117" s="4179"/>
      <c r="D117" s="2564" t="s">
        <v>41</v>
      </c>
      <c r="E117" s="368">
        <v>106112529</v>
      </c>
      <c r="F117" s="349" t="s">
        <v>321</v>
      </c>
      <c r="G117" s="399">
        <v>1</v>
      </c>
    </row>
    <row r="118" spans="1:7" ht="15" customHeight="1" x14ac:dyDescent="0.25">
      <c r="C118" s="4179"/>
      <c r="D118" s="155" t="s">
        <v>40</v>
      </c>
      <c r="E118" s="368">
        <v>106200771</v>
      </c>
      <c r="F118" s="349" t="s">
        <v>322</v>
      </c>
      <c r="G118" s="399">
        <v>1</v>
      </c>
    </row>
    <row r="119" spans="1:7" ht="15.75" customHeight="1" x14ac:dyDescent="0.25">
      <c r="A119" s="144"/>
      <c r="B119" s="1044"/>
      <c r="C119" s="4179"/>
      <c r="D119" s="375"/>
      <c r="E119" s="1054">
        <v>106112712</v>
      </c>
      <c r="F119" s="402" t="s">
        <v>683</v>
      </c>
      <c r="G119" s="399">
        <v>3</v>
      </c>
    </row>
    <row r="120" spans="1:7" ht="15" customHeight="1" x14ac:dyDescent="0.25">
      <c r="C120" s="4179"/>
      <c r="D120" s="155" t="s">
        <v>261</v>
      </c>
      <c r="E120" s="368">
        <v>106110278</v>
      </c>
      <c r="F120" s="349" t="s">
        <v>273</v>
      </c>
      <c r="G120" s="399">
        <v>1</v>
      </c>
    </row>
    <row r="121" spans="1:7" ht="15" customHeight="1" x14ac:dyDescent="0.25">
      <c r="A121" s="1803"/>
      <c r="C121" s="4179"/>
      <c r="D121" s="155" t="s">
        <v>289</v>
      </c>
      <c r="E121" s="368">
        <v>106111795</v>
      </c>
      <c r="F121" s="349" t="s">
        <v>756</v>
      </c>
      <c r="G121" s="399">
        <v>1</v>
      </c>
    </row>
    <row r="122" spans="1:7" ht="15" customHeight="1" x14ac:dyDescent="0.25">
      <c r="C122" s="4179"/>
      <c r="D122" s="155" t="s">
        <v>138</v>
      </c>
      <c r="E122" s="368">
        <v>106104101</v>
      </c>
      <c r="F122" s="349" t="s">
        <v>162</v>
      </c>
      <c r="G122" s="399">
        <v>1</v>
      </c>
    </row>
    <row r="123" spans="1:7" ht="15" customHeight="1" x14ac:dyDescent="0.25">
      <c r="C123" s="4179"/>
      <c r="D123" s="155" t="s">
        <v>298</v>
      </c>
      <c r="E123" s="368">
        <v>106105038</v>
      </c>
      <c r="F123" s="349" t="s">
        <v>299</v>
      </c>
      <c r="G123" s="399">
        <v>3</v>
      </c>
    </row>
    <row r="124" spans="1:7" ht="15" customHeight="1" x14ac:dyDescent="0.25">
      <c r="C124" s="4179"/>
      <c r="D124" s="155" t="s">
        <v>323</v>
      </c>
      <c r="E124" s="368">
        <v>106112525</v>
      </c>
      <c r="F124" s="349" t="s">
        <v>300</v>
      </c>
      <c r="G124" s="399">
        <v>3</v>
      </c>
    </row>
    <row r="125" spans="1:7" ht="30" customHeight="1" x14ac:dyDescent="0.25">
      <c r="C125" s="4179"/>
      <c r="D125" s="155" t="s">
        <v>196</v>
      </c>
      <c r="E125" s="368">
        <v>106201346</v>
      </c>
      <c r="F125" s="349" t="s">
        <v>324</v>
      </c>
      <c r="G125" s="399">
        <v>1</v>
      </c>
    </row>
    <row r="126" spans="1:7" ht="15.75" customHeight="1" thickBot="1" x14ac:dyDescent="0.3">
      <c r="A126" s="1342"/>
      <c r="C126" s="4178"/>
      <c r="D126" s="354" t="s">
        <v>438</v>
      </c>
      <c r="E126" s="369">
        <v>106200855</v>
      </c>
      <c r="F126" s="352" t="s">
        <v>757</v>
      </c>
      <c r="G126" s="400">
        <v>1</v>
      </c>
    </row>
    <row r="127" spans="1:7" ht="15.75" thickBot="1" x14ac:dyDescent="0.3"/>
    <row r="128" spans="1:7" ht="18.75" customHeight="1" thickBot="1" x14ac:dyDescent="0.3">
      <c r="C128" s="24"/>
      <c r="D128" s="1802"/>
      <c r="E128" s="4157" t="s">
        <v>1014</v>
      </c>
      <c r="F128" s="4158"/>
      <c r="G128" s="4159"/>
    </row>
    <row r="129" spans="3:7" ht="15.75" thickBot="1" x14ac:dyDescent="0.3">
      <c r="C129" s="4181" t="s">
        <v>79</v>
      </c>
      <c r="D129" s="4184"/>
      <c r="E129" s="697" t="s">
        <v>9</v>
      </c>
      <c r="F129" s="697" t="s">
        <v>1</v>
      </c>
      <c r="G129" s="389" t="s">
        <v>960</v>
      </c>
    </row>
    <row r="130" spans="3:7" ht="15" customHeight="1" x14ac:dyDescent="0.25">
      <c r="C130" s="4183" t="s">
        <v>263</v>
      </c>
      <c r="D130" s="321" t="s">
        <v>274</v>
      </c>
      <c r="E130" s="707">
        <v>106104164</v>
      </c>
      <c r="F130" s="965" t="s">
        <v>275</v>
      </c>
      <c r="G130" s="718">
        <v>1</v>
      </c>
    </row>
    <row r="131" spans="3:7" ht="15" customHeight="1" x14ac:dyDescent="0.25">
      <c r="C131" s="4151"/>
      <c r="D131" s="324" t="s">
        <v>276</v>
      </c>
      <c r="E131" s="702" t="s">
        <v>350</v>
      </c>
      <c r="F131" s="151" t="s">
        <v>277</v>
      </c>
      <c r="G131" s="719">
        <v>1</v>
      </c>
    </row>
    <row r="132" spans="3:7" ht="15" customHeight="1" x14ac:dyDescent="0.25">
      <c r="C132" s="4151"/>
      <c r="D132" s="324" t="s">
        <v>279</v>
      </c>
      <c r="E132" s="702">
        <v>106106242</v>
      </c>
      <c r="F132" s="151" t="s">
        <v>280</v>
      </c>
      <c r="G132" s="719">
        <v>1</v>
      </c>
    </row>
    <row r="133" spans="3:7" ht="15.75" customHeight="1" thickBot="1" x14ac:dyDescent="0.3">
      <c r="C133" s="4151"/>
      <c r="D133" s="326" t="s">
        <v>278</v>
      </c>
      <c r="E133" s="708" t="s">
        <v>352</v>
      </c>
      <c r="F133" s="967" t="s">
        <v>304</v>
      </c>
      <c r="G133" s="720">
        <v>1</v>
      </c>
    </row>
    <row r="134" spans="3:7" ht="15" customHeight="1" x14ac:dyDescent="0.25">
      <c r="C134" s="4183" t="s">
        <v>305</v>
      </c>
      <c r="D134" s="328" t="s">
        <v>301</v>
      </c>
      <c r="E134" s="709">
        <v>106104092</v>
      </c>
      <c r="F134" s="968" t="s">
        <v>302</v>
      </c>
      <c r="G134" s="721">
        <v>1</v>
      </c>
    </row>
    <row r="135" spans="3:7" ht="15" customHeight="1" x14ac:dyDescent="0.25">
      <c r="C135" s="4151"/>
      <c r="D135" s="328" t="s">
        <v>290</v>
      </c>
      <c r="E135" s="709">
        <v>106111802</v>
      </c>
      <c r="F135" s="968" t="s">
        <v>306</v>
      </c>
      <c r="G135" s="721">
        <v>1</v>
      </c>
    </row>
    <row r="136" spans="3:7" ht="15" customHeight="1" x14ac:dyDescent="0.25">
      <c r="C136" s="4151"/>
      <c r="D136" s="328" t="s">
        <v>307</v>
      </c>
      <c r="E136" s="709">
        <v>106109799</v>
      </c>
      <c r="F136" s="968" t="s">
        <v>308</v>
      </c>
      <c r="G136" s="721">
        <v>2</v>
      </c>
    </row>
    <row r="137" spans="3:7" ht="15.75" customHeight="1" thickBot="1" x14ac:dyDescent="0.3">
      <c r="C137" s="4152"/>
      <c r="D137" s="331" t="s">
        <v>292</v>
      </c>
      <c r="E137" s="710">
        <v>106111805</v>
      </c>
      <c r="F137" s="969" t="s">
        <v>309</v>
      </c>
      <c r="G137" s="722">
        <v>1</v>
      </c>
    </row>
    <row r="138" spans="3:7" ht="15" customHeight="1" x14ac:dyDescent="0.25">
      <c r="C138" s="4183" t="s">
        <v>310</v>
      </c>
      <c r="D138" s="334" t="s">
        <v>67</v>
      </c>
      <c r="E138" s="711">
        <v>106104093</v>
      </c>
      <c r="F138" s="972" t="s">
        <v>1057</v>
      </c>
      <c r="G138" s="724">
        <v>1</v>
      </c>
    </row>
    <row r="139" spans="3:7" ht="15.75" customHeight="1" thickBot="1" x14ac:dyDescent="0.3">
      <c r="C139" s="4152"/>
      <c r="D139" s="334" t="s">
        <v>65</v>
      </c>
      <c r="E139" s="1977">
        <v>106104223</v>
      </c>
      <c r="F139" s="1068" t="s">
        <v>92</v>
      </c>
      <c r="G139" s="724">
        <v>1</v>
      </c>
    </row>
    <row r="140" spans="3:7" ht="15" customHeight="1" x14ac:dyDescent="0.25">
      <c r="C140" s="4183" t="s">
        <v>311</v>
      </c>
      <c r="D140" s="337" t="s">
        <v>312</v>
      </c>
      <c r="E140" s="712">
        <v>106104093</v>
      </c>
      <c r="F140" s="974" t="s">
        <v>1057</v>
      </c>
      <c r="G140" s="725">
        <v>1</v>
      </c>
    </row>
    <row r="141" spans="3:7" ht="15.75" customHeight="1" thickBot="1" x14ac:dyDescent="0.3">
      <c r="C141" s="4152"/>
      <c r="D141" s="337" t="s">
        <v>285</v>
      </c>
      <c r="E141" s="712">
        <v>106104219</v>
      </c>
      <c r="F141" s="974" t="s">
        <v>96</v>
      </c>
      <c r="G141" s="725">
        <v>1</v>
      </c>
    </row>
    <row r="142" spans="3:7" ht="15" customHeight="1" x14ac:dyDescent="0.25">
      <c r="C142" s="4183" t="s">
        <v>313</v>
      </c>
      <c r="D142" s="713" t="s">
        <v>314</v>
      </c>
      <c r="E142" s="703">
        <v>106104093</v>
      </c>
      <c r="F142" s="153" t="s">
        <v>1057</v>
      </c>
      <c r="G142" s="1071">
        <v>1</v>
      </c>
    </row>
    <row r="143" spans="3:7" ht="15.75" customHeight="1" thickBot="1" x14ac:dyDescent="0.3">
      <c r="C143" s="4152"/>
      <c r="D143" s="713" t="s">
        <v>286</v>
      </c>
      <c r="E143" s="1978" t="s">
        <v>758</v>
      </c>
      <c r="F143" s="1069" t="s">
        <v>151</v>
      </c>
      <c r="G143" s="1071">
        <v>1</v>
      </c>
    </row>
    <row r="144" spans="3:7" ht="15" customHeight="1" x14ac:dyDescent="0.25">
      <c r="C144" s="4183" t="s">
        <v>315</v>
      </c>
      <c r="D144" s="715" t="s">
        <v>21</v>
      </c>
      <c r="E144" s="716">
        <v>106104110</v>
      </c>
      <c r="F144" s="1070" t="s">
        <v>316</v>
      </c>
      <c r="G144" s="1072">
        <v>1</v>
      </c>
    </row>
    <row r="145" spans="1:7" ht="15" customHeight="1" x14ac:dyDescent="0.25">
      <c r="C145" s="4151"/>
      <c r="D145" s="715" t="s">
        <v>281</v>
      </c>
      <c r="E145" s="716">
        <v>106104081</v>
      </c>
      <c r="F145" s="1070" t="s">
        <v>317</v>
      </c>
      <c r="G145" s="1072">
        <v>1</v>
      </c>
    </row>
    <row r="146" spans="1:7" ht="15" customHeight="1" x14ac:dyDescent="0.25">
      <c r="C146" s="4151"/>
      <c r="D146" s="715" t="s">
        <v>283</v>
      </c>
      <c r="E146" s="716">
        <v>106104094</v>
      </c>
      <c r="F146" s="1070" t="s">
        <v>318</v>
      </c>
      <c r="G146" s="1072">
        <v>1</v>
      </c>
    </row>
    <row r="147" spans="1:7" ht="15.75" customHeight="1" thickBot="1" x14ac:dyDescent="0.3">
      <c r="C147" s="4152"/>
      <c r="D147" s="715" t="s">
        <v>64</v>
      </c>
      <c r="E147" s="716">
        <v>106104128</v>
      </c>
      <c r="F147" s="1070" t="s">
        <v>154</v>
      </c>
      <c r="G147" s="1072">
        <v>1</v>
      </c>
    </row>
    <row r="148" spans="1:7" ht="15" customHeight="1" x14ac:dyDescent="0.25">
      <c r="C148" s="4150"/>
      <c r="D148" s="349" t="s">
        <v>271</v>
      </c>
      <c r="E148" s="705">
        <v>106120457</v>
      </c>
      <c r="F148" s="155" t="s">
        <v>272</v>
      </c>
      <c r="G148" s="575">
        <v>2</v>
      </c>
    </row>
    <row r="149" spans="1:7" ht="15" customHeight="1" x14ac:dyDescent="0.25">
      <c r="C149" s="4151"/>
      <c r="D149" s="349" t="s">
        <v>287</v>
      </c>
      <c r="E149" s="705">
        <v>106105422</v>
      </c>
      <c r="F149" s="155" t="s">
        <v>288</v>
      </c>
      <c r="G149" s="575">
        <v>3</v>
      </c>
    </row>
    <row r="150" spans="1:7" ht="15" customHeight="1" x14ac:dyDescent="0.25">
      <c r="C150" s="4151"/>
      <c r="D150" s="349"/>
      <c r="E150" s="1979" t="s">
        <v>755</v>
      </c>
      <c r="F150" s="155" t="s">
        <v>319</v>
      </c>
      <c r="G150" s="575">
        <v>1</v>
      </c>
    </row>
    <row r="151" spans="1:7" ht="15" customHeight="1" x14ac:dyDescent="0.25">
      <c r="C151" s="4151"/>
      <c r="D151" s="349" t="s">
        <v>29</v>
      </c>
      <c r="E151" s="1979">
        <v>106111793</v>
      </c>
      <c r="F151" s="155" t="s">
        <v>320</v>
      </c>
      <c r="G151" s="575">
        <v>1</v>
      </c>
    </row>
    <row r="152" spans="1:7" ht="15" customHeight="1" x14ac:dyDescent="0.25">
      <c r="C152" s="4151"/>
      <c r="D152" s="349" t="s">
        <v>40</v>
      </c>
      <c r="E152" s="705">
        <v>106200771</v>
      </c>
      <c r="F152" s="155" t="s">
        <v>322</v>
      </c>
      <c r="G152" s="575">
        <v>1</v>
      </c>
    </row>
    <row r="153" spans="1:7" ht="15.75" customHeight="1" x14ac:dyDescent="0.25">
      <c r="A153" s="144"/>
      <c r="B153" s="1044"/>
      <c r="C153" s="4151"/>
      <c r="D153" s="375"/>
      <c r="E153" s="1054">
        <v>106112712</v>
      </c>
      <c r="F153" s="402" t="s">
        <v>683</v>
      </c>
      <c r="G153" s="575">
        <v>3</v>
      </c>
    </row>
    <row r="154" spans="1:7" ht="15" customHeight="1" x14ac:dyDescent="0.25">
      <c r="C154" s="4151"/>
      <c r="D154" s="349" t="s">
        <v>469</v>
      </c>
      <c r="E154" s="1979">
        <v>106105880</v>
      </c>
      <c r="F154" s="155" t="s">
        <v>273</v>
      </c>
      <c r="G154" s="575">
        <v>1</v>
      </c>
    </row>
    <row r="155" spans="1:7" ht="15" customHeight="1" x14ac:dyDescent="0.25">
      <c r="C155" s="4151"/>
      <c r="D155" s="349" t="s">
        <v>289</v>
      </c>
      <c r="E155" s="1979">
        <v>106111795</v>
      </c>
      <c r="F155" s="155" t="s">
        <v>756</v>
      </c>
      <c r="G155" s="575">
        <v>1</v>
      </c>
    </row>
    <row r="156" spans="1:7" ht="15" customHeight="1" x14ac:dyDescent="0.25">
      <c r="C156" s="4151"/>
      <c r="D156" s="349" t="s">
        <v>138</v>
      </c>
      <c r="E156" s="1979">
        <v>106104101</v>
      </c>
      <c r="F156" s="155" t="s">
        <v>162</v>
      </c>
      <c r="G156" s="575">
        <v>1</v>
      </c>
    </row>
    <row r="157" spans="1:7" ht="15" customHeight="1" x14ac:dyDescent="0.25">
      <c r="C157" s="4151"/>
      <c r="D157" s="349" t="s">
        <v>298</v>
      </c>
      <c r="E157" s="705">
        <v>106105038</v>
      </c>
      <c r="F157" s="155" t="s">
        <v>299</v>
      </c>
      <c r="G157" s="575">
        <v>3</v>
      </c>
    </row>
    <row r="158" spans="1:7" ht="15" customHeight="1" x14ac:dyDescent="0.25">
      <c r="C158" s="4151"/>
      <c r="D158" s="349" t="s">
        <v>323</v>
      </c>
      <c r="E158" s="705">
        <v>106105852</v>
      </c>
      <c r="F158" s="155" t="s">
        <v>300</v>
      </c>
      <c r="G158" s="575">
        <v>3</v>
      </c>
    </row>
    <row r="159" spans="1:7" ht="15" customHeight="1" x14ac:dyDescent="0.25">
      <c r="C159" s="4151"/>
      <c r="D159" s="2564" t="s">
        <v>41</v>
      </c>
      <c r="E159" s="705">
        <v>106112529</v>
      </c>
      <c r="F159" s="155" t="s">
        <v>483</v>
      </c>
      <c r="G159" s="575">
        <v>1</v>
      </c>
    </row>
    <row r="160" spans="1:7" ht="15" customHeight="1" x14ac:dyDescent="0.25">
      <c r="C160" s="4151"/>
      <c r="D160" s="349" t="s">
        <v>2</v>
      </c>
      <c r="E160" s="705">
        <v>106200591</v>
      </c>
      <c r="F160" s="155" t="s">
        <v>472</v>
      </c>
      <c r="G160" s="575">
        <v>1</v>
      </c>
    </row>
    <row r="161" spans="3:7" ht="15.75" customHeight="1" thickBot="1" x14ac:dyDescent="0.3">
      <c r="C161" s="4152"/>
      <c r="D161" s="352" t="s">
        <v>438</v>
      </c>
      <c r="E161" s="706">
        <v>106200855</v>
      </c>
      <c r="F161" s="354" t="s">
        <v>757</v>
      </c>
      <c r="G161" s="730">
        <v>1</v>
      </c>
    </row>
    <row r="162" spans="3:7" ht="15.75" thickBot="1" x14ac:dyDescent="0.3"/>
    <row r="163" spans="3:7" ht="18.75" customHeight="1" thickBot="1" x14ac:dyDescent="0.3">
      <c r="C163" s="24"/>
      <c r="D163" s="1802"/>
      <c r="E163" s="4157" t="s">
        <v>1015</v>
      </c>
      <c r="F163" s="4158"/>
      <c r="G163" s="4159"/>
    </row>
    <row r="164" spans="3:7" ht="15.75" thickBot="1" x14ac:dyDescent="0.3">
      <c r="C164" s="4181" t="s">
        <v>79</v>
      </c>
      <c r="D164" s="4184"/>
      <c r="E164" s="697" t="s">
        <v>9</v>
      </c>
      <c r="F164" s="697" t="s">
        <v>1</v>
      </c>
      <c r="G164" s="389" t="s">
        <v>960</v>
      </c>
    </row>
    <row r="165" spans="3:7" ht="15" customHeight="1" x14ac:dyDescent="0.25">
      <c r="C165" s="4183" t="s">
        <v>263</v>
      </c>
      <c r="D165" s="321" t="s">
        <v>274</v>
      </c>
      <c r="E165" s="707">
        <v>106104164</v>
      </c>
      <c r="F165" s="965" t="s">
        <v>275</v>
      </c>
      <c r="G165" s="718">
        <v>1</v>
      </c>
    </row>
    <row r="166" spans="3:7" ht="15" customHeight="1" x14ac:dyDescent="0.25">
      <c r="C166" s="4151"/>
      <c r="D166" s="324" t="s">
        <v>276</v>
      </c>
      <c r="E166" s="702">
        <v>106104211</v>
      </c>
      <c r="F166" s="151" t="s">
        <v>277</v>
      </c>
      <c r="G166" s="719">
        <v>1</v>
      </c>
    </row>
    <row r="167" spans="3:7" ht="15" customHeight="1" x14ac:dyDescent="0.25">
      <c r="C167" s="4151"/>
      <c r="D167" s="324" t="s">
        <v>279</v>
      </c>
      <c r="E167" s="702">
        <v>106106242</v>
      </c>
      <c r="F167" s="151" t="s">
        <v>280</v>
      </c>
      <c r="G167" s="719">
        <v>1</v>
      </c>
    </row>
    <row r="168" spans="3:7" ht="15" customHeight="1" x14ac:dyDescent="0.25">
      <c r="C168" s="4151"/>
      <c r="D168" s="324" t="s">
        <v>473</v>
      </c>
      <c r="E168" s="702">
        <v>106104096</v>
      </c>
      <c r="F168" s="966" t="s">
        <v>474</v>
      </c>
      <c r="G168" s="719">
        <v>1</v>
      </c>
    </row>
    <row r="169" spans="3:7" ht="15.75" customHeight="1" thickBot="1" x14ac:dyDescent="0.3">
      <c r="C169" s="4151"/>
      <c r="D169" s="326" t="s">
        <v>278</v>
      </c>
      <c r="E169" s="708">
        <v>106104214</v>
      </c>
      <c r="F169" s="967" t="s">
        <v>304</v>
      </c>
      <c r="G169" s="720">
        <v>1</v>
      </c>
    </row>
    <row r="170" spans="3:7" ht="15" customHeight="1" x14ac:dyDescent="0.25">
      <c r="C170" s="4183" t="s">
        <v>305</v>
      </c>
      <c r="D170" s="328" t="s">
        <v>301</v>
      </c>
      <c r="E170" s="709">
        <v>106104092</v>
      </c>
      <c r="F170" s="968" t="s">
        <v>302</v>
      </c>
      <c r="G170" s="721">
        <v>1</v>
      </c>
    </row>
    <row r="171" spans="3:7" ht="15" customHeight="1" x14ac:dyDescent="0.25">
      <c r="C171" s="4151"/>
      <c r="D171" s="328" t="s">
        <v>290</v>
      </c>
      <c r="E171" s="709">
        <v>106111802</v>
      </c>
      <c r="F171" s="968" t="s">
        <v>306</v>
      </c>
      <c r="G171" s="721">
        <v>1</v>
      </c>
    </row>
    <row r="172" spans="3:7" ht="15" customHeight="1" x14ac:dyDescent="0.25">
      <c r="C172" s="4151"/>
      <c r="D172" s="328" t="s">
        <v>307</v>
      </c>
      <c r="E172" s="709">
        <v>106109799</v>
      </c>
      <c r="F172" s="968" t="s">
        <v>308</v>
      </c>
      <c r="G172" s="721">
        <v>2</v>
      </c>
    </row>
    <row r="173" spans="3:7" ht="15.75" customHeight="1" thickBot="1" x14ac:dyDescent="0.3">
      <c r="C173" s="4152"/>
      <c r="D173" s="331" t="s">
        <v>292</v>
      </c>
      <c r="E173" s="710">
        <v>106111805</v>
      </c>
      <c r="F173" s="969" t="s">
        <v>309</v>
      </c>
      <c r="G173" s="722">
        <v>1</v>
      </c>
    </row>
    <row r="174" spans="3:7" ht="15" customHeight="1" x14ac:dyDescent="0.25">
      <c r="C174" s="4183" t="s">
        <v>475</v>
      </c>
      <c r="D174" s="360" t="s">
        <v>476</v>
      </c>
      <c r="E174" s="701">
        <v>106104093</v>
      </c>
      <c r="F174" s="970" t="s">
        <v>1057</v>
      </c>
      <c r="G174" s="723">
        <v>1</v>
      </c>
    </row>
    <row r="175" spans="3:7" ht="15" customHeight="1" x14ac:dyDescent="0.25">
      <c r="C175" s="4185"/>
      <c r="D175" s="360" t="s">
        <v>477</v>
      </c>
      <c r="E175" s="701">
        <v>106104218</v>
      </c>
      <c r="F175" s="971" t="s">
        <v>478</v>
      </c>
      <c r="G175" s="723">
        <v>1</v>
      </c>
    </row>
    <row r="176" spans="3:7" ht="15.75" customHeight="1" thickBot="1" x14ac:dyDescent="0.3">
      <c r="C176" s="4152"/>
      <c r="D176" s="360" t="s">
        <v>328</v>
      </c>
      <c r="E176" s="701">
        <v>106104229</v>
      </c>
      <c r="F176" s="970" t="s">
        <v>468</v>
      </c>
      <c r="G176" s="723">
        <v>1</v>
      </c>
    </row>
    <row r="177" spans="3:7" ht="15" customHeight="1" x14ac:dyDescent="0.25">
      <c r="C177" s="4183" t="s">
        <v>310</v>
      </c>
      <c r="D177" s="334" t="s">
        <v>67</v>
      </c>
      <c r="E177" s="711">
        <v>106104093</v>
      </c>
      <c r="F177" s="972" t="s">
        <v>1057</v>
      </c>
      <c r="G177" s="724">
        <v>1</v>
      </c>
    </row>
    <row r="178" spans="3:7" ht="15" customHeight="1" x14ac:dyDescent="0.25">
      <c r="C178" s="4185"/>
      <c r="D178" s="334" t="s">
        <v>479</v>
      </c>
      <c r="E178" s="711">
        <v>106104218</v>
      </c>
      <c r="F178" s="973" t="s">
        <v>478</v>
      </c>
      <c r="G178" s="724">
        <v>1</v>
      </c>
    </row>
    <row r="179" spans="3:7" ht="15.75" customHeight="1" thickBot="1" x14ac:dyDescent="0.3">
      <c r="C179" s="4152"/>
      <c r="D179" s="334" t="s">
        <v>65</v>
      </c>
      <c r="E179" s="711">
        <v>106101558</v>
      </c>
      <c r="F179" s="972" t="s">
        <v>759</v>
      </c>
      <c r="G179" s="724">
        <v>1</v>
      </c>
    </row>
    <row r="180" spans="3:7" ht="15" customHeight="1" x14ac:dyDescent="0.25">
      <c r="C180" s="4183" t="s">
        <v>311</v>
      </c>
      <c r="D180" s="337" t="s">
        <v>312</v>
      </c>
      <c r="E180" s="712">
        <v>106104093</v>
      </c>
      <c r="F180" s="974" t="s">
        <v>1057</v>
      </c>
      <c r="G180" s="725">
        <v>1</v>
      </c>
    </row>
    <row r="181" spans="3:7" ht="15.75" customHeight="1" thickBot="1" x14ac:dyDescent="0.3">
      <c r="C181" s="4152"/>
      <c r="D181" s="337" t="s">
        <v>285</v>
      </c>
      <c r="E181" s="712">
        <v>106104219</v>
      </c>
      <c r="F181" s="974" t="s">
        <v>96</v>
      </c>
      <c r="G181" s="725">
        <v>1</v>
      </c>
    </row>
    <row r="182" spans="3:7" ht="15" customHeight="1" x14ac:dyDescent="0.25">
      <c r="C182" s="4183" t="s">
        <v>313</v>
      </c>
      <c r="D182" s="340" t="s">
        <v>314</v>
      </c>
      <c r="E182" s="726">
        <v>106104093</v>
      </c>
      <c r="F182" s="975" t="s">
        <v>1057</v>
      </c>
      <c r="G182" s="727">
        <v>1</v>
      </c>
    </row>
    <row r="183" spans="3:7" ht="15" customHeight="1" x14ac:dyDescent="0.25">
      <c r="C183" s="4185"/>
      <c r="D183" s="340" t="s">
        <v>481</v>
      </c>
      <c r="E183" s="726">
        <v>106104218</v>
      </c>
      <c r="F183" s="976" t="s">
        <v>478</v>
      </c>
      <c r="G183" s="727">
        <v>1</v>
      </c>
    </row>
    <row r="184" spans="3:7" ht="15.75" customHeight="1" thickBot="1" x14ac:dyDescent="0.3">
      <c r="C184" s="4152"/>
      <c r="D184" s="340" t="s">
        <v>286</v>
      </c>
      <c r="E184" s="726">
        <v>106104229</v>
      </c>
      <c r="F184" s="975" t="s">
        <v>468</v>
      </c>
      <c r="G184" s="727">
        <v>1</v>
      </c>
    </row>
    <row r="185" spans="3:7" ht="15" customHeight="1" x14ac:dyDescent="0.25">
      <c r="C185" s="4183" t="s">
        <v>315</v>
      </c>
      <c r="D185" s="343" t="s">
        <v>21</v>
      </c>
      <c r="E185" s="728">
        <v>106104110</v>
      </c>
      <c r="F185" s="977" t="s">
        <v>316</v>
      </c>
      <c r="G185" s="729">
        <v>1</v>
      </c>
    </row>
    <row r="186" spans="3:7" ht="15" customHeight="1" x14ac:dyDescent="0.25">
      <c r="C186" s="4151"/>
      <c r="D186" s="343" t="s">
        <v>281</v>
      </c>
      <c r="E186" s="728">
        <v>106104081</v>
      </c>
      <c r="F186" s="977" t="s">
        <v>317</v>
      </c>
      <c r="G186" s="729">
        <v>1</v>
      </c>
    </row>
    <row r="187" spans="3:7" ht="15" customHeight="1" x14ac:dyDescent="0.25">
      <c r="C187" s="4151"/>
      <c r="D187" s="343" t="s">
        <v>283</v>
      </c>
      <c r="E187" s="728">
        <v>106104094</v>
      </c>
      <c r="F187" s="977" t="s">
        <v>318</v>
      </c>
      <c r="G187" s="729">
        <v>1</v>
      </c>
    </row>
    <row r="188" spans="3:7" ht="15.75" customHeight="1" thickBot="1" x14ac:dyDescent="0.3">
      <c r="C188" s="4152"/>
      <c r="D188" s="343" t="s">
        <v>64</v>
      </c>
      <c r="E188" s="728">
        <v>106104128</v>
      </c>
      <c r="F188" s="977" t="s">
        <v>154</v>
      </c>
      <c r="G188" s="729">
        <v>1</v>
      </c>
    </row>
    <row r="189" spans="3:7" ht="15" customHeight="1" x14ac:dyDescent="0.25">
      <c r="C189" s="4150"/>
      <c r="D189" s="349" t="s">
        <v>271</v>
      </c>
      <c r="E189" s="705">
        <v>106120457</v>
      </c>
      <c r="F189" s="155" t="s">
        <v>272</v>
      </c>
      <c r="G189" s="575">
        <v>2</v>
      </c>
    </row>
    <row r="190" spans="3:7" ht="15" customHeight="1" x14ac:dyDescent="0.25">
      <c r="C190" s="4151"/>
      <c r="D190" s="349" t="s">
        <v>287</v>
      </c>
      <c r="E190" s="705">
        <v>106105422</v>
      </c>
      <c r="F190" s="155" t="s">
        <v>288</v>
      </c>
      <c r="G190" s="575">
        <v>3</v>
      </c>
    </row>
    <row r="191" spans="3:7" ht="15" customHeight="1" x14ac:dyDescent="0.25">
      <c r="C191" s="4151"/>
      <c r="D191" s="349"/>
      <c r="E191" s="705">
        <v>106112100</v>
      </c>
      <c r="F191" s="155" t="s">
        <v>319</v>
      </c>
      <c r="G191" s="575">
        <v>1</v>
      </c>
    </row>
    <row r="192" spans="3:7" ht="15" customHeight="1" x14ac:dyDescent="0.25">
      <c r="C192" s="4151"/>
      <c r="D192" s="349" t="s">
        <v>29</v>
      </c>
      <c r="E192" s="705">
        <v>106104129</v>
      </c>
      <c r="F192" s="155" t="s">
        <v>320</v>
      </c>
      <c r="G192" s="575">
        <v>1</v>
      </c>
    </row>
    <row r="193" spans="1:7" ht="15" customHeight="1" x14ac:dyDescent="0.25">
      <c r="C193" s="4151"/>
      <c r="D193" s="349" t="s">
        <v>40</v>
      </c>
      <c r="E193" s="705">
        <v>106200771</v>
      </c>
      <c r="F193" s="155" t="s">
        <v>322</v>
      </c>
      <c r="G193" s="575">
        <v>1</v>
      </c>
    </row>
    <row r="194" spans="1:7" ht="15.75" customHeight="1" x14ac:dyDescent="0.25">
      <c r="A194" s="144"/>
      <c r="B194" s="1044"/>
      <c r="C194" s="4151"/>
      <c r="D194" s="375"/>
      <c r="E194" s="1054">
        <v>106112712</v>
      </c>
      <c r="F194" s="402" t="s">
        <v>683</v>
      </c>
      <c r="G194" s="575">
        <v>3</v>
      </c>
    </row>
    <row r="195" spans="1:7" ht="15" customHeight="1" x14ac:dyDescent="0.25">
      <c r="C195" s="4151"/>
      <c r="D195" s="349" t="s">
        <v>469</v>
      </c>
      <c r="E195" s="705">
        <v>106104232</v>
      </c>
      <c r="F195" s="155" t="s">
        <v>273</v>
      </c>
      <c r="G195" s="575">
        <v>1</v>
      </c>
    </row>
    <row r="196" spans="1:7" ht="15" customHeight="1" x14ac:dyDescent="0.25">
      <c r="C196" s="4151"/>
      <c r="D196" s="349" t="s">
        <v>289</v>
      </c>
      <c r="E196" s="705">
        <v>106111795</v>
      </c>
      <c r="F196" s="155" t="s">
        <v>756</v>
      </c>
      <c r="G196" s="575">
        <v>1</v>
      </c>
    </row>
    <row r="197" spans="1:7" ht="15" customHeight="1" x14ac:dyDescent="0.25">
      <c r="C197" s="4151"/>
      <c r="D197" s="349" t="s">
        <v>138</v>
      </c>
      <c r="E197" s="705">
        <v>106104091</v>
      </c>
      <c r="F197" s="155" t="s">
        <v>162</v>
      </c>
      <c r="G197" s="575">
        <v>1</v>
      </c>
    </row>
    <row r="198" spans="1:7" ht="15" customHeight="1" x14ac:dyDescent="0.25">
      <c r="C198" s="4151"/>
      <c r="D198" s="349" t="s">
        <v>298</v>
      </c>
      <c r="E198" s="705">
        <v>106105038</v>
      </c>
      <c r="F198" s="155" t="s">
        <v>299</v>
      </c>
      <c r="G198" s="575">
        <v>3</v>
      </c>
    </row>
    <row r="199" spans="1:7" ht="15" customHeight="1" x14ac:dyDescent="0.25">
      <c r="C199" s="4151"/>
      <c r="D199" s="349" t="s">
        <v>323</v>
      </c>
      <c r="E199" s="705">
        <v>106105852</v>
      </c>
      <c r="F199" s="155" t="s">
        <v>300</v>
      </c>
      <c r="G199" s="575">
        <v>3</v>
      </c>
    </row>
    <row r="200" spans="1:7" ht="15" customHeight="1" x14ac:dyDescent="0.25">
      <c r="C200" s="4151"/>
      <c r="D200" s="2564" t="s">
        <v>41</v>
      </c>
      <c r="E200" s="705">
        <v>106112529</v>
      </c>
      <c r="F200" s="155" t="s">
        <v>483</v>
      </c>
      <c r="G200" s="575">
        <v>1</v>
      </c>
    </row>
    <row r="201" spans="1:7" ht="15" customHeight="1" x14ac:dyDescent="0.25">
      <c r="C201" s="4151"/>
      <c r="D201" s="349" t="s">
        <v>484</v>
      </c>
      <c r="E201" s="705">
        <v>106200745</v>
      </c>
      <c r="F201" s="155" t="s">
        <v>760</v>
      </c>
      <c r="G201" s="575">
        <v>1</v>
      </c>
    </row>
    <row r="202" spans="1:7" ht="15" customHeight="1" x14ac:dyDescent="0.25">
      <c r="C202" s="4151"/>
      <c r="D202" s="349" t="s">
        <v>2</v>
      </c>
      <c r="E202" s="705">
        <v>106200591</v>
      </c>
      <c r="F202" s="155" t="s">
        <v>472</v>
      </c>
      <c r="G202" s="575">
        <v>1</v>
      </c>
    </row>
    <row r="203" spans="1:7" ht="15.75" customHeight="1" thickBot="1" x14ac:dyDescent="0.3">
      <c r="C203" s="4152"/>
      <c r="D203" s="352" t="s">
        <v>438</v>
      </c>
      <c r="E203" s="706">
        <v>106200855</v>
      </c>
      <c r="F203" s="354" t="s">
        <v>757</v>
      </c>
      <c r="G203" s="730">
        <v>1</v>
      </c>
    </row>
    <row r="204" spans="1:7" ht="15.75" thickBot="1" x14ac:dyDescent="0.3"/>
    <row r="205" spans="1:7" ht="18.75" customHeight="1" thickBot="1" x14ac:dyDescent="0.3">
      <c r="C205" s="24"/>
      <c r="D205" s="1802"/>
      <c r="E205" s="4157" t="s">
        <v>1016</v>
      </c>
      <c r="F205" s="4158"/>
      <c r="G205" s="4159"/>
    </row>
    <row r="206" spans="1:7" ht="15.75" thickBot="1" x14ac:dyDescent="0.3">
      <c r="C206" s="4181" t="s">
        <v>79</v>
      </c>
      <c r="D206" s="4184"/>
      <c r="E206" s="697" t="s">
        <v>9</v>
      </c>
      <c r="F206" s="697" t="s">
        <v>1</v>
      </c>
      <c r="G206" s="389" t="s">
        <v>960</v>
      </c>
    </row>
    <row r="207" spans="1:7" ht="15" customHeight="1" x14ac:dyDescent="0.25">
      <c r="C207" s="4183" t="s">
        <v>263</v>
      </c>
      <c r="D207" s="321" t="s">
        <v>274</v>
      </c>
      <c r="E207" s="707">
        <v>106104164</v>
      </c>
      <c r="F207" s="323" t="s">
        <v>275</v>
      </c>
      <c r="G207" s="322">
        <v>1</v>
      </c>
    </row>
    <row r="208" spans="1:7" ht="15" customHeight="1" x14ac:dyDescent="0.25">
      <c r="C208" s="4151"/>
      <c r="D208" s="324" t="s">
        <v>276</v>
      </c>
      <c r="E208" s="702" t="s">
        <v>350</v>
      </c>
      <c r="F208" s="325" t="s">
        <v>277</v>
      </c>
      <c r="G208" s="152">
        <v>1</v>
      </c>
    </row>
    <row r="209" spans="3:7" ht="15" customHeight="1" x14ac:dyDescent="0.25">
      <c r="C209" s="4151"/>
      <c r="D209" s="324" t="s">
        <v>279</v>
      </c>
      <c r="E209" s="702" t="s">
        <v>351</v>
      </c>
      <c r="F209" s="325" t="s">
        <v>280</v>
      </c>
      <c r="G209" s="152">
        <v>1</v>
      </c>
    </row>
    <row r="210" spans="3:7" ht="15" customHeight="1" x14ac:dyDescent="0.25">
      <c r="C210" s="4151"/>
      <c r="D210" s="324" t="s">
        <v>473</v>
      </c>
      <c r="E210" s="702">
        <v>106104096</v>
      </c>
      <c r="F210" s="359" t="s">
        <v>474</v>
      </c>
      <c r="G210" s="152">
        <v>1</v>
      </c>
    </row>
    <row r="211" spans="3:7" ht="15.75" customHeight="1" thickBot="1" x14ac:dyDescent="0.3">
      <c r="C211" s="4151"/>
      <c r="D211" s="326" t="s">
        <v>278</v>
      </c>
      <c r="E211" s="708" t="s">
        <v>352</v>
      </c>
      <c r="F211" s="327" t="s">
        <v>304</v>
      </c>
      <c r="G211" s="1980">
        <v>1</v>
      </c>
    </row>
    <row r="212" spans="3:7" ht="15" customHeight="1" x14ac:dyDescent="0.25">
      <c r="C212" s="4183" t="s">
        <v>305</v>
      </c>
      <c r="D212" s="328" t="s">
        <v>301</v>
      </c>
      <c r="E212" s="709">
        <v>106104092</v>
      </c>
      <c r="F212" s="330" t="s">
        <v>302</v>
      </c>
      <c r="G212" s="329">
        <v>1</v>
      </c>
    </row>
    <row r="213" spans="3:7" ht="15" customHeight="1" x14ac:dyDescent="0.25">
      <c r="C213" s="4151"/>
      <c r="D213" s="328" t="s">
        <v>290</v>
      </c>
      <c r="E213" s="709">
        <v>106111802</v>
      </c>
      <c r="F213" s="330" t="s">
        <v>306</v>
      </c>
      <c r="G213" s="329">
        <v>1</v>
      </c>
    </row>
    <row r="214" spans="3:7" ht="15" customHeight="1" x14ac:dyDescent="0.25">
      <c r="C214" s="4151"/>
      <c r="D214" s="328" t="s">
        <v>307</v>
      </c>
      <c r="E214" s="709">
        <v>106109799</v>
      </c>
      <c r="F214" s="330" t="s">
        <v>308</v>
      </c>
      <c r="G214" s="329">
        <v>2</v>
      </c>
    </row>
    <row r="215" spans="3:7" ht="15.75" customHeight="1" thickBot="1" x14ac:dyDescent="0.3">
      <c r="C215" s="4152"/>
      <c r="D215" s="331" t="s">
        <v>292</v>
      </c>
      <c r="E215" s="710">
        <v>106111805</v>
      </c>
      <c r="F215" s="333" t="s">
        <v>309</v>
      </c>
      <c r="G215" s="332">
        <v>1</v>
      </c>
    </row>
    <row r="216" spans="3:7" ht="15" customHeight="1" x14ac:dyDescent="0.25">
      <c r="C216" s="4183" t="s">
        <v>475</v>
      </c>
      <c r="D216" s="360" t="s">
        <v>476</v>
      </c>
      <c r="E216" s="701">
        <v>106104093</v>
      </c>
      <c r="F216" s="362" t="s">
        <v>1057</v>
      </c>
      <c r="G216" s="361">
        <v>1</v>
      </c>
    </row>
    <row r="217" spans="3:7" ht="15" customHeight="1" x14ac:dyDescent="0.25">
      <c r="C217" s="4185"/>
      <c r="D217" s="360" t="s">
        <v>477</v>
      </c>
      <c r="E217" s="701">
        <v>106104218</v>
      </c>
      <c r="F217" s="363" t="s">
        <v>478</v>
      </c>
      <c r="G217" s="361">
        <v>1</v>
      </c>
    </row>
    <row r="218" spans="3:7" ht="15.75" customHeight="1" thickBot="1" x14ac:dyDescent="0.3">
      <c r="C218" s="4152"/>
      <c r="D218" s="360" t="s">
        <v>328</v>
      </c>
      <c r="E218" s="701">
        <v>106104229</v>
      </c>
      <c r="F218" s="362" t="s">
        <v>468</v>
      </c>
      <c r="G218" s="361">
        <v>1</v>
      </c>
    </row>
    <row r="219" spans="3:7" ht="15" customHeight="1" x14ac:dyDescent="0.25">
      <c r="C219" s="4183" t="s">
        <v>310</v>
      </c>
      <c r="D219" s="334" t="s">
        <v>67</v>
      </c>
      <c r="E219" s="711">
        <v>106104093</v>
      </c>
      <c r="F219" s="336" t="s">
        <v>1057</v>
      </c>
      <c r="G219" s="335">
        <v>1</v>
      </c>
    </row>
    <row r="220" spans="3:7" ht="15" customHeight="1" x14ac:dyDescent="0.25">
      <c r="C220" s="4185"/>
      <c r="D220" s="334" t="s">
        <v>479</v>
      </c>
      <c r="E220" s="711">
        <v>106104218</v>
      </c>
      <c r="F220" s="364" t="s">
        <v>478</v>
      </c>
      <c r="G220" s="335">
        <v>1</v>
      </c>
    </row>
    <row r="221" spans="3:7" ht="15.75" customHeight="1" thickBot="1" x14ac:dyDescent="0.3">
      <c r="C221" s="4152"/>
      <c r="D221" s="334" t="s">
        <v>65</v>
      </c>
      <c r="E221" s="711">
        <v>106101558</v>
      </c>
      <c r="F221" s="336" t="s">
        <v>759</v>
      </c>
      <c r="G221" s="335">
        <v>1</v>
      </c>
    </row>
    <row r="222" spans="3:7" ht="15" customHeight="1" x14ac:dyDescent="0.25">
      <c r="C222" s="4183" t="s">
        <v>311</v>
      </c>
      <c r="D222" s="337" t="s">
        <v>312</v>
      </c>
      <c r="E222" s="712">
        <v>106104093</v>
      </c>
      <c r="F222" s="339" t="s">
        <v>1057</v>
      </c>
      <c r="G222" s="338">
        <v>1</v>
      </c>
    </row>
    <row r="223" spans="3:7" ht="15.75" customHeight="1" thickBot="1" x14ac:dyDescent="0.3">
      <c r="C223" s="4152"/>
      <c r="D223" s="337" t="s">
        <v>285</v>
      </c>
      <c r="E223" s="712">
        <v>106104219</v>
      </c>
      <c r="F223" s="339" t="s">
        <v>96</v>
      </c>
      <c r="G223" s="338">
        <v>1</v>
      </c>
    </row>
    <row r="224" spans="3:7" ht="15" customHeight="1" x14ac:dyDescent="0.25">
      <c r="C224" s="4183" t="s">
        <v>313</v>
      </c>
      <c r="D224" s="340" t="s">
        <v>314</v>
      </c>
      <c r="E224" s="726">
        <v>106104093</v>
      </c>
      <c r="F224" s="342" t="s">
        <v>1057</v>
      </c>
      <c r="G224" s="341">
        <v>1</v>
      </c>
    </row>
    <row r="225" spans="3:7" ht="15" customHeight="1" x14ac:dyDescent="0.25">
      <c r="C225" s="4185"/>
      <c r="D225" s="340" t="s">
        <v>481</v>
      </c>
      <c r="E225" s="726">
        <v>106104218</v>
      </c>
      <c r="F225" s="365" t="s">
        <v>478</v>
      </c>
      <c r="G225" s="341">
        <v>1</v>
      </c>
    </row>
    <row r="226" spans="3:7" ht="15.75" customHeight="1" thickBot="1" x14ac:dyDescent="0.3">
      <c r="C226" s="4152"/>
      <c r="D226" s="340" t="s">
        <v>286</v>
      </c>
      <c r="E226" s="726">
        <v>106104229</v>
      </c>
      <c r="F226" s="342" t="s">
        <v>468</v>
      </c>
      <c r="G226" s="341">
        <v>1</v>
      </c>
    </row>
    <row r="227" spans="3:7" ht="15" customHeight="1" x14ac:dyDescent="0.25">
      <c r="C227" s="4183" t="s">
        <v>487</v>
      </c>
      <c r="D227" s="324" t="s">
        <v>488</v>
      </c>
      <c r="E227" s="702">
        <v>106104100</v>
      </c>
      <c r="F227" s="325" t="s">
        <v>761</v>
      </c>
      <c r="G227" s="152">
        <v>1</v>
      </c>
    </row>
    <row r="228" spans="3:7" ht="15.75" customHeight="1" thickBot="1" x14ac:dyDescent="0.3">
      <c r="C228" s="4152"/>
      <c r="D228" s="324" t="s">
        <v>490</v>
      </c>
      <c r="E228" s="702">
        <v>106104191</v>
      </c>
      <c r="F228" s="325" t="s">
        <v>491</v>
      </c>
      <c r="G228" s="152">
        <v>1</v>
      </c>
    </row>
    <row r="229" spans="3:7" ht="15" customHeight="1" x14ac:dyDescent="0.25">
      <c r="C229" s="4183" t="s">
        <v>315</v>
      </c>
      <c r="D229" s="343" t="s">
        <v>21</v>
      </c>
      <c r="E229" s="728">
        <v>106104110</v>
      </c>
      <c r="F229" s="345" t="s">
        <v>316</v>
      </c>
      <c r="G229" s="344">
        <v>1</v>
      </c>
    </row>
    <row r="230" spans="3:7" ht="15" customHeight="1" x14ac:dyDescent="0.25">
      <c r="C230" s="4151"/>
      <c r="D230" s="343" t="s">
        <v>281</v>
      </c>
      <c r="E230" s="728">
        <v>106104081</v>
      </c>
      <c r="F230" s="345" t="s">
        <v>317</v>
      </c>
      <c r="G230" s="344">
        <v>1</v>
      </c>
    </row>
    <row r="231" spans="3:7" ht="15" customHeight="1" x14ac:dyDescent="0.25">
      <c r="C231" s="4151"/>
      <c r="D231" s="343" t="s">
        <v>283</v>
      </c>
      <c r="E231" s="728">
        <v>106104094</v>
      </c>
      <c r="F231" s="345" t="s">
        <v>318</v>
      </c>
      <c r="G231" s="344">
        <v>1</v>
      </c>
    </row>
    <row r="232" spans="3:7" ht="15.75" customHeight="1" thickBot="1" x14ac:dyDescent="0.3">
      <c r="C232" s="4152"/>
      <c r="D232" s="343" t="s">
        <v>64</v>
      </c>
      <c r="E232" s="728">
        <v>106104128</v>
      </c>
      <c r="F232" s="345" t="s">
        <v>154</v>
      </c>
      <c r="G232" s="344">
        <v>1</v>
      </c>
    </row>
    <row r="233" spans="3:7" ht="15" customHeight="1" x14ac:dyDescent="0.25">
      <c r="C233" s="4150"/>
      <c r="D233" s="349" t="s">
        <v>271</v>
      </c>
      <c r="E233" s="705">
        <v>106120457</v>
      </c>
      <c r="F233" s="350" t="s">
        <v>272</v>
      </c>
      <c r="G233" s="156">
        <v>2</v>
      </c>
    </row>
    <row r="234" spans="3:7" ht="15" customHeight="1" x14ac:dyDescent="0.25">
      <c r="C234" s="4151"/>
      <c r="D234" s="349" t="s">
        <v>287</v>
      </c>
      <c r="E234" s="705">
        <v>106105422</v>
      </c>
      <c r="F234" s="350" t="s">
        <v>288</v>
      </c>
      <c r="G234" s="156">
        <v>3</v>
      </c>
    </row>
    <row r="235" spans="3:7" ht="15" customHeight="1" x14ac:dyDescent="0.25">
      <c r="C235" s="4151"/>
      <c r="D235" s="349"/>
      <c r="E235" s="705">
        <v>106104148</v>
      </c>
      <c r="F235" s="350" t="s">
        <v>319</v>
      </c>
      <c r="G235" s="156">
        <v>1</v>
      </c>
    </row>
    <row r="236" spans="3:7" ht="15" customHeight="1" x14ac:dyDescent="0.25">
      <c r="C236" s="4151"/>
      <c r="D236" s="349" t="s">
        <v>29</v>
      </c>
      <c r="E236" s="705">
        <v>106104129</v>
      </c>
      <c r="F236" s="350" t="s">
        <v>320</v>
      </c>
      <c r="G236" s="156">
        <v>1</v>
      </c>
    </row>
    <row r="237" spans="3:7" ht="15" customHeight="1" x14ac:dyDescent="0.25">
      <c r="C237" s="4151"/>
      <c r="D237" s="349" t="s">
        <v>469</v>
      </c>
      <c r="E237" s="705">
        <v>106104232</v>
      </c>
      <c r="F237" s="350" t="s">
        <v>273</v>
      </c>
      <c r="G237" s="156">
        <v>1</v>
      </c>
    </row>
    <row r="238" spans="3:7" ht="15" customHeight="1" x14ac:dyDescent="0.25">
      <c r="C238" s="4151"/>
      <c r="D238" s="349" t="s">
        <v>289</v>
      </c>
      <c r="E238" s="705">
        <v>106111795</v>
      </c>
      <c r="F238" s="350" t="s">
        <v>756</v>
      </c>
      <c r="G238" s="156">
        <v>1</v>
      </c>
    </row>
    <row r="239" spans="3:7" ht="15" customHeight="1" x14ac:dyDescent="0.25">
      <c r="C239" s="4151"/>
      <c r="D239" s="349" t="s">
        <v>138</v>
      </c>
      <c r="E239" s="705">
        <v>106104091</v>
      </c>
      <c r="F239" s="350" t="s">
        <v>162</v>
      </c>
      <c r="G239" s="156">
        <v>1</v>
      </c>
    </row>
    <row r="240" spans="3:7" ht="15" customHeight="1" x14ac:dyDescent="0.25">
      <c r="C240" s="4151"/>
      <c r="D240" s="349" t="s">
        <v>298</v>
      </c>
      <c r="E240" s="705">
        <v>106105038</v>
      </c>
      <c r="F240" s="350" t="s">
        <v>299</v>
      </c>
      <c r="G240" s="156">
        <v>3</v>
      </c>
    </row>
    <row r="241" spans="3:7" ht="15" customHeight="1" x14ac:dyDescent="0.25">
      <c r="C241" s="4151"/>
      <c r="D241" s="349" t="s">
        <v>323</v>
      </c>
      <c r="E241" s="705">
        <v>106105852</v>
      </c>
      <c r="F241" s="350" t="s">
        <v>300</v>
      </c>
      <c r="G241" s="156">
        <v>3</v>
      </c>
    </row>
    <row r="242" spans="3:7" ht="15" customHeight="1" x14ac:dyDescent="0.25">
      <c r="C242" s="4151"/>
      <c r="D242" s="2564" t="s">
        <v>41</v>
      </c>
      <c r="E242" s="705">
        <v>106112529</v>
      </c>
      <c r="F242" s="350" t="s">
        <v>483</v>
      </c>
      <c r="G242" s="156">
        <v>1</v>
      </c>
    </row>
    <row r="243" spans="3:7" ht="15" customHeight="1" x14ac:dyDescent="0.25">
      <c r="C243" s="4151"/>
      <c r="D243" s="349" t="s">
        <v>484</v>
      </c>
      <c r="E243" s="705">
        <v>106200745</v>
      </c>
      <c r="F243" s="350" t="s">
        <v>760</v>
      </c>
      <c r="G243" s="156">
        <v>1</v>
      </c>
    </row>
    <row r="244" spans="3:7" ht="15" customHeight="1" x14ac:dyDescent="0.25">
      <c r="C244" s="4151"/>
      <c r="D244" s="349" t="s">
        <v>2</v>
      </c>
      <c r="E244" s="705">
        <v>106200591</v>
      </c>
      <c r="F244" s="350" t="s">
        <v>472</v>
      </c>
      <c r="G244" s="156">
        <v>1</v>
      </c>
    </row>
    <row r="245" spans="3:7" ht="15.75" customHeight="1" thickBot="1" x14ac:dyDescent="0.3">
      <c r="C245" s="4152"/>
      <c r="D245" s="352" t="s">
        <v>438</v>
      </c>
      <c r="E245" s="706">
        <v>106200855</v>
      </c>
      <c r="F245" s="717" t="s">
        <v>757</v>
      </c>
      <c r="G245" s="353">
        <v>1</v>
      </c>
    </row>
    <row r="246" spans="3:7" ht="15.75" thickBot="1" x14ac:dyDescent="0.3"/>
    <row r="247" spans="3:7" ht="18.75" customHeight="1" thickBot="1" x14ac:dyDescent="0.3">
      <c r="C247" s="24"/>
      <c r="D247" s="1802"/>
      <c r="E247" s="4157" t="s">
        <v>1017</v>
      </c>
      <c r="F247" s="4158"/>
      <c r="G247" s="4159"/>
    </row>
    <row r="248" spans="3:7" ht="15.75" thickBot="1" x14ac:dyDescent="0.3">
      <c r="C248" s="4181" t="s">
        <v>79</v>
      </c>
      <c r="D248" s="4184"/>
      <c r="E248" s="697" t="s">
        <v>9</v>
      </c>
      <c r="F248" s="697" t="s">
        <v>1</v>
      </c>
      <c r="G248" s="389" t="s">
        <v>960</v>
      </c>
    </row>
    <row r="249" spans="3:7" ht="15" customHeight="1" x14ac:dyDescent="0.25">
      <c r="C249" s="4183" t="s">
        <v>263</v>
      </c>
      <c r="D249" s="321" t="s">
        <v>274</v>
      </c>
      <c r="E249" s="707">
        <v>106104164</v>
      </c>
      <c r="F249" s="323" t="s">
        <v>275</v>
      </c>
      <c r="G249" s="718">
        <v>1</v>
      </c>
    </row>
    <row r="250" spans="3:7" ht="15" customHeight="1" x14ac:dyDescent="0.25">
      <c r="C250" s="4151"/>
      <c r="D250" s="324" t="s">
        <v>276</v>
      </c>
      <c r="E250" s="702" t="s">
        <v>350</v>
      </c>
      <c r="F250" s="325" t="s">
        <v>277</v>
      </c>
      <c r="G250" s="719">
        <v>1</v>
      </c>
    </row>
    <row r="251" spans="3:7" ht="15" customHeight="1" x14ac:dyDescent="0.25">
      <c r="C251" s="4151"/>
      <c r="D251" s="324" t="s">
        <v>279</v>
      </c>
      <c r="E251" s="702" t="s">
        <v>351</v>
      </c>
      <c r="F251" s="325" t="s">
        <v>280</v>
      </c>
      <c r="G251" s="719">
        <v>1</v>
      </c>
    </row>
    <row r="252" spans="3:7" ht="15" customHeight="1" x14ac:dyDescent="0.25">
      <c r="C252" s="4151"/>
      <c r="D252" s="324" t="s">
        <v>473</v>
      </c>
      <c r="E252" s="702">
        <v>106104096</v>
      </c>
      <c r="F252" s="359" t="s">
        <v>474</v>
      </c>
      <c r="G252" s="719">
        <v>1</v>
      </c>
    </row>
    <row r="253" spans="3:7" ht="15.75" customHeight="1" thickBot="1" x14ac:dyDescent="0.3">
      <c r="C253" s="4151"/>
      <c r="D253" s="326" t="s">
        <v>278</v>
      </c>
      <c r="E253" s="708" t="s">
        <v>352</v>
      </c>
      <c r="F253" s="327" t="s">
        <v>304</v>
      </c>
      <c r="G253" s="720">
        <v>1</v>
      </c>
    </row>
    <row r="254" spans="3:7" ht="15" customHeight="1" x14ac:dyDescent="0.25">
      <c r="C254" s="4183" t="s">
        <v>305</v>
      </c>
      <c r="D254" s="328" t="s">
        <v>301</v>
      </c>
      <c r="E254" s="709">
        <v>106104092</v>
      </c>
      <c r="F254" s="330" t="s">
        <v>302</v>
      </c>
      <c r="G254" s="721">
        <v>1</v>
      </c>
    </row>
    <row r="255" spans="3:7" ht="15" customHeight="1" x14ac:dyDescent="0.25">
      <c r="C255" s="4151"/>
      <c r="D255" s="328" t="s">
        <v>290</v>
      </c>
      <c r="E255" s="709">
        <v>106111802</v>
      </c>
      <c r="F255" s="330" t="s">
        <v>306</v>
      </c>
      <c r="G255" s="721">
        <v>1</v>
      </c>
    </row>
    <row r="256" spans="3:7" ht="15" customHeight="1" x14ac:dyDescent="0.25">
      <c r="C256" s="4151"/>
      <c r="D256" s="328" t="s">
        <v>307</v>
      </c>
      <c r="E256" s="709">
        <v>106109799</v>
      </c>
      <c r="F256" s="330" t="s">
        <v>308</v>
      </c>
      <c r="G256" s="721">
        <v>2</v>
      </c>
    </row>
    <row r="257" spans="3:7" ht="15.75" customHeight="1" thickBot="1" x14ac:dyDescent="0.3">
      <c r="C257" s="4152"/>
      <c r="D257" s="331" t="s">
        <v>292</v>
      </c>
      <c r="E257" s="710">
        <v>106111805</v>
      </c>
      <c r="F257" s="333" t="s">
        <v>309</v>
      </c>
      <c r="G257" s="722">
        <v>1</v>
      </c>
    </row>
    <row r="258" spans="3:7" ht="15" customHeight="1" x14ac:dyDescent="0.25">
      <c r="C258" s="4183" t="s">
        <v>475</v>
      </c>
      <c r="D258" s="360" t="s">
        <v>476</v>
      </c>
      <c r="E258" s="701">
        <v>106104093</v>
      </c>
      <c r="F258" s="362" t="s">
        <v>1057</v>
      </c>
      <c r="G258" s="723">
        <v>1</v>
      </c>
    </row>
    <row r="259" spans="3:7" ht="15" customHeight="1" x14ac:dyDescent="0.25">
      <c r="C259" s="4185"/>
      <c r="D259" s="360" t="s">
        <v>477</v>
      </c>
      <c r="E259" s="701">
        <v>106104218</v>
      </c>
      <c r="F259" s="363" t="s">
        <v>478</v>
      </c>
      <c r="G259" s="723">
        <v>1</v>
      </c>
    </row>
    <row r="260" spans="3:7" ht="15.75" customHeight="1" thickBot="1" x14ac:dyDescent="0.3">
      <c r="C260" s="4152"/>
      <c r="D260" s="360" t="s">
        <v>328</v>
      </c>
      <c r="E260" s="701">
        <v>106104229</v>
      </c>
      <c r="F260" s="362" t="s">
        <v>468</v>
      </c>
      <c r="G260" s="723">
        <v>1</v>
      </c>
    </row>
    <row r="261" spans="3:7" ht="15" customHeight="1" x14ac:dyDescent="0.25">
      <c r="C261" s="4183" t="s">
        <v>310</v>
      </c>
      <c r="D261" s="334" t="s">
        <v>67</v>
      </c>
      <c r="E261" s="711">
        <v>106104093</v>
      </c>
      <c r="F261" s="336" t="s">
        <v>1057</v>
      </c>
      <c r="G261" s="724">
        <v>1</v>
      </c>
    </row>
    <row r="262" spans="3:7" ht="15" customHeight="1" x14ac:dyDescent="0.25">
      <c r="C262" s="4185"/>
      <c r="D262" s="334" t="s">
        <v>479</v>
      </c>
      <c r="E262" s="711">
        <v>106104218</v>
      </c>
      <c r="F262" s="364" t="s">
        <v>478</v>
      </c>
      <c r="G262" s="724">
        <v>1</v>
      </c>
    </row>
    <row r="263" spans="3:7" ht="15.75" customHeight="1" thickBot="1" x14ac:dyDescent="0.3">
      <c r="C263" s="4152"/>
      <c r="D263" s="334" t="s">
        <v>65</v>
      </c>
      <c r="E263" s="711">
        <v>106101558</v>
      </c>
      <c r="F263" s="336" t="s">
        <v>759</v>
      </c>
      <c r="G263" s="724">
        <v>1</v>
      </c>
    </row>
    <row r="264" spans="3:7" ht="15" customHeight="1" x14ac:dyDescent="0.25">
      <c r="C264" s="4183" t="s">
        <v>311</v>
      </c>
      <c r="D264" s="337" t="s">
        <v>312</v>
      </c>
      <c r="E264" s="712">
        <v>106104093</v>
      </c>
      <c r="F264" s="339" t="s">
        <v>1057</v>
      </c>
      <c r="G264" s="725">
        <v>1</v>
      </c>
    </row>
    <row r="265" spans="3:7" ht="15.75" customHeight="1" thickBot="1" x14ac:dyDescent="0.3">
      <c r="C265" s="4152"/>
      <c r="D265" s="337" t="s">
        <v>285</v>
      </c>
      <c r="E265" s="712">
        <v>106104219</v>
      </c>
      <c r="F265" s="339" t="s">
        <v>96</v>
      </c>
      <c r="G265" s="725">
        <v>1</v>
      </c>
    </row>
    <row r="266" spans="3:7" ht="15" customHeight="1" x14ac:dyDescent="0.25">
      <c r="C266" s="4183" t="s">
        <v>313</v>
      </c>
      <c r="D266" s="340" t="s">
        <v>314</v>
      </c>
      <c r="E266" s="726">
        <v>106104093</v>
      </c>
      <c r="F266" s="342" t="s">
        <v>1057</v>
      </c>
      <c r="G266" s="727">
        <v>1</v>
      </c>
    </row>
    <row r="267" spans="3:7" ht="15" customHeight="1" x14ac:dyDescent="0.25">
      <c r="C267" s="4185"/>
      <c r="D267" s="340" t="s">
        <v>481</v>
      </c>
      <c r="E267" s="726">
        <v>106104218</v>
      </c>
      <c r="F267" s="365" t="s">
        <v>478</v>
      </c>
      <c r="G267" s="727">
        <v>1</v>
      </c>
    </row>
    <row r="268" spans="3:7" ht="15.75" customHeight="1" thickBot="1" x14ac:dyDescent="0.3">
      <c r="C268" s="4152"/>
      <c r="D268" s="340" t="s">
        <v>286</v>
      </c>
      <c r="E268" s="726">
        <v>106104229</v>
      </c>
      <c r="F268" s="342" t="s">
        <v>468</v>
      </c>
      <c r="G268" s="727">
        <v>1</v>
      </c>
    </row>
    <row r="269" spans="3:7" ht="15" customHeight="1" x14ac:dyDescent="0.25">
      <c r="C269" s="4183" t="s">
        <v>487</v>
      </c>
      <c r="D269" s="324" t="s">
        <v>488</v>
      </c>
      <c r="E269" s="702">
        <v>106104100</v>
      </c>
      <c r="F269" s="325" t="s">
        <v>761</v>
      </c>
      <c r="G269" s="719">
        <v>1</v>
      </c>
    </row>
    <row r="270" spans="3:7" ht="15.75" customHeight="1" thickBot="1" x14ac:dyDescent="0.3">
      <c r="C270" s="4152"/>
      <c r="D270" s="324" t="s">
        <v>490</v>
      </c>
      <c r="E270" s="702">
        <v>106104191</v>
      </c>
      <c r="F270" s="325" t="s">
        <v>491</v>
      </c>
      <c r="G270" s="719">
        <v>1</v>
      </c>
    </row>
    <row r="271" spans="3:7" ht="15" customHeight="1" x14ac:dyDescent="0.25">
      <c r="C271" s="4183" t="s">
        <v>315</v>
      </c>
      <c r="D271" s="343" t="s">
        <v>21</v>
      </c>
      <c r="E271" s="728">
        <v>106104110</v>
      </c>
      <c r="F271" s="345" t="s">
        <v>316</v>
      </c>
      <c r="G271" s="729">
        <v>1</v>
      </c>
    </row>
    <row r="272" spans="3:7" ht="15" customHeight="1" x14ac:dyDescent="0.25">
      <c r="C272" s="4151"/>
      <c r="D272" s="343" t="s">
        <v>281</v>
      </c>
      <c r="E272" s="728">
        <v>106104081</v>
      </c>
      <c r="F272" s="345" t="s">
        <v>317</v>
      </c>
      <c r="G272" s="729">
        <v>1</v>
      </c>
    </row>
    <row r="273" spans="3:7" ht="15" customHeight="1" x14ac:dyDescent="0.25">
      <c r="C273" s="4151"/>
      <c r="D273" s="343" t="s">
        <v>283</v>
      </c>
      <c r="E273" s="728">
        <v>106104094</v>
      </c>
      <c r="F273" s="345" t="s">
        <v>318</v>
      </c>
      <c r="G273" s="729">
        <v>1</v>
      </c>
    </row>
    <row r="274" spans="3:7" ht="15.75" customHeight="1" thickBot="1" x14ac:dyDescent="0.3">
      <c r="C274" s="4152"/>
      <c r="D274" s="343" t="s">
        <v>64</v>
      </c>
      <c r="E274" s="728">
        <v>106104128</v>
      </c>
      <c r="F274" s="345" t="s">
        <v>154</v>
      </c>
      <c r="G274" s="729">
        <v>1</v>
      </c>
    </row>
    <row r="275" spans="3:7" ht="15" customHeight="1" x14ac:dyDescent="0.25">
      <c r="C275" s="4150"/>
      <c r="D275" s="349" t="s">
        <v>271</v>
      </c>
      <c r="E275" s="705">
        <v>106120457</v>
      </c>
      <c r="F275" s="350" t="s">
        <v>272</v>
      </c>
      <c r="G275" s="575">
        <v>2</v>
      </c>
    </row>
    <row r="276" spans="3:7" ht="15" customHeight="1" x14ac:dyDescent="0.25">
      <c r="C276" s="4151"/>
      <c r="D276" s="349" t="s">
        <v>287</v>
      </c>
      <c r="E276" s="705">
        <v>106104137</v>
      </c>
      <c r="F276" s="350" t="s">
        <v>492</v>
      </c>
      <c r="G276" s="575">
        <v>3</v>
      </c>
    </row>
    <row r="277" spans="3:7" ht="15" customHeight="1" x14ac:dyDescent="0.25">
      <c r="C277" s="4151"/>
      <c r="D277" s="349"/>
      <c r="E277" s="705">
        <v>106109644</v>
      </c>
      <c r="F277" s="350" t="s">
        <v>493</v>
      </c>
      <c r="G277" s="575">
        <v>1</v>
      </c>
    </row>
    <row r="278" spans="3:7" ht="15" customHeight="1" x14ac:dyDescent="0.25">
      <c r="C278" s="4151"/>
      <c r="D278" s="349" t="s">
        <v>29</v>
      </c>
      <c r="E278" s="705">
        <v>106104129</v>
      </c>
      <c r="F278" s="350" t="s">
        <v>320</v>
      </c>
      <c r="G278" s="575">
        <v>1</v>
      </c>
    </row>
    <row r="279" spans="3:7" ht="15" customHeight="1" x14ac:dyDescent="0.25">
      <c r="C279" s="4151"/>
      <c r="D279" s="349" t="s">
        <v>469</v>
      </c>
      <c r="E279" s="705">
        <v>106104232</v>
      </c>
      <c r="F279" s="350" t="s">
        <v>273</v>
      </c>
      <c r="G279" s="575">
        <v>1</v>
      </c>
    </row>
    <row r="280" spans="3:7" ht="15" customHeight="1" x14ac:dyDescent="0.25">
      <c r="C280" s="4151"/>
      <c r="D280" s="349" t="s">
        <v>289</v>
      </c>
      <c r="E280" s="705">
        <v>106111795</v>
      </c>
      <c r="F280" s="350" t="s">
        <v>756</v>
      </c>
      <c r="G280" s="575">
        <v>1</v>
      </c>
    </row>
    <row r="281" spans="3:7" ht="15" customHeight="1" x14ac:dyDescent="0.25">
      <c r="C281" s="4151"/>
      <c r="D281" s="349" t="s">
        <v>138</v>
      </c>
      <c r="E281" s="705">
        <v>106104091</v>
      </c>
      <c r="F281" s="350" t="s">
        <v>162</v>
      </c>
      <c r="G281" s="575">
        <v>1</v>
      </c>
    </row>
    <row r="282" spans="3:7" ht="15" customHeight="1" x14ac:dyDescent="0.25">
      <c r="C282" s="4151"/>
      <c r="D282" s="349" t="s">
        <v>298</v>
      </c>
      <c r="E282" s="705">
        <v>106105038</v>
      </c>
      <c r="F282" s="350" t="s">
        <v>299</v>
      </c>
      <c r="G282" s="575">
        <v>3</v>
      </c>
    </row>
    <row r="283" spans="3:7" ht="15" customHeight="1" x14ac:dyDescent="0.25">
      <c r="C283" s="4151"/>
      <c r="D283" s="349" t="s">
        <v>323</v>
      </c>
      <c r="E283" s="705">
        <v>106105852</v>
      </c>
      <c r="F283" s="350" t="s">
        <v>300</v>
      </c>
      <c r="G283" s="575">
        <v>3</v>
      </c>
    </row>
    <row r="284" spans="3:7" ht="13.5" customHeight="1" x14ac:dyDescent="0.25">
      <c r="C284" s="4151"/>
      <c r="D284" s="2564" t="s">
        <v>41</v>
      </c>
      <c r="E284" s="705">
        <v>106112529</v>
      </c>
      <c r="F284" s="350" t="s">
        <v>762</v>
      </c>
      <c r="G284" s="575">
        <v>1</v>
      </c>
    </row>
    <row r="285" spans="3:7" ht="15" customHeight="1" x14ac:dyDescent="0.25">
      <c r="C285" s="4151"/>
      <c r="D285" s="349" t="s">
        <v>484</v>
      </c>
      <c r="E285" s="705">
        <v>106200745</v>
      </c>
      <c r="F285" s="350" t="s">
        <v>485</v>
      </c>
      <c r="G285" s="575">
        <v>1</v>
      </c>
    </row>
    <row r="286" spans="3:7" ht="15" customHeight="1" x14ac:dyDescent="0.25">
      <c r="C286" s="4151"/>
      <c r="D286" s="349" t="s">
        <v>2</v>
      </c>
      <c r="E286" s="705">
        <v>106200591</v>
      </c>
      <c r="F286" s="350" t="s">
        <v>472</v>
      </c>
      <c r="G286" s="575">
        <v>1</v>
      </c>
    </row>
    <row r="287" spans="3:7" ht="15.75" customHeight="1" thickBot="1" x14ac:dyDescent="0.3">
      <c r="C287" s="4152"/>
      <c r="D287" s="352" t="s">
        <v>438</v>
      </c>
      <c r="E287" s="706">
        <v>106200855</v>
      </c>
      <c r="F287" s="717" t="s">
        <v>757</v>
      </c>
      <c r="G287" s="730">
        <v>1</v>
      </c>
    </row>
    <row r="288" spans="3:7" ht="15.75" thickBot="1" x14ac:dyDescent="0.3"/>
    <row r="289" spans="3:7" ht="18.75" customHeight="1" thickBot="1" x14ac:dyDescent="0.3">
      <c r="C289" s="24"/>
      <c r="D289" s="1802"/>
      <c r="E289" s="4157" t="s">
        <v>1018</v>
      </c>
      <c r="F289" s="4158"/>
      <c r="G289" s="4159"/>
    </row>
    <row r="290" spans="3:7" ht="15.75" thickBot="1" x14ac:dyDescent="0.3">
      <c r="C290" s="4181" t="s">
        <v>79</v>
      </c>
      <c r="D290" s="4184"/>
      <c r="E290" s="697" t="s">
        <v>9</v>
      </c>
      <c r="F290" s="697" t="s">
        <v>1</v>
      </c>
      <c r="G290" s="389" t="s">
        <v>960</v>
      </c>
    </row>
    <row r="291" spans="3:7" ht="15" customHeight="1" x14ac:dyDescent="0.25">
      <c r="C291" s="4177" t="s">
        <v>263</v>
      </c>
      <c r="D291" s="321" t="s">
        <v>274</v>
      </c>
      <c r="E291" s="707">
        <v>106104164</v>
      </c>
      <c r="F291" s="965" t="s">
        <v>275</v>
      </c>
      <c r="G291" s="718">
        <v>1</v>
      </c>
    </row>
    <row r="292" spans="3:7" ht="15" customHeight="1" x14ac:dyDescent="0.25">
      <c r="C292" s="4179"/>
      <c r="D292" s="324" t="s">
        <v>276</v>
      </c>
      <c r="E292" s="702" t="s">
        <v>350</v>
      </c>
      <c r="F292" s="151" t="s">
        <v>277</v>
      </c>
      <c r="G292" s="719">
        <v>1</v>
      </c>
    </row>
    <row r="293" spans="3:7" ht="15" customHeight="1" x14ac:dyDescent="0.25">
      <c r="C293" s="4179"/>
      <c r="D293" s="324" t="s">
        <v>279</v>
      </c>
      <c r="E293" s="702" t="s">
        <v>351</v>
      </c>
      <c r="F293" s="151" t="s">
        <v>280</v>
      </c>
      <c r="G293" s="719">
        <v>1</v>
      </c>
    </row>
    <row r="294" spans="3:7" ht="15" customHeight="1" x14ac:dyDescent="0.25">
      <c r="C294" s="4179"/>
      <c r="D294" s="324" t="s">
        <v>473</v>
      </c>
      <c r="E294" s="702">
        <v>106104096</v>
      </c>
      <c r="F294" s="966" t="s">
        <v>474</v>
      </c>
      <c r="G294" s="719">
        <v>1</v>
      </c>
    </row>
    <row r="295" spans="3:7" ht="15.75" customHeight="1" thickBot="1" x14ac:dyDescent="0.3">
      <c r="C295" s="4179"/>
      <c r="D295" s="326" t="s">
        <v>278</v>
      </c>
      <c r="E295" s="708" t="s">
        <v>352</v>
      </c>
      <c r="F295" s="967" t="s">
        <v>304</v>
      </c>
      <c r="G295" s="720">
        <v>1</v>
      </c>
    </row>
    <row r="296" spans="3:7" ht="15" customHeight="1" x14ac:dyDescent="0.25">
      <c r="C296" s="4177" t="s">
        <v>305</v>
      </c>
      <c r="D296" s="328" t="s">
        <v>301</v>
      </c>
      <c r="E296" s="709">
        <v>106104092</v>
      </c>
      <c r="F296" s="968" t="s">
        <v>302</v>
      </c>
      <c r="G296" s="721">
        <v>1</v>
      </c>
    </row>
    <row r="297" spans="3:7" ht="15" customHeight="1" x14ac:dyDescent="0.25">
      <c r="C297" s="4179"/>
      <c r="D297" s="328" t="s">
        <v>290</v>
      </c>
      <c r="E297" s="709">
        <v>106111802</v>
      </c>
      <c r="F297" s="968" t="s">
        <v>306</v>
      </c>
      <c r="G297" s="721">
        <v>1</v>
      </c>
    </row>
    <row r="298" spans="3:7" ht="15" customHeight="1" x14ac:dyDescent="0.25">
      <c r="C298" s="4179"/>
      <c r="D298" s="328" t="s">
        <v>307</v>
      </c>
      <c r="E298" s="709">
        <v>106109799</v>
      </c>
      <c r="F298" s="968" t="s">
        <v>308</v>
      </c>
      <c r="G298" s="721">
        <v>2</v>
      </c>
    </row>
    <row r="299" spans="3:7" ht="15.75" customHeight="1" thickBot="1" x14ac:dyDescent="0.3">
      <c r="C299" s="4178"/>
      <c r="D299" s="331" t="s">
        <v>292</v>
      </c>
      <c r="E299" s="710">
        <v>106111805</v>
      </c>
      <c r="F299" s="969" t="s">
        <v>309</v>
      </c>
      <c r="G299" s="722">
        <v>1</v>
      </c>
    </row>
    <row r="300" spans="3:7" ht="15" customHeight="1" x14ac:dyDescent="0.25">
      <c r="C300" s="4177" t="s">
        <v>475</v>
      </c>
      <c r="D300" s="360" t="s">
        <v>476</v>
      </c>
      <c r="E300" s="701">
        <v>106104093</v>
      </c>
      <c r="F300" s="970" t="s">
        <v>1057</v>
      </c>
      <c r="G300" s="723">
        <v>1</v>
      </c>
    </row>
    <row r="301" spans="3:7" ht="15" customHeight="1" x14ac:dyDescent="0.25">
      <c r="C301" s="4197"/>
      <c r="D301" s="360" t="s">
        <v>477</v>
      </c>
      <c r="E301" s="701">
        <v>106104218</v>
      </c>
      <c r="F301" s="971" t="s">
        <v>478</v>
      </c>
      <c r="G301" s="723">
        <v>1</v>
      </c>
    </row>
    <row r="302" spans="3:7" ht="15.75" customHeight="1" thickBot="1" x14ac:dyDescent="0.3">
      <c r="C302" s="4178"/>
      <c r="D302" s="360" t="s">
        <v>328</v>
      </c>
      <c r="E302" s="701">
        <v>106104229</v>
      </c>
      <c r="F302" s="970" t="s">
        <v>468</v>
      </c>
      <c r="G302" s="723">
        <v>1</v>
      </c>
    </row>
    <row r="303" spans="3:7" ht="15" customHeight="1" x14ac:dyDescent="0.25">
      <c r="C303" s="4177" t="s">
        <v>310</v>
      </c>
      <c r="D303" s="334" t="s">
        <v>67</v>
      </c>
      <c r="E303" s="711">
        <v>106104093</v>
      </c>
      <c r="F303" s="972" t="s">
        <v>1057</v>
      </c>
      <c r="G303" s="724">
        <v>1</v>
      </c>
    </row>
    <row r="304" spans="3:7" ht="15" customHeight="1" x14ac:dyDescent="0.25">
      <c r="C304" s="4197"/>
      <c r="D304" s="334" t="s">
        <v>479</v>
      </c>
      <c r="E304" s="711">
        <v>106104218</v>
      </c>
      <c r="F304" s="973" t="s">
        <v>478</v>
      </c>
      <c r="G304" s="724">
        <v>1</v>
      </c>
    </row>
    <row r="305" spans="3:7" ht="15.75" customHeight="1" thickBot="1" x14ac:dyDescent="0.3">
      <c r="C305" s="4178"/>
      <c r="D305" s="334" t="s">
        <v>65</v>
      </c>
      <c r="E305" s="711">
        <v>106104229</v>
      </c>
      <c r="F305" s="972" t="s">
        <v>468</v>
      </c>
      <c r="G305" s="724">
        <v>1</v>
      </c>
    </row>
    <row r="306" spans="3:7" ht="15" customHeight="1" x14ac:dyDescent="0.25">
      <c r="C306" s="4177" t="s">
        <v>311</v>
      </c>
      <c r="D306" s="337" t="s">
        <v>312</v>
      </c>
      <c r="E306" s="712">
        <v>106104093</v>
      </c>
      <c r="F306" s="974" t="s">
        <v>1057</v>
      </c>
      <c r="G306" s="725">
        <v>1</v>
      </c>
    </row>
    <row r="307" spans="3:7" ht="15.75" customHeight="1" thickBot="1" x14ac:dyDescent="0.3">
      <c r="C307" s="4178"/>
      <c r="D307" s="337" t="s">
        <v>285</v>
      </c>
      <c r="E307" s="712">
        <v>106104219</v>
      </c>
      <c r="F307" s="974" t="s">
        <v>96</v>
      </c>
      <c r="G307" s="725">
        <v>1</v>
      </c>
    </row>
    <row r="308" spans="3:7" ht="15" customHeight="1" x14ac:dyDescent="0.25">
      <c r="C308" s="4177" t="s">
        <v>313</v>
      </c>
      <c r="D308" s="340" t="s">
        <v>314</v>
      </c>
      <c r="E308" s="726">
        <v>106104093</v>
      </c>
      <c r="F308" s="975" t="s">
        <v>1057</v>
      </c>
      <c r="G308" s="727">
        <v>1</v>
      </c>
    </row>
    <row r="309" spans="3:7" ht="15" customHeight="1" x14ac:dyDescent="0.25">
      <c r="C309" s="4197"/>
      <c r="D309" s="340" t="s">
        <v>481</v>
      </c>
      <c r="E309" s="726">
        <v>106104218</v>
      </c>
      <c r="F309" s="976" t="s">
        <v>478</v>
      </c>
      <c r="G309" s="727">
        <v>1</v>
      </c>
    </row>
    <row r="310" spans="3:7" ht="15.75" customHeight="1" thickBot="1" x14ac:dyDescent="0.3">
      <c r="C310" s="4178"/>
      <c r="D310" s="340" t="s">
        <v>286</v>
      </c>
      <c r="E310" s="726">
        <v>106104229</v>
      </c>
      <c r="F310" s="975" t="s">
        <v>468</v>
      </c>
      <c r="G310" s="727">
        <v>1</v>
      </c>
    </row>
    <row r="311" spans="3:7" ht="15" customHeight="1" x14ac:dyDescent="0.25">
      <c r="C311" s="4177" t="s">
        <v>487</v>
      </c>
      <c r="D311" s="324" t="s">
        <v>488</v>
      </c>
      <c r="E311" s="702">
        <v>106104100</v>
      </c>
      <c r="F311" s="151" t="s">
        <v>761</v>
      </c>
      <c r="G311" s="719">
        <v>1</v>
      </c>
    </row>
    <row r="312" spans="3:7" ht="15.75" customHeight="1" thickBot="1" x14ac:dyDescent="0.3">
      <c r="C312" s="4178"/>
      <c r="D312" s="324" t="s">
        <v>490</v>
      </c>
      <c r="E312" s="702">
        <v>106104191</v>
      </c>
      <c r="F312" s="151" t="s">
        <v>491</v>
      </c>
      <c r="G312" s="719">
        <v>1</v>
      </c>
    </row>
    <row r="313" spans="3:7" ht="15" customHeight="1" x14ac:dyDescent="0.25">
      <c r="C313" s="4177" t="s">
        <v>315</v>
      </c>
      <c r="D313" s="343" t="s">
        <v>21</v>
      </c>
      <c r="E313" s="728">
        <v>106104110</v>
      </c>
      <c r="F313" s="977" t="s">
        <v>316</v>
      </c>
      <c r="G313" s="729">
        <v>1</v>
      </c>
    </row>
    <row r="314" spans="3:7" ht="15" customHeight="1" x14ac:dyDescent="0.25">
      <c r="C314" s="4179"/>
      <c r="D314" s="343" t="s">
        <v>281</v>
      </c>
      <c r="E314" s="728">
        <v>106104081</v>
      </c>
      <c r="F314" s="977" t="s">
        <v>317</v>
      </c>
      <c r="G314" s="729">
        <v>1</v>
      </c>
    </row>
    <row r="315" spans="3:7" ht="15" customHeight="1" x14ac:dyDescent="0.25">
      <c r="C315" s="4179"/>
      <c r="D315" s="343" t="s">
        <v>283</v>
      </c>
      <c r="E315" s="728">
        <v>106104094</v>
      </c>
      <c r="F315" s="977" t="s">
        <v>318</v>
      </c>
      <c r="G315" s="729">
        <v>1</v>
      </c>
    </row>
    <row r="316" spans="3:7" ht="15.75" customHeight="1" thickBot="1" x14ac:dyDescent="0.3">
      <c r="C316" s="4178"/>
      <c r="D316" s="343" t="s">
        <v>64</v>
      </c>
      <c r="E316" s="728">
        <v>106104128</v>
      </c>
      <c r="F316" s="977" t="s">
        <v>154</v>
      </c>
      <c r="G316" s="729">
        <v>1</v>
      </c>
    </row>
    <row r="317" spans="3:7" ht="15" customHeight="1" x14ac:dyDescent="0.25">
      <c r="C317" s="4180"/>
      <c r="D317" s="349" t="s">
        <v>271</v>
      </c>
      <c r="E317" s="705">
        <v>106120457</v>
      </c>
      <c r="F317" s="155" t="s">
        <v>272</v>
      </c>
      <c r="G317" s="575">
        <v>2</v>
      </c>
    </row>
    <row r="318" spans="3:7" ht="15" customHeight="1" x14ac:dyDescent="0.25">
      <c r="C318" s="4179"/>
      <c r="D318" s="349" t="s">
        <v>287</v>
      </c>
      <c r="E318" s="705">
        <v>106104137</v>
      </c>
      <c r="F318" s="155" t="s">
        <v>492</v>
      </c>
      <c r="G318" s="575">
        <v>3</v>
      </c>
    </row>
    <row r="319" spans="3:7" ht="15" customHeight="1" x14ac:dyDescent="0.25">
      <c r="C319" s="4179"/>
      <c r="D319" s="349"/>
      <c r="E319" s="705">
        <v>106109644</v>
      </c>
      <c r="F319" s="155" t="s">
        <v>493</v>
      </c>
      <c r="G319" s="575">
        <v>1</v>
      </c>
    </row>
    <row r="320" spans="3:7" ht="15" customHeight="1" x14ac:dyDescent="0.25">
      <c r="C320" s="4179"/>
      <c r="D320" s="349" t="s">
        <v>29</v>
      </c>
      <c r="E320" s="705">
        <v>106104129</v>
      </c>
      <c r="F320" s="155" t="s">
        <v>320</v>
      </c>
      <c r="G320" s="575">
        <v>1</v>
      </c>
    </row>
    <row r="321" spans="3:7" ht="15" customHeight="1" x14ac:dyDescent="0.25">
      <c r="C321" s="4179"/>
      <c r="D321" s="349" t="s">
        <v>469</v>
      </c>
      <c r="E321" s="705">
        <v>106104232</v>
      </c>
      <c r="F321" s="155" t="s">
        <v>273</v>
      </c>
      <c r="G321" s="575">
        <v>1</v>
      </c>
    </row>
    <row r="322" spans="3:7" ht="15" customHeight="1" x14ac:dyDescent="0.25">
      <c r="C322" s="4179"/>
      <c r="D322" s="349" t="s">
        <v>289</v>
      </c>
      <c r="E322" s="705">
        <v>106111795</v>
      </c>
      <c r="F322" s="155" t="s">
        <v>756</v>
      </c>
      <c r="G322" s="575">
        <v>1</v>
      </c>
    </row>
    <row r="323" spans="3:7" ht="15" customHeight="1" x14ac:dyDescent="0.25">
      <c r="C323" s="4179"/>
      <c r="D323" s="349" t="s">
        <v>138</v>
      </c>
      <c r="E323" s="705">
        <v>106104091</v>
      </c>
      <c r="F323" s="155" t="s">
        <v>162</v>
      </c>
      <c r="G323" s="575">
        <v>1</v>
      </c>
    </row>
    <row r="324" spans="3:7" ht="15" customHeight="1" x14ac:dyDescent="0.25">
      <c r="C324" s="4179"/>
      <c r="D324" s="349" t="s">
        <v>298</v>
      </c>
      <c r="E324" s="705">
        <v>106105038</v>
      </c>
      <c r="F324" s="155" t="s">
        <v>299</v>
      </c>
      <c r="G324" s="575">
        <v>3</v>
      </c>
    </row>
    <row r="325" spans="3:7" ht="15" customHeight="1" x14ac:dyDescent="0.25">
      <c r="C325" s="4179"/>
      <c r="D325" s="349" t="s">
        <v>323</v>
      </c>
      <c r="E325" s="705">
        <v>106105852</v>
      </c>
      <c r="F325" s="155" t="s">
        <v>300</v>
      </c>
      <c r="G325" s="575">
        <v>3</v>
      </c>
    </row>
    <row r="326" spans="3:7" ht="15" customHeight="1" x14ac:dyDescent="0.25">
      <c r="C326" s="4179"/>
      <c r="D326" s="349" t="s">
        <v>484</v>
      </c>
      <c r="E326" s="705">
        <v>106200745</v>
      </c>
      <c r="F326" s="155" t="s">
        <v>485</v>
      </c>
      <c r="G326" s="575">
        <v>1</v>
      </c>
    </row>
    <row r="327" spans="3:7" ht="15" customHeight="1" x14ac:dyDescent="0.25">
      <c r="C327" s="4179"/>
      <c r="D327" s="155" t="s">
        <v>2</v>
      </c>
      <c r="E327" s="705">
        <v>106200591</v>
      </c>
      <c r="F327" s="155" t="s">
        <v>472</v>
      </c>
      <c r="G327" s="575">
        <v>1</v>
      </c>
    </row>
    <row r="328" spans="3:7" ht="15.75" customHeight="1" thickBot="1" x14ac:dyDescent="0.3">
      <c r="C328" s="4178"/>
      <c r="D328" s="354" t="s">
        <v>438</v>
      </c>
      <c r="E328" s="706">
        <v>106200855</v>
      </c>
      <c r="F328" s="354" t="s">
        <v>757</v>
      </c>
      <c r="G328" s="730">
        <v>1</v>
      </c>
    </row>
    <row r="329" spans="3:7" ht="15.75" thickBot="1" x14ac:dyDescent="0.3"/>
    <row r="330" spans="3:7" ht="18.75" customHeight="1" thickBot="1" x14ac:dyDescent="0.3">
      <c r="C330" s="24"/>
      <c r="D330" s="1802"/>
      <c r="E330" s="4201" t="s">
        <v>1019</v>
      </c>
      <c r="F330" s="4202"/>
      <c r="G330" s="4203"/>
    </row>
    <row r="331" spans="3:7" ht="15.75" thickBot="1" x14ac:dyDescent="0.3">
      <c r="C331" s="4181" t="s">
        <v>79</v>
      </c>
      <c r="D331" s="4184"/>
      <c r="E331" s="697" t="s">
        <v>9</v>
      </c>
      <c r="F331" s="697" t="s">
        <v>1</v>
      </c>
      <c r="G331" s="389" t="s">
        <v>960</v>
      </c>
    </row>
    <row r="332" spans="3:7" ht="15" customHeight="1" x14ac:dyDescent="0.25">
      <c r="C332" s="4177" t="s">
        <v>763</v>
      </c>
      <c r="D332" s="732" t="s">
        <v>764</v>
      </c>
      <c r="E332" s="733">
        <v>106104153</v>
      </c>
      <c r="F332" s="732" t="s">
        <v>275</v>
      </c>
      <c r="G332" s="734">
        <v>1</v>
      </c>
    </row>
    <row r="333" spans="3:7" ht="15" customHeight="1" x14ac:dyDescent="0.25">
      <c r="C333" s="4179"/>
      <c r="D333" s="735"/>
      <c r="E333" s="736">
        <v>106106768</v>
      </c>
      <c r="F333" s="735" t="s">
        <v>765</v>
      </c>
      <c r="G333" s="737">
        <v>1</v>
      </c>
    </row>
    <row r="334" spans="3:7" ht="15" customHeight="1" x14ac:dyDescent="0.25">
      <c r="C334" s="4179"/>
      <c r="D334" s="735"/>
      <c r="E334" s="736"/>
      <c r="F334" s="735" t="s">
        <v>766</v>
      </c>
      <c r="G334" s="737">
        <v>1</v>
      </c>
    </row>
    <row r="335" spans="3:7" ht="15.75" customHeight="1" thickBot="1" x14ac:dyDescent="0.3">
      <c r="C335" s="4179"/>
      <c r="D335" s="735"/>
      <c r="E335" s="736">
        <v>106104208</v>
      </c>
      <c r="F335" s="735" t="s">
        <v>767</v>
      </c>
      <c r="G335" s="738">
        <v>1</v>
      </c>
    </row>
    <row r="336" spans="3:7" ht="15.75" customHeight="1" thickBot="1" x14ac:dyDescent="0.3">
      <c r="C336" s="4179"/>
      <c r="D336" s="739"/>
      <c r="E336" s="4204" t="s">
        <v>768</v>
      </c>
      <c r="F336" s="4204"/>
      <c r="G336" s="4205"/>
    </row>
    <row r="337" spans="3:7" ht="15" customHeight="1" x14ac:dyDescent="0.25">
      <c r="C337" s="4183" t="s">
        <v>769</v>
      </c>
      <c r="D337" s="740" t="s">
        <v>274</v>
      </c>
      <c r="E337" s="741">
        <v>106104164</v>
      </c>
      <c r="F337" s="742" t="s">
        <v>275</v>
      </c>
      <c r="G337" s="2008">
        <v>1</v>
      </c>
    </row>
    <row r="338" spans="3:7" ht="15" customHeight="1" x14ac:dyDescent="0.25">
      <c r="C338" s="4151"/>
      <c r="D338" s="713" t="s">
        <v>276</v>
      </c>
      <c r="E338" s="703" t="s">
        <v>350</v>
      </c>
      <c r="F338" s="714" t="s">
        <v>277</v>
      </c>
      <c r="G338" s="1071">
        <v>1</v>
      </c>
    </row>
    <row r="339" spans="3:7" ht="15" customHeight="1" x14ac:dyDescent="0.25">
      <c r="C339" s="4151"/>
      <c r="D339" s="713" t="s">
        <v>279</v>
      </c>
      <c r="E339" s="703" t="s">
        <v>351</v>
      </c>
      <c r="F339" s="714" t="s">
        <v>280</v>
      </c>
      <c r="G339" s="1071">
        <v>1</v>
      </c>
    </row>
    <row r="340" spans="3:7" ht="15" customHeight="1" x14ac:dyDescent="0.25">
      <c r="C340" s="4151"/>
      <c r="D340" s="713" t="s">
        <v>473</v>
      </c>
      <c r="E340" s="703">
        <v>106104096</v>
      </c>
      <c r="F340" s="714" t="s">
        <v>474</v>
      </c>
      <c r="G340" s="1071">
        <v>1</v>
      </c>
    </row>
    <row r="341" spans="3:7" ht="15.75" customHeight="1" thickBot="1" x14ac:dyDescent="0.3">
      <c r="C341" s="4151"/>
      <c r="D341" s="743" t="s">
        <v>278</v>
      </c>
      <c r="E341" s="699" t="s">
        <v>352</v>
      </c>
      <c r="F341" s="744" t="s">
        <v>304</v>
      </c>
      <c r="G341" s="1587">
        <v>1</v>
      </c>
    </row>
    <row r="342" spans="3:7" ht="15" customHeight="1" x14ac:dyDescent="0.25">
      <c r="C342" s="4183" t="s">
        <v>305</v>
      </c>
      <c r="D342" s="745" t="s">
        <v>770</v>
      </c>
      <c r="E342" s="700">
        <v>106101159</v>
      </c>
      <c r="F342" s="746" t="s">
        <v>771</v>
      </c>
      <c r="G342" s="1588">
        <v>1</v>
      </c>
    </row>
    <row r="343" spans="3:7" ht="15" customHeight="1" x14ac:dyDescent="0.25">
      <c r="C343" s="4151"/>
      <c r="D343" s="745" t="s">
        <v>772</v>
      </c>
      <c r="E343" s="700">
        <v>106104215</v>
      </c>
      <c r="F343" s="746" t="s">
        <v>773</v>
      </c>
      <c r="G343" s="1588">
        <v>1</v>
      </c>
    </row>
    <row r="344" spans="3:7" ht="15.75" customHeight="1" thickBot="1" x14ac:dyDescent="0.3">
      <c r="C344" s="4151"/>
      <c r="D344" s="745" t="s">
        <v>772</v>
      </c>
      <c r="E344" s="700">
        <v>106104092</v>
      </c>
      <c r="F344" s="746" t="s">
        <v>302</v>
      </c>
      <c r="G344" s="1588">
        <v>1</v>
      </c>
    </row>
    <row r="345" spans="3:7" ht="15" customHeight="1" x14ac:dyDescent="0.25">
      <c r="C345" s="4183" t="s">
        <v>315</v>
      </c>
      <c r="D345" s="747" t="s">
        <v>331</v>
      </c>
      <c r="E345" s="704">
        <v>106101018</v>
      </c>
      <c r="F345" s="748" t="s">
        <v>774</v>
      </c>
      <c r="G345" s="1591">
        <v>1</v>
      </c>
    </row>
    <row r="346" spans="3:7" ht="15" customHeight="1" x14ac:dyDescent="0.25">
      <c r="C346" s="4151"/>
      <c r="D346" s="747" t="s">
        <v>772</v>
      </c>
      <c r="E346" s="704">
        <v>106104127</v>
      </c>
      <c r="F346" s="748" t="s">
        <v>775</v>
      </c>
      <c r="G346" s="1591">
        <v>1</v>
      </c>
    </row>
    <row r="347" spans="3:7" ht="15.75" customHeight="1" thickBot="1" x14ac:dyDescent="0.3">
      <c r="C347" s="4151"/>
      <c r="D347" s="747"/>
      <c r="E347" s="704">
        <v>106100918</v>
      </c>
      <c r="F347" s="748" t="s">
        <v>776</v>
      </c>
      <c r="G347" s="1591">
        <v>1</v>
      </c>
    </row>
    <row r="348" spans="3:7" ht="15" customHeight="1" x14ac:dyDescent="0.25">
      <c r="C348" s="4150"/>
      <c r="D348" s="349" t="s">
        <v>271</v>
      </c>
      <c r="E348" s="705"/>
      <c r="F348" s="350" t="s">
        <v>777</v>
      </c>
      <c r="G348" s="575">
        <v>2</v>
      </c>
    </row>
    <row r="349" spans="3:7" ht="15" customHeight="1" x14ac:dyDescent="0.25">
      <c r="C349" s="4151"/>
      <c r="D349" s="349" t="s">
        <v>289</v>
      </c>
      <c r="E349" s="705">
        <v>106111795</v>
      </c>
      <c r="F349" s="350" t="s">
        <v>756</v>
      </c>
      <c r="G349" s="575">
        <v>1</v>
      </c>
    </row>
    <row r="350" spans="3:7" ht="15" customHeight="1" x14ac:dyDescent="0.25">
      <c r="C350" s="4151"/>
      <c r="D350" s="349" t="s">
        <v>778</v>
      </c>
      <c r="E350" s="705">
        <v>106104232</v>
      </c>
      <c r="F350" s="350" t="s">
        <v>779</v>
      </c>
      <c r="G350" s="575">
        <v>1</v>
      </c>
    </row>
    <row r="351" spans="3:7" ht="15" customHeight="1" x14ac:dyDescent="0.25">
      <c r="C351" s="4151"/>
      <c r="D351" s="349"/>
      <c r="E351" s="705">
        <v>106109644</v>
      </c>
      <c r="F351" s="350" t="s">
        <v>493</v>
      </c>
      <c r="G351" s="575">
        <v>1</v>
      </c>
    </row>
    <row r="352" spans="3:7" ht="30" customHeight="1" x14ac:dyDescent="0.25">
      <c r="C352" s="4151"/>
      <c r="D352" s="349" t="s">
        <v>780</v>
      </c>
      <c r="E352" s="705">
        <v>106104137</v>
      </c>
      <c r="F352" s="350" t="s">
        <v>492</v>
      </c>
      <c r="G352" s="575">
        <v>6</v>
      </c>
    </row>
    <row r="353" spans="3:16" ht="15" customHeight="1" x14ac:dyDescent="0.25">
      <c r="C353" s="4151"/>
      <c r="D353" s="349"/>
      <c r="E353" s="705">
        <v>106105038</v>
      </c>
      <c r="F353" s="350" t="s">
        <v>299</v>
      </c>
      <c r="G353" s="575">
        <v>3</v>
      </c>
    </row>
    <row r="354" spans="3:16" ht="15" customHeight="1" x14ac:dyDescent="0.25">
      <c r="C354" s="4151"/>
      <c r="D354" s="349"/>
      <c r="E354" s="705">
        <v>106105852</v>
      </c>
      <c r="F354" s="350" t="s">
        <v>300</v>
      </c>
      <c r="G354" s="575">
        <v>3</v>
      </c>
    </row>
    <row r="355" spans="3:16" ht="15" customHeight="1" x14ac:dyDescent="0.25">
      <c r="C355" s="4151"/>
      <c r="D355" s="349"/>
      <c r="E355" s="705">
        <v>106105037</v>
      </c>
      <c r="F355" s="350" t="s">
        <v>781</v>
      </c>
      <c r="G355" s="575">
        <v>1</v>
      </c>
    </row>
    <row r="356" spans="3:16" ht="15" customHeight="1" x14ac:dyDescent="0.25">
      <c r="C356" s="4151"/>
      <c r="D356" s="349" t="s">
        <v>2</v>
      </c>
      <c r="E356" s="705">
        <v>106200591</v>
      </c>
      <c r="F356" s="350" t="s">
        <v>472</v>
      </c>
      <c r="G356" s="575">
        <v>1</v>
      </c>
    </row>
    <row r="357" spans="3:16" ht="15.75" customHeight="1" thickBot="1" x14ac:dyDescent="0.3">
      <c r="C357" s="4151"/>
      <c r="D357" s="349" t="s">
        <v>438</v>
      </c>
      <c r="E357" s="706">
        <v>106200855</v>
      </c>
      <c r="F357" s="350" t="s">
        <v>757</v>
      </c>
      <c r="G357" s="730">
        <v>1</v>
      </c>
    </row>
    <row r="358" spans="3:16" ht="31.5" customHeight="1" thickBot="1" x14ac:dyDescent="0.3">
      <c r="C358" s="4152"/>
      <c r="D358" s="739"/>
      <c r="E358" s="4198" t="s">
        <v>782</v>
      </c>
      <c r="F358" s="4199"/>
      <c r="G358" s="4200"/>
    </row>
    <row r="359" spans="3:16" x14ac:dyDescent="0.25">
      <c r="N359" s="175"/>
      <c r="O359" s="693"/>
      <c r="P359" s="693"/>
    </row>
    <row r="360" spans="3:16" x14ac:dyDescent="0.25">
      <c r="E360" s="122">
        <v>106110380</v>
      </c>
      <c r="F360" s="155" t="s">
        <v>3726</v>
      </c>
      <c r="N360" s="175"/>
      <c r="O360" s="693"/>
      <c r="P360" s="693"/>
    </row>
  </sheetData>
  <mergeCells count="94">
    <mergeCell ref="C66:C69"/>
    <mergeCell ref="C51:D51"/>
    <mergeCell ref="C52:C55"/>
    <mergeCell ref="C56:C59"/>
    <mergeCell ref="C60:C61"/>
    <mergeCell ref="C62:C63"/>
    <mergeCell ref="B56:B59"/>
    <mergeCell ref="B60:B65"/>
    <mergeCell ref="B52:B55"/>
    <mergeCell ref="C50:E50"/>
    <mergeCell ref="C64:C65"/>
    <mergeCell ref="C105:C106"/>
    <mergeCell ref="C107:C108"/>
    <mergeCell ref="C109:C112"/>
    <mergeCell ref="C113:C126"/>
    <mergeCell ref="C94:D94"/>
    <mergeCell ref="C95:C98"/>
    <mergeCell ref="C99:C102"/>
    <mergeCell ref="C103:C104"/>
    <mergeCell ref="C142:C143"/>
    <mergeCell ref="C144:C147"/>
    <mergeCell ref="C148:C161"/>
    <mergeCell ref="C164:D164"/>
    <mergeCell ref="C129:D129"/>
    <mergeCell ref="C130:C133"/>
    <mergeCell ref="C134:C137"/>
    <mergeCell ref="C138:C139"/>
    <mergeCell ref="C140:C141"/>
    <mergeCell ref="C182:C184"/>
    <mergeCell ref="C185:C188"/>
    <mergeCell ref="C189:C203"/>
    <mergeCell ref="C206:D206"/>
    <mergeCell ref="C165:C169"/>
    <mergeCell ref="C170:C173"/>
    <mergeCell ref="C174:C176"/>
    <mergeCell ref="C177:C179"/>
    <mergeCell ref="C180:C181"/>
    <mergeCell ref="C227:C228"/>
    <mergeCell ref="C229:C232"/>
    <mergeCell ref="C233:C245"/>
    <mergeCell ref="C207:C211"/>
    <mergeCell ref="C212:C215"/>
    <mergeCell ref="C216:C218"/>
    <mergeCell ref="C219:C221"/>
    <mergeCell ref="C222:C223"/>
    <mergeCell ref="C342:C344"/>
    <mergeCell ref="C345:C347"/>
    <mergeCell ref="C348:C358"/>
    <mergeCell ref="E358:G358"/>
    <mergeCell ref="C317:C328"/>
    <mergeCell ref="E330:G330"/>
    <mergeCell ref="C331:D331"/>
    <mergeCell ref="C332:C336"/>
    <mergeCell ref="E336:G336"/>
    <mergeCell ref="C2:E2"/>
    <mergeCell ref="C3:D3"/>
    <mergeCell ref="B4:B7"/>
    <mergeCell ref="C4:C7"/>
    <mergeCell ref="C337:C341"/>
    <mergeCell ref="C303:C305"/>
    <mergeCell ref="C306:C307"/>
    <mergeCell ref="C308:C310"/>
    <mergeCell ref="C311:C312"/>
    <mergeCell ref="C313:C316"/>
    <mergeCell ref="C290:D290"/>
    <mergeCell ref="C291:C295"/>
    <mergeCell ref="C296:C299"/>
    <mergeCell ref="C300:C302"/>
    <mergeCell ref="C264:C265"/>
    <mergeCell ref="C266:C268"/>
    <mergeCell ref="C18:C21"/>
    <mergeCell ref="C44:H44"/>
    <mergeCell ref="B8:B11"/>
    <mergeCell ref="C8:C11"/>
    <mergeCell ref="B12:B17"/>
    <mergeCell ref="C12:C13"/>
    <mergeCell ref="C14:C15"/>
    <mergeCell ref="C16:C17"/>
    <mergeCell ref="E247:G247"/>
    <mergeCell ref="E289:G289"/>
    <mergeCell ref="C88:G88"/>
    <mergeCell ref="E93:G93"/>
    <mergeCell ref="E128:G128"/>
    <mergeCell ref="E163:G163"/>
    <mergeCell ref="E205:G205"/>
    <mergeCell ref="C269:C270"/>
    <mergeCell ref="C271:C274"/>
    <mergeCell ref="C275:C287"/>
    <mergeCell ref="C248:D248"/>
    <mergeCell ref="C249:C253"/>
    <mergeCell ref="C254:C257"/>
    <mergeCell ref="C258:C260"/>
    <mergeCell ref="C261:C263"/>
    <mergeCell ref="C224:C226"/>
  </mergeCells>
  <dataValidations disablePrompts="1" count="2">
    <dataValidation type="list" allowBlank="1" showInputMessage="1" showErrorMessage="1" sqref="F2">
      <formula1>$H$46:$H$47</formula1>
    </dataValidation>
    <dataValidation type="list" allowBlank="1" showInputMessage="1" showErrorMessage="1" sqref="F50">
      <formula1>$H$90:$H$91</formula1>
    </dataValidation>
  </dataValidations>
  <pageMargins left="0.70866141732283472" right="0.70866141732283472" top="0.74803149606299213" bottom="0.74803149606299213" header="0.31496062992125984" footer="0.31496062992125984"/>
  <pageSetup paperSize="9" scale="76" orientation="landscape" r:id="rId1"/>
  <ignoredErrors>
    <ignoredError sqref="J13:L13 J15:L15 I37" formula="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86"/>
  <sheetViews>
    <sheetView topLeftCell="A52" zoomScale="80" zoomScaleNormal="80" workbookViewId="0">
      <selection activeCell="B67" sqref="B67"/>
    </sheetView>
  </sheetViews>
  <sheetFormatPr baseColWidth="10" defaultRowHeight="19.5" customHeight="1" x14ac:dyDescent="0.25"/>
  <cols>
    <col min="1" max="1" width="8.28515625" style="1342" customWidth="1"/>
    <col min="2" max="2" width="17.85546875" style="1342" customWidth="1"/>
    <col min="3" max="3" width="16" style="1343" customWidth="1"/>
    <col min="4" max="4" width="48.42578125" style="1342" bestFit="1" customWidth="1"/>
    <col min="5" max="5" width="54.140625" style="1342" customWidth="1"/>
    <col min="6" max="6" width="6.85546875" style="1342" bestFit="1" customWidth="1"/>
    <col min="7" max="7" width="7.5703125" style="1342" customWidth="1"/>
    <col min="8" max="8" width="5.85546875" style="1343" bestFit="1" customWidth="1"/>
    <col min="9" max="9" width="9.7109375" customWidth="1"/>
    <col min="10" max="10" width="10.28515625" style="1383" customWidth="1"/>
    <col min="11" max="11" width="12.85546875" style="1342" customWidth="1"/>
    <col min="12" max="12" width="16" style="1343" customWidth="1"/>
    <col min="13" max="13" width="15.85546875" style="1343" customWidth="1"/>
    <col min="14" max="14" width="14" customWidth="1"/>
    <col min="15" max="15" width="16.28515625" style="1342" customWidth="1"/>
    <col min="16" max="16" width="16" style="1342" customWidth="1"/>
    <col min="17" max="16384" width="11.42578125" style="1342"/>
  </cols>
  <sheetData>
    <row r="1" spans="1:16" ht="19.5" customHeight="1" thickBot="1" x14ac:dyDescent="0.3">
      <c r="L1" s="3203" t="s">
        <v>2940</v>
      </c>
      <c r="M1" s="3203" t="s">
        <v>1002</v>
      </c>
    </row>
    <row r="2" spans="1:16" ht="19.5" customHeight="1" thickBot="1" x14ac:dyDescent="0.3">
      <c r="A2" s="2606" t="s">
        <v>1279</v>
      </c>
      <c r="B2" s="2607"/>
      <c r="C2" s="2607"/>
      <c r="D2" s="2607"/>
      <c r="E2" s="2607"/>
      <c r="F2" s="4207" t="s">
        <v>1381</v>
      </c>
      <c r="G2" s="4207"/>
      <c r="H2" s="4208"/>
      <c r="L2" s="3240" t="s">
        <v>2944</v>
      </c>
      <c r="M2" s="3240">
        <v>50</v>
      </c>
    </row>
    <row r="3" spans="1:16" s="1574" customFormat="1" ht="45.75" thickBot="1" x14ac:dyDescent="0.3">
      <c r="A3" s="4212" t="s">
        <v>79</v>
      </c>
      <c r="B3" s="4213"/>
      <c r="C3" s="3490" t="s">
        <v>326</v>
      </c>
      <c r="D3" s="4213" t="s">
        <v>250</v>
      </c>
      <c r="E3" s="4213"/>
      <c r="F3" s="3490" t="s">
        <v>1280</v>
      </c>
      <c r="G3" s="2613" t="s">
        <v>1281</v>
      </c>
      <c r="H3" s="2614" t="s">
        <v>1282</v>
      </c>
      <c r="I3" s="3657" t="s">
        <v>1380</v>
      </c>
      <c r="J3" s="3657" t="s">
        <v>3360</v>
      </c>
      <c r="K3" s="3657" t="s">
        <v>745</v>
      </c>
      <c r="L3" s="3799" t="s">
        <v>3039</v>
      </c>
      <c r="M3" s="3242" t="s">
        <v>1007</v>
      </c>
      <c r="N3" s="3242" t="s">
        <v>2980</v>
      </c>
      <c r="O3" s="3242" t="s">
        <v>3175</v>
      </c>
    </row>
    <row r="4" spans="1:16" ht="19.5" customHeight="1" x14ac:dyDescent="0.25">
      <c r="A4" s="4214" t="s">
        <v>124</v>
      </c>
      <c r="B4" s="2608" t="s">
        <v>287</v>
      </c>
      <c r="C4" s="2609">
        <v>106115185</v>
      </c>
      <c r="D4" s="2467" t="s">
        <v>1225</v>
      </c>
      <c r="E4" s="2108" t="s">
        <v>1226</v>
      </c>
      <c r="F4" s="2610">
        <v>3</v>
      </c>
      <c r="G4" s="2611" t="s">
        <v>649</v>
      </c>
      <c r="H4" s="2612"/>
      <c r="I4" s="3347">
        <f>'Lista global'!I149</f>
        <v>1.0777777777777777</v>
      </c>
      <c r="J4" s="3347">
        <f>'Lista global'!P149</f>
        <v>1.3625</v>
      </c>
      <c r="K4" s="3347">
        <f>'Lista global'!Q149</f>
        <v>1.1473684210526318</v>
      </c>
      <c r="L4" s="2728">
        <v>1</v>
      </c>
      <c r="M4" s="3800">
        <f>F4*($M$54+$M$55+$M$56+$M$57+$M$58+$M$59)</f>
        <v>6</v>
      </c>
      <c r="N4" s="3131">
        <f>M4*J4</f>
        <v>8.1750000000000007</v>
      </c>
      <c r="O4" s="3131">
        <f>M4*K4</f>
        <v>6.8842105263157904</v>
      </c>
      <c r="P4" s="1766" t="s">
        <v>3750</v>
      </c>
    </row>
    <row r="5" spans="1:16" ht="19.5" customHeight="1" x14ac:dyDescent="0.25">
      <c r="A5" s="4214"/>
      <c r="B5" s="1415" t="s">
        <v>341</v>
      </c>
      <c r="C5" s="1393">
        <v>106104397</v>
      </c>
      <c r="D5" s="1406" t="s">
        <v>1227</v>
      </c>
      <c r="E5" s="1403" t="s">
        <v>1228</v>
      </c>
      <c r="F5" s="1407">
        <v>1</v>
      </c>
      <c r="G5" s="1405"/>
      <c r="H5" s="1416"/>
      <c r="I5" s="3347">
        <f>'Lista global'!I52</f>
        <v>75.544444444444437</v>
      </c>
      <c r="J5" s="3347">
        <f>'Lista global'!P52</f>
        <v>94.424999999999997</v>
      </c>
      <c r="K5" s="3347">
        <f>'Lista global'!Q52</f>
        <v>79.515789473684222</v>
      </c>
      <c r="L5" s="2728">
        <v>1</v>
      </c>
      <c r="M5" s="3800">
        <f>IF(ROUNDDOWN($M$2/4,0)&lt;L5,L5,ROUNDDOWN($M$2/4,0))</f>
        <v>12</v>
      </c>
      <c r="N5" s="3131">
        <f t="shared" ref="N5:N59" si="0">M5*J5</f>
        <v>1133.0999999999999</v>
      </c>
      <c r="O5" s="3131">
        <f t="shared" ref="O5:O59" si="1">M5*K5</f>
        <v>954.18947368421072</v>
      </c>
      <c r="P5" s="1766" t="s">
        <v>3751</v>
      </c>
    </row>
    <row r="6" spans="1:16" ht="19.5" customHeight="1" x14ac:dyDescent="0.25">
      <c r="A6" s="4214"/>
      <c r="B6" s="1417" t="s">
        <v>1283</v>
      </c>
      <c r="C6" s="1405">
        <v>106112100</v>
      </c>
      <c r="D6" s="1406" t="s">
        <v>1353</v>
      </c>
      <c r="E6" s="1403" t="s">
        <v>1229</v>
      </c>
      <c r="F6" s="1404">
        <v>1</v>
      </c>
      <c r="G6" s="1405" t="s">
        <v>649</v>
      </c>
      <c r="H6" s="1416"/>
      <c r="I6" s="3347">
        <f>'Lista global'!I110</f>
        <v>52.344444444444441</v>
      </c>
      <c r="J6" s="3347">
        <f>'Lista global'!P110</f>
        <v>65.424999999999997</v>
      </c>
      <c r="K6" s="3347">
        <f>'Lista global'!Q110</f>
        <v>55.09473684210527</v>
      </c>
      <c r="L6" s="2728">
        <v>0</v>
      </c>
      <c r="M6" s="3800">
        <f>ROUNDDOWN($M$2/10,0)</f>
        <v>5</v>
      </c>
      <c r="N6" s="3131">
        <f t="shared" si="0"/>
        <v>327.125</v>
      </c>
      <c r="O6" s="3131">
        <f t="shared" si="1"/>
        <v>275.47368421052636</v>
      </c>
      <c r="P6" s="1766" t="s">
        <v>2943</v>
      </c>
    </row>
    <row r="7" spans="1:16" ht="19.5" customHeight="1" x14ac:dyDescent="0.25">
      <c r="A7" s="4214"/>
      <c r="B7" s="1415" t="s">
        <v>106</v>
      </c>
      <c r="C7" s="1393">
        <v>106200539</v>
      </c>
      <c r="D7" s="1406" t="s">
        <v>1230</v>
      </c>
      <c r="E7" s="1403" t="s">
        <v>1231</v>
      </c>
      <c r="F7" s="1407">
        <v>1</v>
      </c>
      <c r="G7" s="1405"/>
      <c r="H7" s="1416"/>
      <c r="I7" s="3347">
        <f>'Lista global'!I178</f>
        <v>13.277777777777777</v>
      </c>
      <c r="J7" s="3347">
        <f>'Lista global'!P178</f>
        <v>33.199999999999996</v>
      </c>
      <c r="K7" s="3347">
        <f>'Lista global'!Q178</f>
        <v>22.133333333333333</v>
      </c>
      <c r="L7" s="2728">
        <v>1</v>
      </c>
      <c r="M7" s="3800">
        <f>IF(ROUNDDOWN($M$2/10,0)&lt;L7,L7,ROUNDDOWN($M$2/10,0))</f>
        <v>5</v>
      </c>
      <c r="N7" s="3131">
        <f t="shared" si="0"/>
        <v>165.99999999999997</v>
      </c>
      <c r="O7" s="3131">
        <f t="shared" si="1"/>
        <v>110.66666666666666</v>
      </c>
      <c r="P7" s="1766" t="s">
        <v>2944</v>
      </c>
    </row>
    <row r="8" spans="1:16" ht="19.5" customHeight="1" x14ac:dyDescent="0.25">
      <c r="A8" s="4214"/>
      <c r="B8" s="1418" t="s">
        <v>1345</v>
      </c>
      <c r="C8" s="1393">
        <v>106203178</v>
      </c>
      <c r="D8" s="1406" t="s">
        <v>1437</v>
      </c>
      <c r="E8" s="1403" t="s">
        <v>1438</v>
      </c>
      <c r="F8" s="1404">
        <v>1</v>
      </c>
      <c r="G8" s="1405" t="s">
        <v>649</v>
      </c>
      <c r="H8" s="1416"/>
      <c r="I8" s="3347">
        <f>'Lista global'!I223</f>
        <v>94.277777777777771</v>
      </c>
      <c r="J8" s="3347">
        <f>'Lista global'!P223</f>
        <v>235.3</v>
      </c>
      <c r="K8" s="3347">
        <f>'Lista global'!Q223</f>
        <v>156.86666666666667</v>
      </c>
      <c r="L8" s="2728">
        <v>1</v>
      </c>
      <c r="M8" s="3800">
        <f>IF(ROUNDDOWN($M$2/10,0)&lt;L8,L8,ROUNDDOWN($M$2/10,0))</f>
        <v>5</v>
      </c>
      <c r="N8" s="3131">
        <f t="shared" si="0"/>
        <v>1176.5</v>
      </c>
      <c r="O8" s="3131">
        <f t="shared" si="1"/>
        <v>784.33333333333337</v>
      </c>
      <c r="P8" s="1766" t="s">
        <v>2945</v>
      </c>
    </row>
    <row r="9" spans="1:16" ht="19.5" customHeight="1" x14ac:dyDescent="0.25">
      <c r="A9" s="4214"/>
      <c r="B9" s="1418" t="s">
        <v>1507</v>
      </c>
      <c r="C9" s="1393">
        <v>106203799</v>
      </c>
      <c r="D9" s="1406" t="s">
        <v>2957</v>
      </c>
      <c r="E9" s="1403" t="s">
        <v>2958</v>
      </c>
      <c r="F9" s="1404">
        <v>1</v>
      </c>
      <c r="G9" s="1405" t="s">
        <v>649</v>
      </c>
      <c r="H9" s="1416"/>
      <c r="I9" s="3347">
        <f>'Lista global'!I228</f>
        <v>20.033333333333335</v>
      </c>
      <c r="J9" s="3347">
        <f>'Lista global'!P228</f>
        <v>50.075000000000003</v>
      </c>
      <c r="K9" s="3347">
        <f>'Lista global'!Q228</f>
        <v>33.38333333333334</v>
      </c>
      <c r="L9" s="2728">
        <v>1</v>
      </c>
      <c r="M9" s="3800">
        <f>IF(ROUNDDOWN($M$2/10,0)&lt;L9,L9,ROUNDDOWN($M$2/10,0))</f>
        <v>5</v>
      </c>
      <c r="N9" s="3131">
        <f t="shared" si="0"/>
        <v>250.375</v>
      </c>
      <c r="O9" s="3131">
        <f t="shared" si="1"/>
        <v>166.91666666666669</v>
      </c>
      <c r="P9" s="1766" t="s">
        <v>2946</v>
      </c>
    </row>
    <row r="10" spans="1:16" ht="19.5" customHeight="1" x14ac:dyDescent="0.25">
      <c r="A10" s="4214"/>
      <c r="B10" s="1415" t="s">
        <v>1284</v>
      </c>
      <c r="C10" s="3558">
        <v>106126857</v>
      </c>
      <c r="D10" s="2724" t="s">
        <v>1896</v>
      </c>
      <c r="E10" s="2749" t="s">
        <v>1511</v>
      </c>
      <c r="F10" s="1407">
        <v>2</v>
      </c>
      <c r="G10" s="1405" t="s">
        <v>649</v>
      </c>
      <c r="H10" s="1416"/>
      <c r="I10" s="3347">
        <f>'Lista global'!I363</f>
        <v>5.56</v>
      </c>
      <c r="J10" s="3347">
        <f>'Lista global'!P363</f>
        <v>6.9499999999999993</v>
      </c>
      <c r="K10" s="3347">
        <f>'Lista global'!Q363</f>
        <v>5.852631578947368</v>
      </c>
      <c r="L10" s="2728">
        <v>1</v>
      </c>
      <c r="M10" s="3800">
        <f>F10*($M$54+$M$55+$M$56+$M$57+$M$58+$M$59)</f>
        <v>4</v>
      </c>
      <c r="N10" s="3131">
        <f t="shared" si="0"/>
        <v>27.799999999999997</v>
      </c>
      <c r="O10" s="3131">
        <f t="shared" si="1"/>
        <v>23.410526315789472</v>
      </c>
    </row>
    <row r="11" spans="1:16" ht="19.5" customHeight="1" thickBot="1" x14ac:dyDescent="0.3">
      <c r="A11" s="4215"/>
      <c r="B11" s="2863" t="s">
        <v>1344</v>
      </c>
      <c r="C11" s="2865">
        <v>106105886</v>
      </c>
      <c r="D11" s="2864" t="s">
        <v>1502</v>
      </c>
      <c r="E11" s="2403" t="s">
        <v>1233</v>
      </c>
      <c r="F11" s="2847">
        <v>2</v>
      </c>
      <c r="G11" s="2865" t="s">
        <v>649</v>
      </c>
      <c r="H11" s="2866"/>
      <c r="I11" s="3347">
        <f>'Lista global'!I72</f>
        <v>3.333333333333333</v>
      </c>
      <c r="J11" s="3347">
        <f>'Lista global'!P72</f>
        <v>4.1624999999999996</v>
      </c>
      <c r="K11" s="3347">
        <f>'Lista global'!Q72</f>
        <v>3.5052631578947371</v>
      </c>
      <c r="L11" s="2728">
        <v>0</v>
      </c>
      <c r="M11" s="3800">
        <f>IF(ROUNDDOWN($M$2/20,0)=L11,1,ROUNDDOWN($M$2/20,0))</f>
        <v>2</v>
      </c>
      <c r="N11" s="3131">
        <f t="shared" si="0"/>
        <v>8.3249999999999993</v>
      </c>
      <c r="O11" s="3131">
        <f t="shared" si="1"/>
        <v>7.0105263157894742</v>
      </c>
    </row>
    <row r="12" spans="1:16" ht="19.5" customHeight="1" x14ac:dyDescent="0.25">
      <c r="A12" s="4216" t="s">
        <v>113</v>
      </c>
      <c r="B12" s="1461" t="s">
        <v>263</v>
      </c>
      <c r="C12" s="1410">
        <v>106104180</v>
      </c>
      <c r="D12" s="1411" t="s">
        <v>1234</v>
      </c>
      <c r="E12" s="1462" t="s">
        <v>1235</v>
      </c>
      <c r="F12" s="1463">
        <v>1</v>
      </c>
      <c r="G12" s="1413"/>
      <c r="H12" s="1414"/>
      <c r="I12" s="3347">
        <f>'Lista global'!I37</f>
        <v>327.90744444444442</v>
      </c>
      <c r="J12" s="3347">
        <f>'Lista global'!P37</f>
        <v>409.88749999999999</v>
      </c>
      <c r="K12" s="3347">
        <f>'Lista global'!Q37</f>
        <v>345.16842105263163</v>
      </c>
      <c r="L12" s="2728">
        <v>1</v>
      </c>
      <c r="M12" s="3800">
        <f>IF(ROUNDDOWN($M$2/20,0)&lt;L12,L12,ROUNDDOWN($M$2/20,0))</f>
        <v>2</v>
      </c>
      <c r="N12" s="3131">
        <f t="shared" si="0"/>
        <v>819.77499999999998</v>
      </c>
      <c r="O12" s="3131">
        <f t="shared" si="1"/>
        <v>690.33684210526326</v>
      </c>
    </row>
    <row r="13" spans="1:16" ht="19.5" customHeight="1" x14ac:dyDescent="0.25">
      <c r="A13" s="4214"/>
      <c r="B13" s="2878" t="s">
        <v>332</v>
      </c>
      <c r="C13" s="2875">
        <v>106104133</v>
      </c>
      <c r="D13" s="2873" t="s">
        <v>1236</v>
      </c>
      <c r="E13" s="2749" t="s">
        <v>1237</v>
      </c>
      <c r="F13" s="2728">
        <v>4</v>
      </c>
      <c r="G13" s="2876"/>
      <c r="H13" s="2879"/>
      <c r="I13" s="3347">
        <f>'Lista global'!I32</f>
        <v>9.5</v>
      </c>
      <c r="J13" s="3347">
        <f>'Lista global'!P32</f>
        <v>11.875</v>
      </c>
      <c r="K13" s="3347">
        <f>'Lista global'!Q32</f>
        <v>10</v>
      </c>
      <c r="L13" s="2728">
        <v>0</v>
      </c>
      <c r="M13" s="3800">
        <f>IF(ROUNDDOWN($M$2/20,0)&lt;=L13,1,ROUNDDOWN($M$2/20,0))</f>
        <v>2</v>
      </c>
      <c r="N13" s="3131">
        <f t="shared" si="0"/>
        <v>23.75</v>
      </c>
      <c r="O13" s="3131">
        <f t="shared" si="1"/>
        <v>20</v>
      </c>
    </row>
    <row r="14" spans="1:16" ht="19.5" customHeight="1" x14ac:dyDescent="0.25">
      <c r="A14" s="4214"/>
      <c r="B14" s="2878" t="s">
        <v>333</v>
      </c>
      <c r="C14" s="2875">
        <v>106106241</v>
      </c>
      <c r="D14" s="2873" t="s">
        <v>1238</v>
      </c>
      <c r="E14" s="2749" t="s">
        <v>2573</v>
      </c>
      <c r="F14" s="2728">
        <v>2</v>
      </c>
      <c r="G14" s="2876"/>
      <c r="H14" s="2879"/>
      <c r="I14" s="3347">
        <f>'Lista global'!I76</f>
        <v>4.5555555555555554</v>
      </c>
      <c r="J14" s="3347">
        <f>'Lista global'!P76</f>
        <v>5.6999999999999993</v>
      </c>
      <c r="K14" s="3347">
        <f>'Lista global'!Q76</f>
        <v>4.8</v>
      </c>
      <c r="L14" s="2728">
        <v>0</v>
      </c>
      <c r="M14" s="3800">
        <f t="shared" ref="M14:M16" si="2">IF(ROUNDDOWN($M$2/20,0)&lt;=L14,1,ROUNDDOWN($M$2/20,0))</f>
        <v>2</v>
      </c>
      <c r="N14" s="3131">
        <f t="shared" si="0"/>
        <v>11.399999999999999</v>
      </c>
      <c r="O14" s="3131">
        <f t="shared" si="1"/>
        <v>9.6</v>
      </c>
    </row>
    <row r="15" spans="1:16" ht="19.5" customHeight="1" x14ac:dyDescent="0.25">
      <c r="A15" s="4214"/>
      <c r="B15" s="2878" t="s">
        <v>334</v>
      </c>
      <c r="C15" s="2875">
        <v>106104209</v>
      </c>
      <c r="D15" s="2873" t="s">
        <v>1239</v>
      </c>
      <c r="E15" s="2749" t="s">
        <v>1240</v>
      </c>
      <c r="F15" s="2728">
        <v>1</v>
      </c>
      <c r="G15" s="2876"/>
      <c r="H15" s="2879"/>
      <c r="I15" s="3347">
        <f>'Lista global'!I40</f>
        <v>7.0555555555555554</v>
      </c>
      <c r="J15" s="3347">
        <f>'Lista global'!P40</f>
        <v>8.8249999999999993</v>
      </c>
      <c r="K15" s="3347">
        <f>'Lista global'!Q40</f>
        <v>7.4315789473684211</v>
      </c>
      <c r="L15" s="2728">
        <v>0</v>
      </c>
      <c r="M15" s="3800">
        <f t="shared" si="2"/>
        <v>2</v>
      </c>
      <c r="N15" s="3131">
        <f t="shared" si="0"/>
        <v>17.649999999999999</v>
      </c>
      <c r="O15" s="3131">
        <f t="shared" si="1"/>
        <v>14.863157894736842</v>
      </c>
    </row>
    <row r="16" spans="1:16" ht="19.5" customHeight="1" thickBot="1" x14ac:dyDescent="0.3">
      <c r="A16" s="4214"/>
      <c r="B16" s="2863" t="s">
        <v>335</v>
      </c>
      <c r="C16" s="3491">
        <v>106104212</v>
      </c>
      <c r="D16" s="2864" t="s">
        <v>1241</v>
      </c>
      <c r="E16" s="2403" t="s">
        <v>1242</v>
      </c>
      <c r="F16" s="2847">
        <v>1</v>
      </c>
      <c r="G16" s="2865"/>
      <c r="H16" s="2866"/>
      <c r="I16" s="3347">
        <f>'Lista global'!I42</f>
        <v>14.449666666666666</v>
      </c>
      <c r="J16" s="3347">
        <f>'Lista global'!P42</f>
        <v>18.062499999999996</v>
      </c>
      <c r="K16" s="3347">
        <f>'Lista global'!Q42</f>
        <v>15.210526315789474</v>
      </c>
      <c r="L16" s="2728">
        <v>0</v>
      </c>
      <c r="M16" s="3800">
        <f t="shared" si="2"/>
        <v>2</v>
      </c>
      <c r="N16" s="3131">
        <f t="shared" si="0"/>
        <v>36.124999999999993</v>
      </c>
      <c r="O16" s="3131">
        <f t="shared" si="1"/>
        <v>30.421052631578949</v>
      </c>
    </row>
    <row r="17" spans="1:15" ht="19.5" customHeight="1" x14ac:dyDescent="0.25">
      <c r="A17" s="4214"/>
      <c r="B17" s="1409" t="s">
        <v>271</v>
      </c>
      <c r="C17" s="1413">
        <v>106112169</v>
      </c>
      <c r="D17" s="1396" t="s">
        <v>1515</v>
      </c>
      <c r="E17" s="1397" t="s">
        <v>1516</v>
      </c>
      <c r="F17" s="1412">
        <v>2</v>
      </c>
      <c r="G17" s="1413" t="s">
        <v>649</v>
      </c>
      <c r="H17" s="1414"/>
      <c r="I17" s="3347">
        <f>'Lista global'!I111</f>
        <v>39.955555555555556</v>
      </c>
      <c r="J17" s="3347">
        <f>'Lista global'!P111</f>
        <v>49.974999999999994</v>
      </c>
      <c r="K17" s="3347">
        <f>'Lista global'!Q111</f>
        <v>42.084210526315786</v>
      </c>
      <c r="L17" s="2728">
        <v>1</v>
      </c>
      <c r="M17" s="3800">
        <f>IF(2*ROUNDUP($M$2/10,0)&lt;L17,L17,2*ROUNDUP($M$2/10,0))</f>
        <v>10</v>
      </c>
      <c r="N17" s="3131">
        <f t="shared" si="0"/>
        <v>499.74999999999994</v>
      </c>
      <c r="O17" s="3131">
        <f t="shared" si="1"/>
        <v>420.84210526315786</v>
      </c>
    </row>
    <row r="18" spans="1:15" s="1360" customFormat="1" ht="19.5" customHeight="1" x14ac:dyDescent="0.25">
      <c r="A18" s="4214"/>
      <c r="B18" s="2881" t="s">
        <v>336</v>
      </c>
      <c r="C18" s="2763">
        <v>106112043</v>
      </c>
      <c r="D18" s="2724" t="s">
        <v>2950</v>
      </c>
      <c r="E18" s="2831" t="s">
        <v>2951</v>
      </c>
      <c r="F18" s="2763">
        <v>1</v>
      </c>
      <c r="G18" s="2877"/>
      <c r="H18" s="2882"/>
      <c r="I18" s="3347">
        <f>'Lista global'!I303</f>
        <v>186.88888888888889</v>
      </c>
      <c r="J18" s="3347">
        <f>'Lista global'!P303</f>
        <v>233.61249999999998</v>
      </c>
      <c r="K18" s="3347">
        <f>'Lista global'!Q303</f>
        <v>196.72631578947369</v>
      </c>
      <c r="L18" s="2728">
        <v>1</v>
      </c>
      <c r="M18" s="3800">
        <f>IF(ROUNDUP($M$2*F18/10,0)&lt;L18,L18,ROUNDUP($M$2*F18/10,0))</f>
        <v>5</v>
      </c>
      <c r="N18" s="3131">
        <f t="shared" si="0"/>
        <v>1168.0625</v>
      </c>
      <c r="O18" s="3131">
        <f t="shared" si="1"/>
        <v>983.63157894736844</v>
      </c>
    </row>
    <row r="19" spans="1:15" s="1360" customFormat="1" ht="19.5" customHeight="1" x14ac:dyDescent="0.25">
      <c r="A19" s="4214"/>
      <c r="B19" s="2881" t="s">
        <v>24</v>
      </c>
      <c r="C19" s="2763">
        <v>106117762</v>
      </c>
      <c r="D19" s="2873" t="s">
        <v>2952</v>
      </c>
      <c r="E19" s="2831" t="s">
        <v>2953</v>
      </c>
      <c r="F19" s="2763">
        <v>1</v>
      </c>
      <c r="G19" s="2877"/>
      <c r="H19" s="2882"/>
      <c r="I19" s="3347">
        <f>'Lista global'!I304</f>
        <v>5.6666666666666661</v>
      </c>
      <c r="J19" s="3347">
        <f>'Lista global'!P304</f>
        <v>7.0874999999999995</v>
      </c>
      <c r="K19" s="3347">
        <f>'Lista global'!Q304</f>
        <v>5.9684210526315793</v>
      </c>
      <c r="L19" s="2728">
        <v>1</v>
      </c>
      <c r="M19" s="3800">
        <f>M18</f>
        <v>5</v>
      </c>
      <c r="N19" s="3131">
        <f t="shared" si="0"/>
        <v>35.4375</v>
      </c>
      <c r="O19" s="3131">
        <f t="shared" si="1"/>
        <v>29.842105263157897</v>
      </c>
    </row>
    <row r="20" spans="1:15" ht="19.5" customHeight="1" thickBot="1" x14ac:dyDescent="0.3">
      <c r="A20" s="4215"/>
      <c r="B20" s="2883" t="s">
        <v>261</v>
      </c>
      <c r="C20" s="2884">
        <v>106114701</v>
      </c>
      <c r="D20" s="2104" t="s">
        <v>1243</v>
      </c>
      <c r="E20" s="2105" t="s">
        <v>1244</v>
      </c>
      <c r="F20" s="2885">
        <v>1</v>
      </c>
      <c r="G20" s="2886" t="s">
        <v>649</v>
      </c>
      <c r="H20" s="2887"/>
      <c r="I20" s="3347">
        <f>'Lista global'!I146</f>
        <v>74.277777777777771</v>
      </c>
      <c r="J20" s="3347">
        <f>'Lista global'!P146</f>
        <v>92.85</v>
      </c>
      <c r="K20" s="3347">
        <f>'Lista global'!Q146</f>
        <v>78.189473684210526</v>
      </c>
      <c r="L20" s="2728">
        <v>1</v>
      </c>
      <c r="M20" s="3800">
        <f>IF(ROUNDDOWN($M$2/4,0)&lt;L20,L20,ROUNDDOWN($M$2/4,0))</f>
        <v>12</v>
      </c>
      <c r="N20" s="3131">
        <f t="shared" si="0"/>
        <v>1114.1999999999998</v>
      </c>
      <c r="O20" s="3131">
        <f t="shared" si="1"/>
        <v>938.27368421052631</v>
      </c>
    </row>
    <row r="21" spans="1:15" ht="19.5" customHeight="1" x14ac:dyDescent="0.25">
      <c r="A21" s="4217" t="s">
        <v>137</v>
      </c>
      <c r="B21" s="2608" t="s">
        <v>844</v>
      </c>
      <c r="C21" s="2609">
        <v>106202972</v>
      </c>
      <c r="D21" s="2467" t="s">
        <v>1245</v>
      </c>
      <c r="E21" s="2108" t="s">
        <v>569</v>
      </c>
      <c r="F21" s="2610">
        <v>1</v>
      </c>
      <c r="G21" s="2611" t="s">
        <v>649</v>
      </c>
      <c r="H21" s="2612"/>
      <c r="I21" s="3347">
        <f>'Lista global'!I221</f>
        <v>11.755555555555555</v>
      </c>
      <c r="J21" s="3347">
        <f>'Lista global'!P221</f>
        <v>14.7</v>
      </c>
      <c r="K21" s="3347">
        <f>'Lista global'!Q221</f>
        <v>12.378947368421054</v>
      </c>
      <c r="L21" s="2728">
        <v>0</v>
      </c>
      <c r="M21" s="3800">
        <v>1</v>
      </c>
      <c r="N21" s="3131">
        <f t="shared" si="0"/>
        <v>14.7</v>
      </c>
      <c r="O21" s="3131">
        <f t="shared" si="1"/>
        <v>12.378947368421054</v>
      </c>
    </row>
    <row r="22" spans="1:15" ht="19.5" customHeight="1" x14ac:dyDescent="0.25">
      <c r="A22" s="4218"/>
      <c r="B22" s="1434" t="s">
        <v>337</v>
      </c>
      <c r="C22" s="1393">
        <v>106112525</v>
      </c>
      <c r="D22" s="1402" t="s">
        <v>1246</v>
      </c>
      <c r="E22" s="1403" t="s">
        <v>1247</v>
      </c>
      <c r="F22" s="1404">
        <v>2</v>
      </c>
      <c r="G22" s="1405" t="s">
        <v>649</v>
      </c>
      <c r="H22" s="1416"/>
      <c r="I22" s="3347">
        <f>'Lista global'!I113</f>
        <v>77.73333333333332</v>
      </c>
      <c r="J22" s="3347">
        <f>'Lista global'!P113</f>
        <v>97.162499999999994</v>
      </c>
      <c r="K22" s="3347">
        <f>'Lista global'!Q113</f>
        <v>81.821052631578951</v>
      </c>
      <c r="L22" s="2728">
        <v>1</v>
      </c>
      <c r="M22" s="3800">
        <f>IF(ROUNDUP($M$2*F22/10,0)&lt;L22,L22,ROUNDUP($M$2*F22/10,0))</f>
        <v>10</v>
      </c>
      <c r="N22" s="3131">
        <f t="shared" si="0"/>
        <v>971.625</v>
      </c>
      <c r="O22" s="3131">
        <f t="shared" si="1"/>
        <v>818.21052631578948</v>
      </c>
    </row>
    <row r="23" spans="1:15" ht="19.5" customHeight="1" x14ac:dyDescent="0.25">
      <c r="A23" s="4218"/>
      <c r="B23" s="1418" t="s">
        <v>339</v>
      </c>
      <c r="C23" s="1393">
        <v>106114697</v>
      </c>
      <c r="D23" s="1402" t="s">
        <v>1248</v>
      </c>
      <c r="E23" s="1403" t="s">
        <v>1249</v>
      </c>
      <c r="F23" s="1404">
        <v>2</v>
      </c>
      <c r="G23" s="1405" t="s">
        <v>649</v>
      </c>
      <c r="H23" s="1416"/>
      <c r="I23" s="3347">
        <f>'Lista global'!I144</f>
        <v>1.0666666666666667</v>
      </c>
      <c r="J23" s="3347">
        <f>'Lista global'!P144</f>
        <v>1.35</v>
      </c>
      <c r="K23" s="3347">
        <f>'Lista global'!Q144</f>
        <v>1.1368421052631581</v>
      </c>
      <c r="L23" s="2728">
        <v>1</v>
      </c>
      <c r="M23" s="3800">
        <f>M22</f>
        <v>10</v>
      </c>
      <c r="N23" s="3131">
        <f t="shared" si="0"/>
        <v>13.5</v>
      </c>
      <c r="O23" s="3131">
        <f t="shared" si="1"/>
        <v>11.368421052631581</v>
      </c>
    </row>
    <row r="24" spans="1:15" ht="19.5" customHeight="1" thickBot="1" x14ac:dyDescent="0.3">
      <c r="A24" s="4219"/>
      <c r="B24" s="1423" t="s">
        <v>196</v>
      </c>
      <c r="C24" s="1427">
        <v>106201346</v>
      </c>
      <c r="D24" s="1420" t="s">
        <v>1525</v>
      </c>
      <c r="E24" s="1430" t="s">
        <v>1526</v>
      </c>
      <c r="F24" s="1425">
        <v>1</v>
      </c>
      <c r="G24" s="1424"/>
      <c r="H24" s="1426"/>
      <c r="I24" s="3347">
        <f>'Lista global'!I199</f>
        <v>29.488888888888887</v>
      </c>
      <c r="J24" s="3347">
        <f>'Lista global'!P199</f>
        <v>73.724999999999994</v>
      </c>
      <c r="K24" s="3347">
        <f>'Lista global'!Q199</f>
        <v>49.15</v>
      </c>
      <c r="L24" s="2728">
        <v>1</v>
      </c>
      <c r="M24" s="3800">
        <f>IF(ROUNDDOWN($M$2/4,0)&lt;L24,L24,ROUNDDOWN($M$2/4,0))</f>
        <v>12</v>
      </c>
      <c r="N24" s="3131">
        <f t="shared" si="0"/>
        <v>884.69999999999993</v>
      </c>
      <c r="O24" s="3131">
        <f t="shared" si="1"/>
        <v>589.79999999999995</v>
      </c>
    </row>
    <row r="25" spans="1:15" ht="19.5" customHeight="1" thickBot="1" x14ac:dyDescent="0.3">
      <c r="A25" s="4209" t="s">
        <v>1285</v>
      </c>
      <c r="B25" s="1409" t="s">
        <v>21</v>
      </c>
      <c r="C25" s="1413">
        <v>106113580</v>
      </c>
      <c r="D25" s="1411" t="s">
        <v>1476</v>
      </c>
      <c r="E25" s="1397" t="s">
        <v>1477</v>
      </c>
      <c r="F25" s="1412">
        <v>1</v>
      </c>
      <c r="G25" s="1413" t="s">
        <v>1471</v>
      </c>
      <c r="H25" s="1414"/>
      <c r="I25" s="3347">
        <f>'Lista global'!I122</f>
        <v>354.62222222222226</v>
      </c>
      <c r="J25" s="3347">
        <f>'Lista global'!P122</f>
        <v>443.33749999999998</v>
      </c>
      <c r="K25" s="3347">
        <f>'Lista global'!Q122</f>
        <v>373.3368421052632</v>
      </c>
      <c r="L25" s="2728">
        <v>1</v>
      </c>
      <c r="M25" s="3800">
        <f>IF(ROUNDDOWN($M$2/20,0)&lt;L25,L25,ROUNDDOWN($M$2/20,0))</f>
        <v>2</v>
      </c>
      <c r="N25" s="3131">
        <f t="shared" si="0"/>
        <v>886.67499999999995</v>
      </c>
      <c r="O25" s="3131">
        <f t="shared" si="1"/>
        <v>746.6736842105264</v>
      </c>
    </row>
    <row r="26" spans="1:15" ht="19.5" customHeight="1" x14ac:dyDescent="0.25">
      <c r="A26" s="4210"/>
      <c r="B26" s="1409" t="s">
        <v>21</v>
      </c>
      <c r="C26" s="1413">
        <v>106204083</v>
      </c>
      <c r="D26" s="1411" t="s">
        <v>1357</v>
      </c>
      <c r="E26" s="1397" t="s">
        <v>1358</v>
      </c>
      <c r="F26" s="1412">
        <v>1</v>
      </c>
      <c r="G26" s="1413" t="s">
        <v>1520</v>
      </c>
      <c r="H26" s="1414"/>
      <c r="I26" s="3347">
        <f>'Lista global'!I230</f>
        <v>338.38888888888891</v>
      </c>
      <c r="J26" s="3347">
        <f>'Lista global'!P230</f>
        <v>443.33749999999998</v>
      </c>
      <c r="K26" s="3347">
        <f>'Lista global'!Q230</f>
        <v>373.3368421052632</v>
      </c>
      <c r="L26" s="2728" t="s">
        <v>0</v>
      </c>
      <c r="M26" s="3798">
        <v>0</v>
      </c>
      <c r="N26" s="3131">
        <f t="shared" si="0"/>
        <v>0</v>
      </c>
      <c r="O26" s="3131">
        <f t="shared" si="1"/>
        <v>0</v>
      </c>
    </row>
    <row r="27" spans="1:15" ht="19.5" customHeight="1" x14ac:dyDescent="0.25">
      <c r="A27" s="4210"/>
      <c r="B27" s="1418" t="s">
        <v>21</v>
      </c>
      <c r="C27" s="1393">
        <v>106104119</v>
      </c>
      <c r="D27" s="1402" t="s">
        <v>1363</v>
      </c>
      <c r="E27" s="1403" t="s">
        <v>1363</v>
      </c>
      <c r="F27" s="1404">
        <v>1</v>
      </c>
      <c r="G27" s="1405">
        <v>2</v>
      </c>
      <c r="H27" s="1416"/>
      <c r="I27" s="3347">
        <f>'Lista global'!I26</f>
        <v>244.0888888888889</v>
      </c>
      <c r="J27" s="3347">
        <f>'Lista global'!P26</f>
        <v>412.58749999999998</v>
      </c>
      <c r="K27" s="3347">
        <f>'Lista global'!Q26</f>
        <v>347.44210526315788</v>
      </c>
      <c r="L27" s="2728" t="s">
        <v>0</v>
      </c>
      <c r="M27" s="3798">
        <v>0</v>
      </c>
      <c r="N27" s="3131">
        <f t="shared" si="0"/>
        <v>0</v>
      </c>
      <c r="O27" s="3131">
        <f t="shared" si="1"/>
        <v>0</v>
      </c>
    </row>
    <row r="28" spans="1:15" ht="19.5" customHeight="1" x14ac:dyDescent="0.25">
      <c r="A28" s="4210"/>
      <c r="B28" s="1418" t="s">
        <v>281</v>
      </c>
      <c r="C28" s="1393">
        <v>106104084</v>
      </c>
      <c r="D28" s="1402" t="s">
        <v>1354</v>
      </c>
      <c r="E28" s="1403" t="s">
        <v>1355</v>
      </c>
      <c r="F28" s="1407">
        <v>1</v>
      </c>
      <c r="G28" s="1405">
        <v>2</v>
      </c>
      <c r="H28" s="1416"/>
      <c r="I28" s="3347">
        <f>'Lista global'!I13</f>
        <v>48.833333333333336</v>
      </c>
      <c r="J28" s="3347">
        <f>'Lista global'!P13</f>
        <v>61.074999999999996</v>
      </c>
      <c r="K28" s="3347">
        <f>'Lista global'!Q13</f>
        <v>51.431578947368422</v>
      </c>
      <c r="L28" s="2728" t="s">
        <v>0</v>
      </c>
      <c r="M28" s="3798">
        <v>0</v>
      </c>
      <c r="N28" s="3131">
        <f t="shared" si="0"/>
        <v>0</v>
      </c>
      <c r="O28" s="3131">
        <f t="shared" si="1"/>
        <v>0</v>
      </c>
    </row>
    <row r="29" spans="1:15" ht="19.5" customHeight="1" x14ac:dyDescent="0.25">
      <c r="A29" s="4210"/>
      <c r="B29" s="1418" t="s">
        <v>283</v>
      </c>
      <c r="C29" s="1393">
        <v>106104094</v>
      </c>
      <c r="D29" s="1402" t="s">
        <v>1575</v>
      </c>
      <c r="E29" s="1403" t="s">
        <v>1576</v>
      </c>
      <c r="F29" s="1404">
        <v>1</v>
      </c>
      <c r="G29" s="1405">
        <v>2</v>
      </c>
      <c r="H29" s="1416"/>
      <c r="I29" s="3347">
        <f>'Lista global'!I18</f>
        <v>2.3666666666666667</v>
      </c>
      <c r="J29" s="3347">
        <f>'Lista global'!P18</f>
        <v>2.9624999999999999</v>
      </c>
      <c r="K29" s="3347">
        <f>'Lista global'!Q18</f>
        <v>2.4947368421052634</v>
      </c>
      <c r="L29" s="2728" t="s">
        <v>0</v>
      </c>
      <c r="M29" s="3798">
        <v>0</v>
      </c>
      <c r="N29" s="3131">
        <f t="shared" si="0"/>
        <v>0</v>
      </c>
      <c r="O29" s="3131">
        <f t="shared" si="1"/>
        <v>0</v>
      </c>
    </row>
    <row r="30" spans="1:15" ht="19.5" customHeight="1" x14ac:dyDescent="0.25">
      <c r="A30" s="4210"/>
      <c r="B30" s="1433" t="s">
        <v>64</v>
      </c>
      <c r="C30" s="1431">
        <v>106104126</v>
      </c>
      <c r="D30" s="1402" t="s">
        <v>1505</v>
      </c>
      <c r="E30" s="1403" t="s">
        <v>1506</v>
      </c>
      <c r="F30" s="1404">
        <v>1</v>
      </c>
      <c r="G30" s="1405">
        <v>2</v>
      </c>
      <c r="H30" s="1416"/>
      <c r="I30" s="3347">
        <f>'Lista global'!I27</f>
        <v>19.033333333333331</v>
      </c>
      <c r="J30" s="3347">
        <f>'Lista global'!P27</f>
        <v>23.95</v>
      </c>
      <c r="K30" s="3347">
        <f>'Lista global'!Q27</f>
        <v>20.168421052631579</v>
      </c>
      <c r="L30" s="2728" t="s">
        <v>0</v>
      </c>
      <c r="M30" s="3798">
        <v>0</v>
      </c>
      <c r="N30" s="3131">
        <f t="shared" si="0"/>
        <v>0</v>
      </c>
      <c r="O30" s="3131">
        <f t="shared" si="1"/>
        <v>0</v>
      </c>
    </row>
    <row r="31" spans="1:15" ht="20.25" customHeight="1" thickBot="1" x14ac:dyDescent="0.3">
      <c r="A31" s="4210"/>
      <c r="B31" s="1435"/>
      <c r="C31" s="1436">
        <v>106114314</v>
      </c>
      <c r="D31" s="1437" t="s">
        <v>1356</v>
      </c>
      <c r="E31" s="1438" t="s">
        <v>2579</v>
      </c>
      <c r="F31" s="1429">
        <v>6</v>
      </c>
      <c r="G31" s="1424">
        <v>2</v>
      </c>
      <c r="H31" s="1426"/>
      <c r="I31" s="3347">
        <f>'Lista global'!I142</f>
        <v>3.6777777777777776</v>
      </c>
      <c r="J31" s="3347">
        <f>'Lista global'!P142</f>
        <v>4.5999999999999996</v>
      </c>
      <c r="K31" s="3347">
        <f>'Lista global'!Q142</f>
        <v>3.8736842105263163</v>
      </c>
      <c r="L31" s="2728" t="s">
        <v>0</v>
      </c>
      <c r="M31" s="3798">
        <v>0</v>
      </c>
      <c r="N31" s="3131">
        <f t="shared" si="0"/>
        <v>0</v>
      </c>
      <c r="O31" s="3131">
        <f t="shared" si="1"/>
        <v>0</v>
      </c>
    </row>
    <row r="32" spans="1:15" s="1351" customFormat="1" ht="19.5" customHeight="1" x14ac:dyDescent="0.25">
      <c r="A32" s="4210"/>
      <c r="B32" s="1439" t="s">
        <v>21</v>
      </c>
      <c r="C32" s="1440">
        <v>106203894</v>
      </c>
      <c r="D32" s="1411" t="s">
        <v>1253</v>
      </c>
      <c r="E32" s="1441" t="s">
        <v>1254</v>
      </c>
      <c r="F32" s="1442">
        <v>1</v>
      </c>
      <c r="G32" s="1440" t="s">
        <v>1520</v>
      </c>
      <c r="H32" s="1443"/>
      <c r="I32" s="3347">
        <f>'Lista global'!I229</f>
        <v>354.62222222222226</v>
      </c>
      <c r="J32" s="3347">
        <f>'Lista global'!P229</f>
        <v>443.33749999999998</v>
      </c>
      <c r="K32" s="3347">
        <f>'Lista global'!Q229</f>
        <v>373.3368421052632</v>
      </c>
      <c r="L32" s="2728" t="s">
        <v>0</v>
      </c>
      <c r="M32" s="3798">
        <v>0</v>
      </c>
      <c r="N32" s="3131">
        <f t="shared" si="0"/>
        <v>0</v>
      </c>
      <c r="O32" s="3131">
        <f t="shared" si="1"/>
        <v>0</v>
      </c>
    </row>
    <row r="33" spans="1:15" ht="19.5" customHeight="1" x14ac:dyDescent="0.25">
      <c r="A33" s="4210"/>
      <c r="B33" s="1444" t="s">
        <v>1256</v>
      </c>
      <c r="C33" s="1431">
        <v>106113578</v>
      </c>
      <c r="D33" s="1402" t="s">
        <v>1258</v>
      </c>
      <c r="E33" s="1403" t="s">
        <v>1258</v>
      </c>
      <c r="F33" s="1404">
        <v>1</v>
      </c>
      <c r="G33" s="1405">
        <v>2</v>
      </c>
      <c r="H33" s="1416"/>
      <c r="I33" s="3347">
        <f>'Lista global'!I121</f>
        <v>330.06666666666666</v>
      </c>
      <c r="J33" s="3347">
        <f>'Lista global'!P121</f>
        <v>412.58749999999998</v>
      </c>
      <c r="K33" s="3347">
        <f>'Lista global'!Q121</f>
        <v>347.44210526315788</v>
      </c>
      <c r="L33" s="2728" t="s">
        <v>0</v>
      </c>
      <c r="M33" s="3798">
        <v>0</v>
      </c>
      <c r="N33" s="3131">
        <f t="shared" si="0"/>
        <v>0</v>
      </c>
      <c r="O33" s="3131">
        <f t="shared" si="1"/>
        <v>0</v>
      </c>
    </row>
    <row r="34" spans="1:15" s="1346" customFormat="1" ht="19.5" customHeight="1" thickBot="1" x14ac:dyDescent="0.3">
      <c r="A34" s="4210"/>
      <c r="B34" s="1435"/>
      <c r="C34" s="1436">
        <v>106116202</v>
      </c>
      <c r="D34" s="1445" t="s">
        <v>1259</v>
      </c>
      <c r="E34" s="1428" t="s">
        <v>2581</v>
      </c>
      <c r="F34" s="1436">
        <v>6</v>
      </c>
      <c r="G34" s="1446">
        <v>2</v>
      </c>
      <c r="H34" s="1447"/>
      <c r="I34" s="3347">
        <f>'Lista global'!I151</f>
        <v>3.8111111111111113</v>
      </c>
      <c r="J34" s="3347">
        <f>'Lista global'!P151</f>
        <v>4.7625000000000002</v>
      </c>
      <c r="K34" s="3347">
        <f>'Lista global'!Q151</f>
        <v>4.0105263157894742</v>
      </c>
      <c r="L34" s="2728" t="s">
        <v>0</v>
      </c>
      <c r="M34" s="3798">
        <v>0</v>
      </c>
      <c r="N34" s="3131">
        <f t="shared" si="0"/>
        <v>0</v>
      </c>
      <c r="O34" s="3131">
        <f t="shared" si="1"/>
        <v>0</v>
      </c>
    </row>
    <row r="35" spans="1:15" ht="19.5" customHeight="1" x14ac:dyDescent="0.25">
      <c r="A35" s="4209" t="s">
        <v>1338</v>
      </c>
      <c r="B35" s="1409" t="s">
        <v>65</v>
      </c>
      <c r="C35" s="1449">
        <v>106202886</v>
      </c>
      <c r="D35" s="1411" t="s">
        <v>1305</v>
      </c>
      <c r="E35" s="1397" t="s">
        <v>1306</v>
      </c>
      <c r="F35" s="1412">
        <v>1</v>
      </c>
      <c r="G35" s="1413" t="s">
        <v>1471</v>
      </c>
      <c r="H35" s="1414"/>
      <c r="I35" s="3347">
        <f>'Lista global'!I219</f>
        <v>46.755555555555553</v>
      </c>
      <c r="J35" s="3347">
        <f>'Lista global'!P219</f>
        <v>58.449999999999996</v>
      </c>
      <c r="K35" s="3347">
        <f>'Lista global'!Q219</f>
        <v>49.221052631578949</v>
      </c>
      <c r="L35" s="2728">
        <v>1</v>
      </c>
      <c r="M35" s="3800">
        <f>IF(ROUNDDOWN($M$2/12,0)&lt;L35,L35,ROUNDDOWN($M$2/12,0))</f>
        <v>4</v>
      </c>
      <c r="N35" s="3131">
        <f t="shared" si="0"/>
        <v>233.79999999999998</v>
      </c>
      <c r="O35" s="3131">
        <f t="shared" si="1"/>
        <v>196.8842105263158</v>
      </c>
    </row>
    <row r="36" spans="1:15" s="1351" customFormat="1" ht="19.5" customHeight="1" x14ac:dyDescent="0.25">
      <c r="A36" s="4210"/>
      <c r="B36" s="1433" t="s">
        <v>285</v>
      </c>
      <c r="C36" s="1448">
        <v>106202883</v>
      </c>
      <c r="D36" s="1402" t="s">
        <v>1303</v>
      </c>
      <c r="E36" s="1408" t="s">
        <v>1304</v>
      </c>
      <c r="F36" s="1431">
        <v>1</v>
      </c>
      <c r="G36" s="1405" t="s">
        <v>1471</v>
      </c>
      <c r="H36" s="1450"/>
      <c r="I36" s="3347">
        <f>'Lista global'!I217</f>
        <v>21.977777777777778</v>
      </c>
      <c r="J36" s="3347">
        <f>'Lista global'!P217</f>
        <v>27.474999999999998</v>
      </c>
      <c r="K36" s="3347">
        <f>'Lista global'!Q217</f>
        <v>23.13684210526316</v>
      </c>
      <c r="L36" s="2728">
        <v>1</v>
      </c>
      <c r="M36" s="3800">
        <f t="shared" ref="M36:M37" si="3">IF(ROUNDDOWN($M$2/12,0)&lt;L36,L36,ROUNDDOWN($M$2/12,0))</f>
        <v>4</v>
      </c>
      <c r="N36" s="3131">
        <f t="shared" si="0"/>
        <v>109.89999999999999</v>
      </c>
      <c r="O36" s="3131">
        <f t="shared" si="1"/>
        <v>92.547368421052639</v>
      </c>
    </row>
    <row r="37" spans="1:15" ht="19.5" customHeight="1" thickBot="1" x14ac:dyDescent="0.3">
      <c r="A37" s="4211"/>
      <c r="B37" s="1451" t="s">
        <v>286</v>
      </c>
      <c r="C37" s="1452">
        <v>106202884</v>
      </c>
      <c r="D37" s="1445" t="s">
        <v>1307</v>
      </c>
      <c r="E37" s="1428" t="s">
        <v>1308</v>
      </c>
      <c r="F37" s="1429">
        <v>1</v>
      </c>
      <c r="G37" s="1424" t="s">
        <v>1471</v>
      </c>
      <c r="H37" s="1426"/>
      <c r="I37" s="3347">
        <f>'Lista global'!I218</f>
        <v>27.244444444444444</v>
      </c>
      <c r="J37" s="3347">
        <f>'Lista global'!P218</f>
        <v>34.1</v>
      </c>
      <c r="K37" s="3347">
        <f>'Lista global'!Q218</f>
        <v>28.715789473684215</v>
      </c>
      <c r="L37" s="2728">
        <v>1</v>
      </c>
      <c r="M37" s="3800">
        <f t="shared" si="3"/>
        <v>4</v>
      </c>
      <c r="N37" s="3131">
        <f t="shared" si="0"/>
        <v>136.4</v>
      </c>
      <c r="O37" s="3131">
        <f t="shared" si="1"/>
        <v>114.86315789473686</v>
      </c>
    </row>
    <row r="38" spans="1:15" ht="19.5" customHeight="1" thickBot="1" x14ac:dyDescent="0.3">
      <c r="A38" s="4209" t="s">
        <v>1286</v>
      </c>
      <c r="B38" s="1409" t="s">
        <v>71</v>
      </c>
      <c r="C38" s="1449">
        <v>106113624</v>
      </c>
      <c r="D38" s="1411" t="s">
        <v>1870</v>
      </c>
      <c r="E38" s="1397" t="s">
        <v>1871</v>
      </c>
      <c r="F38" s="1412">
        <v>1</v>
      </c>
      <c r="G38" s="1413" t="s">
        <v>1471</v>
      </c>
      <c r="H38" s="1414"/>
      <c r="I38" s="3801">
        <f>'Lista global'!I130</f>
        <v>713.15555555555557</v>
      </c>
      <c r="J38" s="3801">
        <f>'Lista global'!P130</f>
        <v>891.44999999999993</v>
      </c>
      <c r="K38" s="3801">
        <f>'Lista global'!Q130</f>
        <v>750.69473684210527</v>
      </c>
      <c r="L38" s="2728">
        <v>1</v>
      </c>
      <c r="M38" s="3800">
        <f>IF(ROUNDDOWN($M$2/20,0)&lt;L38,L38,ROUNDDOWN($M$2/20,0))</f>
        <v>2</v>
      </c>
      <c r="N38" s="3131">
        <f t="shared" si="0"/>
        <v>1782.8999999999999</v>
      </c>
      <c r="O38" s="3131">
        <f t="shared" si="1"/>
        <v>1501.3894736842105</v>
      </c>
    </row>
    <row r="39" spans="1:15" ht="19.5" hidden="1" customHeight="1" x14ac:dyDescent="0.25">
      <c r="A39" s="4210"/>
      <c r="B39" s="1409" t="s">
        <v>71</v>
      </c>
      <c r="C39" s="1449">
        <v>106113621</v>
      </c>
      <c r="D39" s="1454" t="s">
        <v>1359</v>
      </c>
      <c r="E39" s="1455" t="s">
        <v>1360</v>
      </c>
      <c r="F39" s="1412">
        <v>1</v>
      </c>
      <c r="G39" s="1413" t="s">
        <v>1520</v>
      </c>
      <c r="H39" s="1414"/>
      <c r="I39" s="3801">
        <f>'Lista global'!I128</f>
        <v>713.15555555555557</v>
      </c>
      <c r="J39" s="3801">
        <f>'Lista global'!P128</f>
        <v>891.44999999999993</v>
      </c>
      <c r="K39" s="3801">
        <f>'Lista global'!Q128</f>
        <v>750.69473684210527</v>
      </c>
      <c r="L39" s="2728" t="s">
        <v>0</v>
      </c>
      <c r="M39" s="3798">
        <v>0</v>
      </c>
      <c r="N39" s="3131">
        <f t="shared" si="0"/>
        <v>0</v>
      </c>
      <c r="O39" s="3131">
        <f t="shared" si="1"/>
        <v>0</v>
      </c>
    </row>
    <row r="40" spans="1:15" ht="19.5" hidden="1" customHeight="1" x14ac:dyDescent="0.25">
      <c r="A40" s="4210"/>
      <c r="B40" s="1418" t="s">
        <v>71</v>
      </c>
      <c r="C40" s="1453">
        <v>106110473</v>
      </c>
      <c r="D40" s="1402" t="s">
        <v>1364</v>
      </c>
      <c r="E40" s="1403" t="s">
        <v>1365</v>
      </c>
      <c r="F40" s="1404">
        <v>1</v>
      </c>
      <c r="G40" s="1405">
        <v>2</v>
      </c>
      <c r="H40" s="1416"/>
      <c r="I40" s="3347">
        <f>'Lista global'!I89</f>
        <v>593.85555555555561</v>
      </c>
      <c r="J40" s="3347">
        <f>'Lista global'!P89</f>
        <v>742.32499999999993</v>
      </c>
      <c r="K40" s="3347">
        <f>'Lista global'!Q89</f>
        <v>625.11578947368423</v>
      </c>
      <c r="L40" s="2728" t="s">
        <v>0</v>
      </c>
      <c r="M40" s="3798">
        <v>0</v>
      </c>
      <c r="N40" s="3131">
        <f t="shared" si="0"/>
        <v>0</v>
      </c>
      <c r="O40" s="3131">
        <f t="shared" si="1"/>
        <v>0</v>
      </c>
    </row>
    <row r="41" spans="1:15" ht="19.5" hidden="1" customHeight="1" x14ac:dyDescent="0.25">
      <c r="A41" s="4210"/>
      <c r="B41" s="1418" t="s">
        <v>1271</v>
      </c>
      <c r="C41" s="1453">
        <v>106111815</v>
      </c>
      <c r="D41" s="1402" t="s">
        <v>1621</v>
      </c>
      <c r="E41" s="1403" t="s">
        <v>2584</v>
      </c>
      <c r="F41" s="1407">
        <v>1</v>
      </c>
      <c r="G41" s="1405">
        <v>2</v>
      </c>
      <c r="H41" s="1416"/>
      <c r="I41" s="3347">
        <f>'Lista global'!I106</f>
        <v>11.366666666666667</v>
      </c>
      <c r="J41" s="3347">
        <f>'Lista global'!P106</f>
        <v>14.212499999999999</v>
      </c>
      <c r="K41" s="3347">
        <f>'Lista global'!Q106</f>
        <v>11.968421052631578</v>
      </c>
      <c r="L41" s="2728" t="s">
        <v>0</v>
      </c>
      <c r="M41" s="3798">
        <v>0</v>
      </c>
      <c r="N41" s="3131">
        <f t="shared" si="0"/>
        <v>0</v>
      </c>
      <c r="O41" s="3131">
        <f t="shared" si="1"/>
        <v>0</v>
      </c>
    </row>
    <row r="42" spans="1:15" ht="19.5" hidden="1" customHeight="1" x14ac:dyDescent="0.25">
      <c r="A42" s="4210"/>
      <c r="B42" s="1418" t="s">
        <v>1272</v>
      </c>
      <c r="C42" s="1453">
        <v>106111816</v>
      </c>
      <c r="D42" s="1402" t="s">
        <v>1623</v>
      </c>
      <c r="E42" s="1403" t="s">
        <v>2585</v>
      </c>
      <c r="F42" s="1404">
        <v>1</v>
      </c>
      <c r="G42" s="1405">
        <v>2</v>
      </c>
      <c r="H42" s="1416"/>
      <c r="I42" s="3347">
        <f>'Lista global'!I107</f>
        <v>16.844444444444445</v>
      </c>
      <c r="J42" s="3347">
        <f>'Lista global'!P107</f>
        <v>21.049999999999997</v>
      </c>
      <c r="K42" s="3347">
        <f>'Lista global'!Q107</f>
        <v>17.726315789473684</v>
      </c>
      <c r="L42" s="2728" t="s">
        <v>0</v>
      </c>
      <c r="M42" s="3798">
        <v>0</v>
      </c>
      <c r="N42" s="3131">
        <f t="shared" si="0"/>
        <v>0</v>
      </c>
      <c r="O42" s="3131">
        <f t="shared" si="1"/>
        <v>0</v>
      </c>
    </row>
    <row r="43" spans="1:15" ht="19.5" hidden="1" customHeight="1" x14ac:dyDescent="0.25">
      <c r="A43" s="4210"/>
      <c r="B43" s="1418" t="s">
        <v>340</v>
      </c>
      <c r="C43" s="1453">
        <v>106104092</v>
      </c>
      <c r="D43" s="1432" t="s">
        <v>1361</v>
      </c>
      <c r="E43" s="1403" t="s">
        <v>1362</v>
      </c>
      <c r="F43" s="1404">
        <v>1</v>
      </c>
      <c r="G43" s="1405">
        <v>2</v>
      </c>
      <c r="H43" s="1416"/>
      <c r="I43" s="3347">
        <f>'Lista global'!I16</f>
        <v>5.655555555555555</v>
      </c>
      <c r="J43" s="3347">
        <f>'Lista global'!P16</f>
        <v>7.0750000000000002</v>
      </c>
      <c r="K43" s="3347">
        <f>'Lista global'!Q16</f>
        <v>5.957894736842106</v>
      </c>
      <c r="L43" s="2728" t="s">
        <v>0</v>
      </c>
      <c r="M43" s="3798">
        <v>0</v>
      </c>
      <c r="N43" s="3131">
        <f t="shared" si="0"/>
        <v>0</v>
      </c>
      <c r="O43" s="3131">
        <f t="shared" si="1"/>
        <v>0</v>
      </c>
    </row>
    <row r="44" spans="1:15" ht="19.5" hidden="1" customHeight="1" thickBot="1" x14ac:dyDescent="0.3">
      <c r="A44" s="4210"/>
      <c r="B44" s="1451" t="s">
        <v>1270</v>
      </c>
      <c r="C44" s="1456">
        <v>106111814</v>
      </c>
      <c r="D44" s="1445" t="s">
        <v>1553</v>
      </c>
      <c r="E44" s="1428" t="s">
        <v>1554</v>
      </c>
      <c r="F44" s="1429">
        <v>1</v>
      </c>
      <c r="G44" s="1424">
        <v>2</v>
      </c>
      <c r="H44" s="1426"/>
      <c r="I44" s="3347">
        <f>'Lista global'!I105</f>
        <v>74.266666666666666</v>
      </c>
      <c r="J44" s="3347">
        <f>'Lista global'!P105</f>
        <v>92.837499999999991</v>
      </c>
      <c r="K44" s="3347">
        <f>'Lista global'!Q105</f>
        <v>78.178947368421049</v>
      </c>
      <c r="L44" s="2728" t="s">
        <v>0</v>
      </c>
      <c r="M44" s="3798">
        <v>0</v>
      </c>
      <c r="N44" s="3131">
        <f t="shared" si="0"/>
        <v>0</v>
      </c>
      <c r="O44" s="3131">
        <f t="shared" si="1"/>
        <v>0</v>
      </c>
    </row>
    <row r="45" spans="1:15" ht="19.5" hidden="1" customHeight="1" x14ac:dyDescent="0.25">
      <c r="A45" s="4210"/>
      <c r="B45" s="1409" t="s">
        <v>71</v>
      </c>
      <c r="C45" s="1457">
        <v>106113623</v>
      </c>
      <c r="D45" s="1411" t="s">
        <v>1263</v>
      </c>
      <c r="E45" s="1397" t="s">
        <v>1264</v>
      </c>
      <c r="F45" s="1412">
        <v>1</v>
      </c>
      <c r="G45" s="1413" t="s">
        <v>1520</v>
      </c>
      <c r="H45" s="1414"/>
      <c r="I45" s="3347">
        <f>'Lista global'!I129</f>
        <v>544.35555555555561</v>
      </c>
      <c r="J45" s="3347">
        <f>'Lista global'!P129</f>
        <v>891.44999999999993</v>
      </c>
      <c r="K45" s="3347">
        <f>'Lista global'!Q129</f>
        <v>750.69473684210527</v>
      </c>
      <c r="L45" s="2728" t="s">
        <v>0</v>
      </c>
      <c r="M45" s="3798">
        <v>0</v>
      </c>
      <c r="N45" s="3131">
        <f t="shared" si="0"/>
        <v>0</v>
      </c>
      <c r="O45" s="3131">
        <f t="shared" si="1"/>
        <v>0</v>
      </c>
    </row>
    <row r="46" spans="1:15" ht="19.5" hidden="1" customHeight="1" x14ac:dyDescent="0.25">
      <c r="A46" s="4210"/>
      <c r="B46" s="1418" t="s">
        <v>71</v>
      </c>
      <c r="C46" s="1453">
        <v>106113605</v>
      </c>
      <c r="D46" s="1402" t="s">
        <v>1265</v>
      </c>
      <c r="E46" s="1403" t="s">
        <v>1266</v>
      </c>
      <c r="F46" s="1404">
        <v>1</v>
      </c>
      <c r="G46" s="1405">
        <v>2</v>
      </c>
      <c r="H46" s="1416"/>
      <c r="I46" s="3347">
        <f>'Lista global'!I127</f>
        <v>424.28888888888889</v>
      </c>
      <c r="J46" s="3347">
        <f>'Lista global'!P127</f>
        <v>742.32499999999993</v>
      </c>
      <c r="K46" s="3347">
        <f>'Lista global'!Q127</f>
        <v>625.11578947368423</v>
      </c>
      <c r="L46" s="2728" t="s">
        <v>0</v>
      </c>
      <c r="M46" s="3798">
        <v>0</v>
      </c>
      <c r="N46" s="3131">
        <f t="shared" si="0"/>
        <v>0</v>
      </c>
      <c r="O46" s="3131">
        <f t="shared" si="1"/>
        <v>0</v>
      </c>
    </row>
    <row r="47" spans="1:15" ht="19.5" hidden="1" customHeight="1" x14ac:dyDescent="0.25">
      <c r="A47" s="4210"/>
      <c r="B47" s="1418" t="s">
        <v>1267</v>
      </c>
      <c r="C47" s="1453">
        <v>106113632</v>
      </c>
      <c r="D47" s="1406" t="s">
        <v>1268</v>
      </c>
      <c r="E47" s="1403" t="s">
        <v>1269</v>
      </c>
      <c r="F47" s="1404">
        <v>1</v>
      </c>
      <c r="G47" s="1405">
        <v>2</v>
      </c>
      <c r="H47" s="1416"/>
      <c r="I47" s="3347">
        <f>'Lista global'!I131</f>
        <v>20.011111111111113</v>
      </c>
      <c r="J47" s="3347">
        <f>'Lista global'!P131</f>
        <v>25.012499999999999</v>
      </c>
      <c r="K47" s="3347">
        <f>'Lista global'!Q131</f>
        <v>21.063157894736843</v>
      </c>
      <c r="L47" s="2728" t="s">
        <v>0</v>
      </c>
      <c r="M47" s="3798">
        <v>0</v>
      </c>
      <c r="N47" s="3131">
        <f t="shared" si="0"/>
        <v>0</v>
      </c>
      <c r="O47" s="3131">
        <f t="shared" si="1"/>
        <v>0</v>
      </c>
    </row>
    <row r="48" spans="1:15" ht="19.5" hidden="1" customHeight="1" x14ac:dyDescent="0.25">
      <c r="A48" s="4210"/>
      <c r="B48" s="1418" t="s">
        <v>1270</v>
      </c>
      <c r="C48" s="1453">
        <v>106113637</v>
      </c>
      <c r="D48" s="1406" t="s">
        <v>1617</v>
      </c>
      <c r="E48" s="1403" t="s">
        <v>1618</v>
      </c>
      <c r="F48" s="1404">
        <v>1</v>
      </c>
      <c r="G48" s="1405">
        <v>2</v>
      </c>
      <c r="H48" s="1416"/>
      <c r="I48" s="3347">
        <f>'Lista global'!I134</f>
        <v>30.366666666666664</v>
      </c>
      <c r="J48" s="3347">
        <f>'Lista global'!P134</f>
        <v>37.962499999999999</v>
      </c>
      <c r="K48" s="3347">
        <f>'Lista global'!Q134</f>
        <v>31.96842105263158</v>
      </c>
      <c r="L48" s="2728" t="s">
        <v>0</v>
      </c>
      <c r="M48" s="3798">
        <v>0</v>
      </c>
      <c r="N48" s="3131">
        <f t="shared" si="0"/>
        <v>0</v>
      </c>
      <c r="O48" s="3131">
        <f t="shared" si="1"/>
        <v>0</v>
      </c>
    </row>
    <row r="49" spans="1:15" ht="19.5" hidden="1" customHeight="1" x14ac:dyDescent="0.25">
      <c r="A49" s="4210"/>
      <c r="B49" s="1418" t="s">
        <v>1271</v>
      </c>
      <c r="C49" s="1453">
        <v>106113634</v>
      </c>
      <c r="D49" s="1402" t="s">
        <v>1620</v>
      </c>
      <c r="E49" s="1403" t="s">
        <v>2582</v>
      </c>
      <c r="F49" s="1404">
        <v>1</v>
      </c>
      <c r="G49" s="1405">
        <v>2</v>
      </c>
      <c r="H49" s="1416"/>
      <c r="I49" s="3347">
        <f>'Lista global'!I132</f>
        <v>9.9666666666666668</v>
      </c>
      <c r="J49" s="3347">
        <f>'Lista global'!P132</f>
        <v>12.4625</v>
      </c>
      <c r="K49" s="3347">
        <f>'Lista global'!Q132</f>
        <v>10.494736842105265</v>
      </c>
      <c r="L49" s="2728" t="s">
        <v>0</v>
      </c>
      <c r="M49" s="3798">
        <v>0</v>
      </c>
      <c r="N49" s="3131">
        <f t="shared" si="0"/>
        <v>0</v>
      </c>
      <c r="O49" s="3131">
        <f t="shared" si="1"/>
        <v>0</v>
      </c>
    </row>
    <row r="50" spans="1:15" ht="19.5" hidden="1" customHeight="1" x14ac:dyDescent="0.25">
      <c r="A50" s="4210"/>
      <c r="B50" s="1418" t="s">
        <v>1272</v>
      </c>
      <c r="C50" s="1453">
        <v>106114790</v>
      </c>
      <c r="D50" s="1402" t="s">
        <v>1622</v>
      </c>
      <c r="E50" s="1403" t="s">
        <v>2583</v>
      </c>
      <c r="F50" s="1404">
        <v>1</v>
      </c>
      <c r="G50" s="1405">
        <v>2</v>
      </c>
      <c r="H50" s="1416"/>
      <c r="I50" s="3347">
        <f>'Lista global'!I147</f>
        <v>21.044444444444444</v>
      </c>
      <c r="J50" s="3347">
        <f>'Lista global'!P147</f>
        <v>26.299999999999997</v>
      </c>
      <c r="K50" s="3347">
        <f>'Lista global'!Q147</f>
        <v>22.147368421052633</v>
      </c>
      <c r="L50" s="2728" t="s">
        <v>0</v>
      </c>
      <c r="M50" s="3798">
        <v>0</v>
      </c>
      <c r="N50" s="3131">
        <f t="shared" si="0"/>
        <v>0</v>
      </c>
      <c r="O50" s="3131">
        <f t="shared" si="1"/>
        <v>0</v>
      </c>
    </row>
    <row r="51" spans="1:15" ht="19.5" hidden="1" customHeight="1" thickBot="1" x14ac:dyDescent="0.3">
      <c r="A51" s="4211"/>
      <c r="B51" s="1451" t="s">
        <v>340</v>
      </c>
      <c r="C51" s="1456">
        <v>106113636</v>
      </c>
      <c r="D51" s="1445" t="s">
        <v>1273</v>
      </c>
      <c r="E51" s="1428" t="s">
        <v>1274</v>
      </c>
      <c r="F51" s="1429">
        <v>1</v>
      </c>
      <c r="G51" s="1424">
        <v>2</v>
      </c>
      <c r="H51" s="1426"/>
      <c r="I51" s="3347">
        <f>'Lista global'!I133</f>
        <v>8.7666666666666657</v>
      </c>
      <c r="J51" s="3347">
        <f>'Lista global'!P133</f>
        <v>10.962499999999999</v>
      </c>
      <c r="K51" s="3347">
        <f>'Lista global'!Q133</f>
        <v>9.2315789473684209</v>
      </c>
      <c r="L51" s="2728" t="s">
        <v>0</v>
      </c>
      <c r="M51" s="3798">
        <v>0</v>
      </c>
      <c r="N51" s="3131">
        <f t="shared" si="0"/>
        <v>0</v>
      </c>
      <c r="O51" s="3131">
        <f t="shared" si="1"/>
        <v>0</v>
      </c>
    </row>
    <row r="52" spans="1:15" ht="19.5" customHeight="1" x14ac:dyDescent="0.25">
      <c r="A52" s="4209" t="s">
        <v>11</v>
      </c>
      <c r="B52" s="1458"/>
      <c r="C52" s="1459">
        <v>106112878</v>
      </c>
      <c r="D52" s="1411" t="s">
        <v>1558</v>
      </c>
      <c r="E52" s="1397" t="s">
        <v>1559</v>
      </c>
      <c r="F52" s="1410">
        <v>5</v>
      </c>
      <c r="G52" s="1413"/>
      <c r="H52" s="1414"/>
      <c r="I52" s="3347">
        <f>'Lista global'!I120</f>
        <v>1.9444444444444444</v>
      </c>
      <c r="J52" s="3347">
        <f>'Lista global'!P120</f>
        <v>2.4249999999999998</v>
      </c>
      <c r="K52" s="3347">
        <f>'Lista global'!Q120</f>
        <v>2.0421052631578949</v>
      </c>
      <c r="L52" s="2728">
        <v>1</v>
      </c>
      <c r="M52" s="3800">
        <f>F52*($M$54+$M$55+$M$56+$M$57+$M$58+$M$59)</f>
        <v>10</v>
      </c>
      <c r="N52" s="3131">
        <f t="shared" si="0"/>
        <v>24.25</v>
      </c>
      <c r="O52" s="3131">
        <f t="shared" si="1"/>
        <v>20.421052631578949</v>
      </c>
    </row>
    <row r="53" spans="1:15" ht="19.5" customHeight="1" thickBot="1" x14ac:dyDescent="0.3">
      <c r="A53" s="4210"/>
      <c r="B53" s="1460"/>
      <c r="C53" s="1431">
        <v>106107580</v>
      </c>
      <c r="D53" s="1402" t="s">
        <v>1277</v>
      </c>
      <c r="E53" s="1403" t="s">
        <v>1278</v>
      </c>
      <c r="F53" s="1393">
        <v>3</v>
      </c>
      <c r="G53" s="1405"/>
      <c r="H53" s="1416"/>
      <c r="I53" s="3347">
        <f>'Lista global'!I78</f>
        <v>0.8666666666666667</v>
      </c>
      <c r="J53" s="3347">
        <f>'Lista global'!P78</f>
        <v>1.0874999999999999</v>
      </c>
      <c r="K53" s="3347">
        <f>'Lista global'!Q78</f>
        <v>0.9157894736842106</v>
      </c>
      <c r="L53" s="2728">
        <v>1</v>
      </c>
      <c r="M53" s="3800">
        <f>F53*($M$54+$M$55+$M$56+$M$57+$M$58+$M$59)</f>
        <v>6</v>
      </c>
      <c r="N53" s="3131">
        <f t="shared" si="0"/>
        <v>6.5249999999999995</v>
      </c>
      <c r="O53" s="3131">
        <f t="shared" si="1"/>
        <v>5.4947368421052634</v>
      </c>
    </row>
    <row r="54" spans="1:15" ht="19.5" customHeight="1" x14ac:dyDescent="0.25">
      <c r="A54" s="1554"/>
      <c r="B54" s="1390" t="s">
        <v>1201</v>
      </c>
      <c r="C54" s="1391">
        <v>106204701</v>
      </c>
      <c r="D54" s="1396" t="s">
        <v>3748</v>
      </c>
      <c r="E54" s="1397" t="s">
        <v>3749</v>
      </c>
      <c r="F54" s="1410">
        <v>1</v>
      </c>
      <c r="G54" s="1413">
        <v>3</v>
      </c>
      <c r="H54" s="1414" t="s">
        <v>1346</v>
      </c>
      <c r="I54" s="3347">
        <f>'Lista global'!I239</f>
        <v>2070.6222222222223</v>
      </c>
      <c r="J54" s="3347">
        <f>'Lista global'!P239</f>
        <v>5836.7058823529405</v>
      </c>
      <c r="K54" s="3347">
        <f>'Lista global'!Q239</f>
        <v>3600</v>
      </c>
      <c r="L54" s="2728">
        <f>IF($L$2=P4,1,0)</f>
        <v>0</v>
      </c>
      <c r="M54" s="3800">
        <f>L54*ROUNDUP($M$2*3/100,0)</f>
        <v>0</v>
      </c>
      <c r="N54" s="3131">
        <f t="shared" si="0"/>
        <v>0</v>
      </c>
      <c r="O54" s="3131">
        <f t="shared" si="1"/>
        <v>0</v>
      </c>
    </row>
    <row r="55" spans="1:15" ht="19.5" customHeight="1" x14ac:dyDescent="0.25">
      <c r="A55" s="1387"/>
      <c r="B55" s="1392" t="s">
        <v>187</v>
      </c>
      <c r="C55" s="1393">
        <v>106201457</v>
      </c>
      <c r="D55" s="1398" t="s">
        <v>2775</v>
      </c>
      <c r="E55" s="1399" t="s">
        <v>3736</v>
      </c>
      <c r="F55" s="1407">
        <v>1</v>
      </c>
      <c r="G55" s="1405">
        <v>3</v>
      </c>
      <c r="H55" s="1416" t="s">
        <v>1346</v>
      </c>
      <c r="I55" s="3347">
        <f>'Lista global'!I201</f>
        <v>2070.6222222222223</v>
      </c>
      <c r="J55" s="3347">
        <f>'Lista global'!P201</f>
        <v>6373.6</v>
      </c>
      <c r="K55" s="3347">
        <f>'Lista global'!Q201</f>
        <v>3649.4500000000003</v>
      </c>
      <c r="L55" s="2728">
        <f t="shared" ref="L55:L59" si="4">IF($L$2=P5,1,0)</f>
        <v>0</v>
      </c>
      <c r="M55" s="3800">
        <f t="shared" ref="M55:M59" si="5">L55*ROUNDUP($M$2*3/100,0)</f>
        <v>0</v>
      </c>
      <c r="N55" s="3131">
        <f t="shared" si="0"/>
        <v>0</v>
      </c>
      <c r="O55" s="3131">
        <f t="shared" si="1"/>
        <v>0</v>
      </c>
    </row>
    <row r="56" spans="1:15" ht="19.5" customHeight="1" x14ac:dyDescent="0.25">
      <c r="A56" s="1387"/>
      <c r="B56" s="1392" t="s">
        <v>240</v>
      </c>
      <c r="C56" s="1393">
        <v>106202625</v>
      </c>
      <c r="D56" s="1398" t="s">
        <v>2776</v>
      </c>
      <c r="E56" s="1400" t="s">
        <v>2777</v>
      </c>
      <c r="F56" s="1407">
        <v>1</v>
      </c>
      <c r="G56" s="1405">
        <v>3</v>
      </c>
      <c r="H56" s="1416" t="s">
        <v>1346</v>
      </c>
      <c r="I56" s="3347">
        <f>'Lista global'!I207</f>
        <v>2070.6222222222223</v>
      </c>
      <c r="J56" s="3347">
        <f>'Lista global'!P207</f>
        <v>7712.0560000000005</v>
      </c>
      <c r="K56" s="3347">
        <f>'Lista global'!Q207</f>
        <v>4415.8344999999999</v>
      </c>
      <c r="L56" s="2728">
        <f t="shared" si="4"/>
        <v>0</v>
      </c>
      <c r="M56" s="3800">
        <f t="shared" si="5"/>
        <v>0</v>
      </c>
      <c r="N56" s="3131">
        <f t="shared" si="0"/>
        <v>0</v>
      </c>
      <c r="O56" s="3131">
        <f t="shared" si="1"/>
        <v>0</v>
      </c>
    </row>
    <row r="57" spans="1:15" ht="19.5" customHeight="1" x14ac:dyDescent="0.25">
      <c r="A57" s="1387"/>
      <c r="B57" s="1392" t="s">
        <v>1122</v>
      </c>
      <c r="C57" s="1393">
        <v>106204514</v>
      </c>
      <c r="D57" s="1398" t="s">
        <v>2778</v>
      </c>
      <c r="E57" s="1399" t="s">
        <v>3737</v>
      </c>
      <c r="F57" s="1407">
        <v>1</v>
      </c>
      <c r="G57" s="1405">
        <v>3</v>
      </c>
      <c r="H57" s="1416" t="s">
        <v>1346</v>
      </c>
      <c r="I57" s="3347">
        <f>'Lista global'!I233</f>
        <v>2070.6222222222223</v>
      </c>
      <c r="J57" s="3347">
        <f>'Lista global'!P233</f>
        <v>8868.86</v>
      </c>
      <c r="K57" s="3347">
        <f>'Lista global'!Q233</f>
        <v>5055.25</v>
      </c>
      <c r="L57" s="2728">
        <f t="shared" si="4"/>
        <v>1</v>
      </c>
      <c r="M57" s="3800">
        <f t="shared" si="5"/>
        <v>2</v>
      </c>
      <c r="N57" s="3131">
        <f t="shared" si="0"/>
        <v>17737.72</v>
      </c>
      <c r="O57" s="3131">
        <f t="shared" si="1"/>
        <v>10110.5</v>
      </c>
    </row>
    <row r="58" spans="1:15" ht="19.5" customHeight="1" x14ac:dyDescent="0.25">
      <c r="A58" s="1387"/>
      <c r="B58" s="1392" t="s">
        <v>1124</v>
      </c>
      <c r="C58" s="1393">
        <v>106204516</v>
      </c>
      <c r="D58" s="1398" t="s">
        <v>2779</v>
      </c>
      <c r="E58" s="1399" t="s">
        <v>2782</v>
      </c>
      <c r="F58" s="1407">
        <v>1</v>
      </c>
      <c r="G58" s="1405">
        <v>3</v>
      </c>
      <c r="H58" s="1416" t="s">
        <v>1346</v>
      </c>
      <c r="I58" s="3347">
        <f>'Lista global'!I235</f>
        <v>2070.6222222222223</v>
      </c>
      <c r="J58" s="3347">
        <f>'Lista global'!P235</f>
        <v>9401</v>
      </c>
      <c r="K58" s="3347">
        <f>'Lista global'!Q235</f>
        <v>5358.57</v>
      </c>
      <c r="L58" s="2728">
        <f t="shared" si="4"/>
        <v>0</v>
      </c>
      <c r="M58" s="3800">
        <f t="shared" si="5"/>
        <v>0</v>
      </c>
      <c r="N58" s="3131">
        <f t="shared" si="0"/>
        <v>0</v>
      </c>
      <c r="O58" s="3131">
        <f t="shared" si="1"/>
        <v>0</v>
      </c>
    </row>
    <row r="59" spans="1:15" ht="19.5" customHeight="1" thickBot="1" x14ac:dyDescent="0.3">
      <c r="A59" s="1388"/>
      <c r="B59" s="1394" t="s">
        <v>1126</v>
      </c>
      <c r="C59" s="1395">
        <v>106204518</v>
      </c>
      <c r="D59" s="1464" t="s">
        <v>2780</v>
      </c>
      <c r="E59" s="1401" t="s">
        <v>2783</v>
      </c>
      <c r="F59" s="1421">
        <v>1</v>
      </c>
      <c r="G59" s="1419">
        <v>3</v>
      </c>
      <c r="H59" s="1422" t="s">
        <v>1346</v>
      </c>
      <c r="I59" s="3347">
        <f>'Lista global'!I237</f>
        <v>2070.6222222222223</v>
      </c>
      <c r="J59" s="3347">
        <f>'Lista global'!P237</f>
        <v>9495.01</v>
      </c>
      <c r="K59" s="3347">
        <f>'Lista global'!Q237</f>
        <v>5412.15</v>
      </c>
      <c r="L59" s="2728">
        <f t="shared" si="4"/>
        <v>0</v>
      </c>
      <c r="M59" s="3800">
        <f t="shared" si="5"/>
        <v>0</v>
      </c>
      <c r="N59" s="3131">
        <f t="shared" si="0"/>
        <v>0</v>
      </c>
      <c r="O59" s="3131">
        <f t="shared" si="1"/>
        <v>0</v>
      </c>
    </row>
    <row r="60" spans="1:15" ht="27.75" customHeight="1" thickBot="1" x14ac:dyDescent="0.3">
      <c r="A60" s="1383" t="s">
        <v>1287</v>
      </c>
      <c r="B60" s="1383"/>
      <c r="C60" s="1383"/>
      <c r="D60" s="1383"/>
      <c r="E60" s="1383"/>
      <c r="F60" s="1383"/>
      <c r="G60" s="1383"/>
      <c r="H60" s="1383"/>
      <c r="K60" s="1341"/>
      <c r="L60" s="2633"/>
      <c r="M60" s="2633"/>
      <c r="O60" s="1341"/>
    </row>
    <row r="61" spans="1:15" ht="19.5" customHeight="1" x14ac:dyDescent="0.25">
      <c r="A61" s="4220" t="s">
        <v>1291</v>
      </c>
      <c r="B61" s="4221"/>
      <c r="C61" s="4221"/>
      <c r="D61" s="4221"/>
      <c r="E61" s="4221"/>
      <c r="F61" s="4221"/>
      <c r="G61" s="4221"/>
      <c r="H61" s="4222"/>
      <c r="K61" s="1345"/>
      <c r="L61" s="3492"/>
      <c r="M61" s="3492"/>
      <c r="O61" s="1345"/>
    </row>
    <row r="62" spans="1:15" ht="25.5" customHeight="1" x14ac:dyDescent="0.25">
      <c r="A62" s="4223" t="s">
        <v>1292</v>
      </c>
      <c r="B62" s="4224"/>
      <c r="C62" s="4224"/>
      <c r="D62" s="4224"/>
      <c r="E62" s="4224"/>
      <c r="F62" s="4224"/>
      <c r="G62" s="4224"/>
      <c r="H62" s="4225"/>
      <c r="K62" s="1345"/>
      <c r="L62" s="3492"/>
      <c r="M62" s="3492"/>
      <c r="O62" s="1345"/>
    </row>
    <row r="63" spans="1:15" ht="19.5" customHeight="1" x14ac:dyDescent="0.25">
      <c r="A63" s="4223" t="s">
        <v>1293</v>
      </c>
      <c r="B63" s="4224"/>
      <c r="C63" s="4224"/>
      <c r="D63" s="4224"/>
      <c r="E63" s="4224"/>
      <c r="F63" s="4224"/>
      <c r="G63" s="4224"/>
      <c r="H63" s="4225"/>
      <c r="K63" s="1345"/>
      <c r="L63" s="3492"/>
      <c r="M63" s="3492"/>
      <c r="O63" s="1345"/>
    </row>
    <row r="64" spans="1:15" ht="19.5" customHeight="1" thickBot="1" x14ac:dyDescent="0.3">
      <c r="A64" s="4226" t="s">
        <v>1294</v>
      </c>
      <c r="B64" s="4227"/>
      <c r="C64" s="4227"/>
      <c r="D64" s="4227"/>
      <c r="E64" s="4227"/>
      <c r="F64" s="4227"/>
      <c r="G64" s="4227"/>
      <c r="H64" s="4228"/>
      <c r="K64" s="1345"/>
      <c r="L64" s="3492"/>
      <c r="M64" s="3492"/>
      <c r="O64" s="1345"/>
    </row>
    <row r="65" spans="1:28" ht="19.5" customHeight="1" thickBot="1" x14ac:dyDescent="0.3">
      <c r="A65" s="1344"/>
      <c r="B65" s="1344"/>
      <c r="C65" s="1344"/>
      <c r="D65" s="1344"/>
      <c r="E65" s="1344"/>
      <c r="F65" s="1344"/>
      <c r="G65" s="1344"/>
      <c r="H65" s="1344"/>
    </row>
    <row r="66" spans="1:28" ht="19.5" customHeight="1" x14ac:dyDescent="0.25">
      <c r="A66" s="4229" t="s">
        <v>3363</v>
      </c>
      <c r="B66" s="2720" t="s">
        <v>1030</v>
      </c>
      <c r="C66" s="2447">
        <v>106200533</v>
      </c>
      <c r="D66" s="1411" t="s">
        <v>3364</v>
      </c>
      <c r="E66" s="2732" t="s">
        <v>3365</v>
      </c>
      <c r="F66" s="2396">
        <v>1</v>
      </c>
      <c r="G66" s="2397"/>
      <c r="H66" s="2398"/>
      <c r="I66" s="3347">
        <f>tarjetas!$D$20</f>
        <v>17.64</v>
      </c>
      <c r="J66" s="3347">
        <f>I66/0.4</f>
        <v>44.1</v>
      </c>
      <c r="K66" s="3347">
        <f>I66/0.8</f>
        <v>22.05</v>
      </c>
      <c r="L66" s="2731">
        <v>1</v>
      </c>
      <c r="M66" s="3121">
        <f>IF(ROUNDDOWN(($M$2*F66/4)/5,0)&lt;L66,L66,ROUNDDOWN(($M$2*F66/4)/5,0))</f>
        <v>2</v>
      </c>
      <c r="N66" s="3131">
        <f t="shared" ref="N66:N71" si="6">J66*M66</f>
        <v>88.2</v>
      </c>
      <c r="O66" s="3131">
        <f t="shared" ref="O66:O71" si="7">M66*K66</f>
        <v>44.1</v>
      </c>
      <c r="P66" s="3230"/>
      <c r="U66" s="1342" t="s">
        <v>3502</v>
      </c>
      <c r="V66" s="3724"/>
      <c r="X66" s="3724"/>
    </row>
    <row r="67" spans="1:28" ht="19.5" customHeight="1" x14ac:dyDescent="0.25">
      <c r="A67" s="4230"/>
      <c r="B67" s="2497" t="s">
        <v>3366</v>
      </c>
      <c r="C67" s="2726">
        <v>106122984</v>
      </c>
      <c r="D67" s="2402" t="s">
        <v>3782</v>
      </c>
      <c r="E67" s="2733" t="s">
        <v>3367</v>
      </c>
      <c r="F67" s="2730">
        <v>1</v>
      </c>
      <c r="G67" s="2731"/>
      <c r="H67" s="2452"/>
      <c r="I67" s="3347">
        <f>tarjetas!$D$31</f>
        <v>133.32</v>
      </c>
      <c r="J67" s="3347">
        <f>I67/0.4</f>
        <v>333.29999999999995</v>
      </c>
      <c r="K67" s="3347">
        <f>I67/0.8</f>
        <v>166.64999999999998</v>
      </c>
      <c r="L67" s="2473">
        <v>1</v>
      </c>
      <c r="M67" s="3121">
        <f>IF(ROUNDUP(($M$2*F67/4)/5,0)&lt;L67,L67,ROUNDUP(($M$2*F67/4)/5,0))</f>
        <v>3</v>
      </c>
      <c r="N67" s="3131">
        <f t="shared" si="6"/>
        <v>999.89999999999986</v>
      </c>
      <c r="O67" s="3131">
        <f t="shared" si="7"/>
        <v>499.94999999999993</v>
      </c>
      <c r="P67" s="3230"/>
      <c r="U67" s="1342" t="s">
        <v>3502</v>
      </c>
      <c r="V67" s="3724"/>
      <c r="X67" s="3724"/>
    </row>
    <row r="68" spans="1:28" ht="19.5" customHeight="1" x14ac:dyDescent="0.25">
      <c r="A68" s="4230"/>
      <c r="B68" s="3797" t="s">
        <v>1029</v>
      </c>
      <c r="C68" s="2726">
        <v>106200874</v>
      </c>
      <c r="D68" s="2402" t="s">
        <v>3370</v>
      </c>
      <c r="E68" s="3658" t="s">
        <v>3371</v>
      </c>
      <c r="F68" s="2478">
        <v>1</v>
      </c>
      <c r="G68" s="2404"/>
      <c r="H68" s="2479"/>
      <c r="I68" s="3347">
        <f>tarjetas!$D$26</f>
        <v>175.24</v>
      </c>
      <c r="J68" s="3347">
        <f>I68/0.6</f>
        <v>292.06666666666672</v>
      </c>
      <c r="K68" s="3347">
        <f>I68/0.8</f>
        <v>219.05</v>
      </c>
      <c r="L68" s="2473">
        <v>1</v>
      </c>
      <c r="M68" s="3121">
        <f t="shared" ref="M68:M71" si="8">IF(ROUNDUP(($M$2*F68/4)/5,0)&lt;L68,L68,ROUNDUP(($M$2*F68/4)/5,0))</f>
        <v>3</v>
      </c>
      <c r="N68" s="3131">
        <f t="shared" si="6"/>
        <v>876.20000000000016</v>
      </c>
      <c r="O68" s="3131">
        <f t="shared" si="7"/>
        <v>657.15000000000009</v>
      </c>
      <c r="P68" s="3230"/>
      <c r="U68" s="1342" t="s">
        <v>3502</v>
      </c>
      <c r="V68" s="3724"/>
      <c r="X68" s="3724"/>
    </row>
    <row r="69" spans="1:28" ht="19.5" customHeight="1" thickBot="1" x14ac:dyDescent="0.3">
      <c r="A69" s="4231"/>
      <c r="B69" s="2498" t="s">
        <v>3280</v>
      </c>
      <c r="C69" s="2484">
        <v>106124036</v>
      </c>
      <c r="D69" s="2454" t="s">
        <v>3368</v>
      </c>
      <c r="E69" s="2734" t="s">
        <v>3369</v>
      </c>
      <c r="F69" s="2482">
        <v>1</v>
      </c>
      <c r="G69" s="2453"/>
      <c r="H69" s="2595"/>
      <c r="I69" s="3347">
        <f>'Lista global'!I358</f>
        <v>179.78888888888889</v>
      </c>
      <c r="J69" s="3347">
        <f>'Lista global'!P358</f>
        <v>224.73749999999998</v>
      </c>
      <c r="K69" s="3347">
        <f>'Lista global'!Q358</f>
        <v>189.25263157894736</v>
      </c>
      <c r="L69" s="2473">
        <v>1</v>
      </c>
      <c r="M69" s="3121">
        <f t="shared" si="8"/>
        <v>3</v>
      </c>
      <c r="N69" s="3131">
        <f t="shared" si="6"/>
        <v>674.21249999999998</v>
      </c>
      <c r="O69" s="3131">
        <f t="shared" si="7"/>
        <v>567.7578947368421</v>
      </c>
      <c r="P69" s="3230"/>
      <c r="U69" s="1342" t="s">
        <v>3631</v>
      </c>
      <c r="V69" s="3724" t="s">
        <v>3632</v>
      </c>
      <c r="X69" s="3724"/>
    </row>
    <row r="70" spans="1:28" ht="19.5" customHeight="1" x14ac:dyDescent="0.25">
      <c r="A70" s="4235" t="s">
        <v>3382</v>
      </c>
      <c r="B70" s="2720" t="s">
        <v>1425</v>
      </c>
      <c r="C70" s="2447">
        <v>106104195</v>
      </c>
      <c r="D70" s="2448" t="s">
        <v>1743</v>
      </c>
      <c r="E70" s="2732" t="s">
        <v>1744</v>
      </c>
      <c r="F70" s="2396">
        <v>1</v>
      </c>
      <c r="G70" s="2397"/>
      <c r="H70" s="2398"/>
      <c r="I70" s="3347">
        <f>'Lista global'!$I$39</f>
        <v>52.088888888888889</v>
      </c>
      <c r="J70" s="3347">
        <f>'Lista global'!$P$39</f>
        <v>65.112499999999997</v>
      </c>
      <c r="K70" s="3347">
        <f>'Lista global'!$Q$39</f>
        <v>54.831578947368428</v>
      </c>
      <c r="L70" s="2473">
        <v>1</v>
      </c>
      <c r="M70" s="3121">
        <f t="shared" si="8"/>
        <v>3</v>
      </c>
      <c r="N70" s="3131">
        <f t="shared" si="6"/>
        <v>195.33749999999998</v>
      </c>
      <c r="O70" s="3131">
        <f t="shared" si="7"/>
        <v>164.49473684210528</v>
      </c>
      <c r="P70" s="3230"/>
      <c r="U70" s="1342" t="s">
        <v>3650</v>
      </c>
      <c r="V70" s="3724" t="s">
        <v>3651</v>
      </c>
      <c r="X70" s="3724"/>
    </row>
    <row r="71" spans="1:28" ht="19.5" customHeight="1" thickBot="1" x14ac:dyDescent="0.3">
      <c r="A71" s="4236"/>
      <c r="B71" s="3764" t="s">
        <v>3642</v>
      </c>
      <c r="C71" s="2756">
        <v>106112808</v>
      </c>
      <c r="D71" s="2843" t="s">
        <v>3696</v>
      </c>
      <c r="E71" s="3765" t="s">
        <v>3697</v>
      </c>
      <c r="F71" s="3766">
        <v>1</v>
      </c>
      <c r="G71" s="2381"/>
      <c r="H71" s="2389"/>
      <c r="I71" s="3347">
        <f>'Lista global'!$I$354</f>
        <v>146.11111111111111</v>
      </c>
      <c r="J71" s="3347">
        <f>'Lista global'!$P$354</f>
        <v>182.63750000000002</v>
      </c>
      <c r="K71" s="3347">
        <f>'Lista global'!$Q$354</f>
        <v>153.80000000000001</v>
      </c>
      <c r="L71" s="2473">
        <v>1</v>
      </c>
      <c r="M71" s="3121">
        <f t="shared" si="8"/>
        <v>3</v>
      </c>
      <c r="N71" s="3131">
        <f t="shared" si="6"/>
        <v>547.91250000000002</v>
      </c>
      <c r="O71" s="3131">
        <f t="shared" si="7"/>
        <v>461.40000000000003</v>
      </c>
      <c r="P71" s="3230"/>
      <c r="U71" s="1342" t="s">
        <v>3526</v>
      </c>
      <c r="V71" s="1342" t="s">
        <v>3652</v>
      </c>
    </row>
    <row r="72" spans="1:28" ht="15.75" thickBot="1" x14ac:dyDescent="0.3">
      <c r="A72" s="3662"/>
      <c r="D72" s="2383"/>
      <c r="G72" s="1574"/>
      <c r="I72" s="1342"/>
      <c r="J72" s="1342"/>
      <c r="L72" s="751"/>
      <c r="M72" s="3215"/>
      <c r="N72" s="1342"/>
      <c r="V72" s="3724"/>
      <c r="X72" s="3724"/>
    </row>
    <row r="73" spans="1:28" ht="19.5" customHeight="1" x14ac:dyDescent="0.25">
      <c r="A73" s="4229" t="s">
        <v>3660</v>
      </c>
      <c r="B73" s="3767" t="s">
        <v>2949</v>
      </c>
      <c r="C73" s="2940" t="s">
        <v>1500</v>
      </c>
      <c r="D73" s="2448" t="s">
        <v>1149</v>
      </c>
      <c r="E73" s="1441" t="s">
        <v>1149</v>
      </c>
      <c r="F73" s="2397">
        <v>1</v>
      </c>
      <c r="G73" s="2789"/>
      <c r="H73" s="2398"/>
      <c r="I73" s="3347">
        <f>'Lista global'!$I$262</f>
        <v>127.06666666666666</v>
      </c>
      <c r="J73" s="3347">
        <f>'Lista global'!$P$262</f>
        <v>318.47499999999997</v>
      </c>
      <c r="K73" s="3347">
        <f>'Lista global'!$Q$262</f>
        <v>212.31666666666666</v>
      </c>
      <c r="L73" s="2731">
        <f>IF($Q$2=$S$4,1,0)</f>
        <v>1</v>
      </c>
      <c r="M73" s="3121">
        <f>IF(ROUNDDOWN(($M$2*F73)/20,0)&lt;L73,L73,ROUNDDOWN(($M$2*F73)/20,0))</f>
        <v>2</v>
      </c>
      <c r="N73" s="3131">
        <f>J73*M73</f>
        <v>636.94999999999993</v>
      </c>
      <c r="O73" s="3131">
        <f>K73*M73</f>
        <v>424.63333333333333</v>
      </c>
      <c r="P73" s="3230"/>
      <c r="U73" s="1342" t="str">
        <f>VLOOKUP($C73,'Mayores de 125TL DC-AC'!$E$77:$AC$137,18,0)</f>
        <v>Ingeteam</v>
      </c>
      <c r="V73" s="3724"/>
      <c r="X73" s="3724"/>
    </row>
    <row r="74" spans="1:28" ht="19.5" customHeight="1" thickBot="1" x14ac:dyDescent="0.3">
      <c r="A74" s="4231"/>
      <c r="B74" s="3764" t="s">
        <v>3644</v>
      </c>
      <c r="C74" s="2756">
        <v>106116005</v>
      </c>
      <c r="D74" s="2843" t="s">
        <v>1498</v>
      </c>
      <c r="E74" s="3765" t="s">
        <v>1499</v>
      </c>
      <c r="F74" s="3766">
        <v>1</v>
      </c>
      <c r="G74" s="2381" t="s">
        <v>649</v>
      </c>
      <c r="H74" s="2389"/>
      <c r="I74" s="3347">
        <f>'Lista global'!$I$150</f>
        <v>3.1111111111111107</v>
      </c>
      <c r="J74" s="3347">
        <f>'Lista global'!$P$150</f>
        <v>3.8874999999999997</v>
      </c>
      <c r="K74" s="3347">
        <f>'Lista global'!$Q$150</f>
        <v>3.2736842105263158</v>
      </c>
      <c r="L74" s="2473">
        <f>L73</f>
        <v>1</v>
      </c>
      <c r="M74" s="3121">
        <f>M73</f>
        <v>2</v>
      </c>
      <c r="N74" s="3131">
        <f>J74*M74</f>
        <v>7.7749999999999995</v>
      </c>
      <c r="O74" s="3131">
        <f>K74*M74</f>
        <v>6.5473684210526315</v>
      </c>
      <c r="P74" s="3230"/>
      <c r="U74" s="1342" t="s">
        <v>3511</v>
      </c>
      <c r="V74" s="1342" t="s">
        <v>3518</v>
      </c>
      <c r="W74" s="1342" t="s">
        <v>3508</v>
      </c>
      <c r="X74" s="1342">
        <v>491605</v>
      </c>
      <c r="Y74" s="1342" t="s">
        <v>3519</v>
      </c>
      <c r="Z74" s="1342" t="s">
        <v>3520</v>
      </c>
      <c r="AA74" s="1342" t="s">
        <v>3521</v>
      </c>
      <c r="AB74" s="1342" t="s">
        <v>3522</v>
      </c>
    </row>
    <row r="75" spans="1:28" ht="15.75" thickBot="1" x14ac:dyDescent="0.3">
      <c r="D75" s="2383"/>
      <c r="G75" s="1574"/>
      <c r="I75" s="1342"/>
      <c r="J75" s="1342"/>
      <c r="L75" s="751"/>
      <c r="M75" s="3215"/>
      <c r="N75" s="1342"/>
      <c r="V75" s="3724"/>
      <c r="X75" s="3724"/>
    </row>
    <row r="76" spans="1:28" ht="19.5" customHeight="1" x14ac:dyDescent="0.25">
      <c r="A76" s="4229" t="s">
        <v>3661</v>
      </c>
      <c r="B76" s="2720" t="s">
        <v>3410</v>
      </c>
      <c r="C76" s="2447">
        <v>106124015</v>
      </c>
      <c r="D76" s="1411" t="s">
        <v>3674</v>
      </c>
      <c r="E76" s="2732" t="s">
        <v>3675</v>
      </c>
      <c r="F76" s="2396">
        <v>1</v>
      </c>
      <c r="G76" s="2397"/>
      <c r="H76" s="2398"/>
      <c r="I76" s="3347">
        <f>'Lista global'!G325</f>
        <v>38</v>
      </c>
      <c r="J76" s="3347">
        <f>'Lista global'!$P$347</f>
        <v>274.72499999999997</v>
      </c>
      <c r="K76" s="3347">
        <f>'Lista global'!$Q$347</f>
        <v>231.34736842105264</v>
      </c>
      <c r="L76" s="2731"/>
      <c r="M76" s="3121"/>
      <c r="N76" s="3131">
        <f t="shared" ref="N76:N81" si="9">J76*M76</f>
        <v>0</v>
      </c>
      <c r="O76" s="3131"/>
      <c r="P76" s="3230"/>
      <c r="V76" s="3724"/>
      <c r="X76" s="3724"/>
    </row>
    <row r="77" spans="1:28" ht="19.5" customHeight="1" x14ac:dyDescent="0.25">
      <c r="A77" s="4230"/>
      <c r="B77" s="4237" t="s">
        <v>3668</v>
      </c>
      <c r="C77" s="2726">
        <v>106105901</v>
      </c>
      <c r="D77" s="2724" t="s">
        <v>3906</v>
      </c>
      <c r="E77" s="2733" t="s">
        <v>3907</v>
      </c>
      <c r="F77" s="2730">
        <v>3</v>
      </c>
      <c r="G77" s="2731"/>
      <c r="H77" s="2452"/>
      <c r="I77" s="3347">
        <f>'Lista global'!$I$74</f>
        <v>0.24444444444444444</v>
      </c>
      <c r="J77" s="3347">
        <f>'Lista global'!$P$74</f>
        <v>0.3</v>
      </c>
      <c r="K77" s="3347">
        <f>'Lista global'!$Q$74</f>
        <v>0.25263157894736843</v>
      </c>
      <c r="L77" s="2473"/>
      <c r="M77" s="3121"/>
      <c r="N77" s="3131">
        <f t="shared" si="9"/>
        <v>0</v>
      </c>
      <c r="O77" s="3131"/>
      <c r="P77" s="3230"/>
      <c r="V77" s="3724"/>
      <c r="X77" s="3724"/>
    </row>
    <row r="78" spans="1:28" ht="19.5" customHeight="1" x14ac:dyDescent="0.25">
      <c r="A78" s="4230"/>
      <c r="B78" s="4238"/>
      <c r="C78" s="2726">
        <v>106120385</v>
      </c>
      <c r="D78" s="2724" t="s">
        <v>3808</v>
      </c>
      <c r="E78" s="2733" t="s">
        <v>3809</v>
      </c>
      <c r="F78" s="2478">
        <v>2</v>
      </c>
      <c r="G78" s="2404"/>
      <c r="H78" s="2479"/>
      <c r="I78" s="3347">
        <f>'Lista global'!$I$352</f>
        <v>114.54444444444445</v>
      </c>
      <c r="J78" s="3347">
        <f>'Lista global'!$P$352</f>
        <v>143.17500000000001</v>
      </c>
      <c r="K78" s="3347">
        <f>'Lista global'!$Q$352</f>
        <v>120.56842105263159</v>
      </c>
      <c r="L78" s="2473"/>
      <c r="M78" s="3121"/>
      <c r="N78" s="3131">
        <f t="shared" si="9"/>
        <v>0</v>
      </c>
      <c r="O78" s="3131"/>
      <c r="P78" s="3230"/>
      <c r="V78" s="3724"/>
      <c r="X78" s="3724"/>
    </row>
    <row r="79" spans="1:28" ht="19.5" customHeight="1" x14ac:dyDescent="0.25">
      <c r="A79" s="4230"/>
      <c r="B79" s="2497" t="s">
        <v>3669</v>
      </c>
      <c r="C79" s="2763">
        <v>106120384</v>
      </c>
      <c r="D79" s="2724" t="s">
        <v>3810</v>
      </c>
      <c r="E79" s="2733" t="s">
        <v>3811</v>
      </c>
      <c r="F79" s="2730">
        <v>2</v>
      </c>
      <c r="G79" s="2731"/>
      <c r="H79" s="2452"/>
      <c r="I79" s="3347">
        <f>'Lista global'!$I$353</f>
        <v>41.388888888888886</v>
      </c>
      <c r="J79" s="3347">
        <f>'Lista global'!$P$353</f>
        <v>51.737499999999997</v>
      </c>
      <c r="K79" s="3347">
        <f>'Lista global'!$Q$353</f>
        <v>43.568421052631578</v>
      </c>
      <c r="L79" s="2473"/>
      <c r="M79" s="3121"/>
      <c r="N79" s="3131">
        <f t="shared" si="9"/>
        <v>0</v>
      </c>
      <c r="O79" s="3131"/>
      <c r="P79" s="3230"/>
      <c r="V79" s="3724"/>
      <c r="X79" s="3724"/>
    </row>
    <row r="80" spans="1:28" ht="19.5" customHeight="1" x14ac:dyDescent="0.25">
      <c r="A80" s="4230"/>
      <c r="B80" s="2497" t="s">
        <v>3670</v>
      </c>
      <c r="C80" s="2763">
        <v>106123943</v>
      </c>
      <c r="D80" s="2724" t="s">
        <v>3812</v>
      </c>
      <c r="E80" s="2733" t="s">
        <v>3813</v>
      </c>
      <c r="F80" s="2730">
        <v>2</v>
      </c>
      <c r="G80" s="2731"/>
      <c r="H80" s="2452"/>
      <c r="I80" s="3347"/>
      <c r="J80" s="3347"/>
      <c r="K80" s="3347"/>
      <c r="L80" s="2473"/>
      <c r="M80" s="3121"/>
      <c r="N80" s="3131">
        <f t="shared" si="9"/>
        <v>0</v>
      </c>
      <c r="O80" s="3131"/>
      <c r="P80" s="3230"/>
      <c r="V80" s="3724"/>
      <c r="X80" s="3724"/>
    </row>
    <row r="81" spans="1:26" ht="19.5" customHeight="1" thickBot="1" x14ac:dyDescent="0.3">
      <c r="A81" s="4231"/>
      <c r="B81" s="3764" t="s">
        <v>3671</v>
      </c>
      <c r="C81" s="2756">
        <v>106124049</v>
      </c>
      <c r="D81" s="2454" t="s">
        <v>3815</v>
      </c>
      <c r="E81" s="2734" t="s">
        <v>3814</v>
      </c>
      <c r="F81" s="3766">
        <v>2</v>
      </c>
      <c r="G81" s="2381"/>
      <c r="H81" s="2389"/>
      <c r="I81" s="3347"/>
      <c r="J81" s="3347"/>
      <c r="K81" s="3347"/>
      <c r="L81" s="2473"/>
      <c r="M81" s="3121"/>
      <c r="N81" s="3131">
        <f t="shared" si="9"/>
        <v>0</v>
      </c>
      <c r="O81" s="3131"/>
      <c r="P81" s="3230"/>
    </row>
    <row r="82" spans="1:26" ht="15.75" thickBot="1" x14ac:dyDescent="0.3">
      <c r="D82" s="2383"/>
      <c r="G82" s="1574"/>
      <c r="I82" s="1342"/>
      <c r="J82" s="1342"/>
      <c r="L82" s="751"/>
      <c r="M82" s="3215"/>
      <c r="N82" s="1342"/>
      <c r="V82" s="3724"/>
      <c r="X82" s="3724"/>
    </row>
    <row r="83" spans="1:26" s="1360" customFormat="1" ht="19.5" customHeight="1" x14ac:dyDescent="0.25">
      <c r="A83" s="4229" t="s">
        <v>3662</v>
      </c>
      <c r="B83" s="4232" t="s">
        <v>3663</v>
      </c>
      <c r="C83" s="3359">
        <v>106123372</v>
      </c>
      <c r="D83" s="3910" t="s">
        <v>3783</v>
      </c>
      <c r="E83" s="3911" t="s">
        <v>3784</v>
      </c>
      <c r="F83" s="3094" t="s">
        <v>3343</v>
      </c>
      <c r="G83" s="3095"/>
      <c r="H83" s="2839"/>
      <c r="I83" s="3801">
        <f>'Lista global'!$I$348</f>
        <v>99.933333333333323</v>
      </c>
      <c r="J83" s="3801">
        <f>'Lista global'!$P$348</f>
        <v>249.6</v>
      </c>
      <c r="K83" s="3801">
        <f>'Lista global'!$Q$348</f>
        <v>166.4</v>
      </c>
      <c r="L83" s="3144"/>
      <c r="M83" s="3483"/>
      <c r="N83" s="3484">
        <f>J83*M83</f>
        <v>0</v>
      </c>
      <c r="O83" s="3484"/>
      <c r="P83" s="3912"/>
      <c r="U83" s="1360" t="s">
        <v>3502</v>
      </c>
      <c r="V83" s="1688"/>
      <c r="X83" s="1688"/>
    </row>
    <row r="84" spans="1:26" ht="19.5" customHeight="1" x14ac:dyDescent="0.25">
      <c r="A84" s="4230"/>
      <c r="B84" s="4233"/>
      <c r="C84" s="2726">
        <v>106109925</v>
      </c>
      <c r="D84" s="2724" t="s">
        <v>3680</v>
      </c>
      <c r="E84" s="2733" t="s">
        <v>3681</v>
      </c>
      <c r="F84" s="2478" t="s">
        <v>3343</v>
      </c>
      <c r="G84" s="2404"/>
      <c r="H84" s="2479"/>
      <c r="I84" s="3347">
        <f>'Lista global'!$I$349</f>
        <v>42.388888888888886</v>
      </c>
      <c r="J84" s="3347">
        <f>'Lista global'!$P$349</f>
        <v>52.987499999999997</v>
      </c>
      <c r="K84" s="3347">
        <f>'Lista global'!$Q$349</f>
        <v>44.621052631578948</v>
      </c>
      <c r="L84" s="2473"/>
      <c r="M84" s="3121"/>
      <c r="N84" s="3131">
        <f>J84*M84</f>
        <v>0</v>
      </c>
      <c r="O84" s="3131"/>
      <c r="P84" s="3230"/>
      <c r="U84" s="1342" t="s">
        <v>3627</v>
      </c>
      <c r="V84" s="3724">
        <v>8951340000</v>
      </c>
      <c r="X84" s="3724"/>
    </row>
    <row r="85" spans="1:26" ht="19.5" customHeight="1" thickBot="1" x14ac:dyDescent="0.3">
      <c r="A85" s="4231"/>
      <c r="B85" s="4234"/>
      <c r="C85" s="2484">
        <v>106121596</v>
      </c>
      <c r="D85" s="2454" t="s">
        <v>3816</v>
      </c>
      <c r="E85" s="2734" t="s">
        <v>3817</v>
      </c>
      <c r="F85" s="2482" t="s">
        <v>3659</v>
      </c>
      <c r="G85" s="2453"/>
      <c r="H85" s="2595"/>
      <c r="I85" s="3347">
        <f>'Lista global'!$I$350</f>
        <v>32.355555555555554</v>
      </c>
      <c r="J85" s="3347">
        <f>'Lista global'!$P$350</f>
        <v>40.449999999999996</v>
      </c>
      <c r="K85" s="3347">
        <f>'Lista global'!$Q$350</f>
        <v>34.06315789473684</v>
      </c>
      <c r="L85" s="2473"/>
      <c r="M85" s="3121"/>
      <c r="N85" s="3131">
        <f>J85*M85</f>
        <v>0</v>
      </c>
      <c r="O85" s="3131"/>
      <c r="P85" s="3230"/>
      <c r="U85" s="1342" t="s">
        <v>3664</v>
      </c>
      <c r="V85" s="3724" t="s">
        <v>3665</v>
      </c>
      <c r="X85" s="3724"/>
    </row>
    <row r="86" spans="1:26" ht="15.75" thickBot="1" x14ac:dyDescent="0.3">
      <c r="B86" s="3753" t="s">
        <v>3641</v>
      </c>
      <c r="D86" s="2383"/>
      <c r="H86" s="1574"/>
      <c r="I86" s="1343"/>
      <c r="J86" s="1342"/>
      <c r="L86" s="1342"/>
      <c r="M86" s="3138" t="s">
        <v>941</v>
      </c>
      <c r="N86" s="3139">
        <f>SUM(N4:N85)</f>
        <v>33652.732499999998</v>
      </c>
      <c r="O86" s="3139">
        <f>SUM(O4:O85)</f>
        <v>22513.260526315793</v>
      </c>
      <c r="Q86" s="751"/>
      <c r="X86" s="3724"/>
      <c r="Z86" s="3724"/>
    </row>
  </sheetData>
  <mergeCells count="21">
    <mergeCell ref="A83:A85"/>
    <mergeCell ref="B83:B85"/>
    <mergeCell ref="A66:A69"/>
    <mergeCell ref="A70:A71"/>
    <mergeCell ref="A73:A74"/>
    <mergeCell ref="A76:A81"/>
    <mergeCell ref="B77:B78"/>
    <mergeCell ref="A38:A51"/>
    <mergeCell ref="A61:H61"/>
    <mergeCell ref="A62:H62"/>
    <mergeCell ref="A63:H63"/>
    <mergeCell ref="A64:H64"/>
    <mergeCell ref="A52:A53"/>
    <mergeCell ref="F2:H2"/>
    <mergeCell ref="A35:A37"/>
    <mergeCell ref="A25:A34"/>
    <mergeCell ref="A3:B3"/>
    <mergeCell ref="D3:E3"/>
    <mergeCell ref="A4:A11"/>
    <mergeCell ref="A12:A20"/>
    <mergeCell ref="A21:A24"/>
  </mergeCells>
  <dataValidations count="1">
    <dataValidation type="list" allowBlank="1" showInputMessage="1" showErrorMessage="1" sqref="L2">
      <formula1>$P$4:$P$9</formula1>
    </dataValidation>
  </dataValidations>
  <pageMargins left="0.70866141732283472" right="0.70866141732283472" top="0.74803149606299213" bottom="0.74803149606299213" header="0.31496062992125984" footer="0.31496062992125984"/>
  <pageSetup paperSize="9" scale="58" orientation="portrait" horizontalDpi="200" verticalDpi="20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99"/>
  <sheetViews>
    <sheetView topLeftCell="A13" zoomScale="80" zoomScaleNormal="80" workbookViewId="0">
      <selection activeCell="D30" sqref="D30"/>
    </sheetView>
  </sheetViews>
  <sheetFormatPr baseColWidth="10" defaultRowHeight="15" x14ac:dyDescent="0.25"/>
  <cols>
    <col min="1" max="1" width="18.7109375" style="11" customWidth="1"/>
    <col min="2" max="2" width="11.42578125" style="11"/>
    <col min="3" max="3" width="11" style="11" customWidth="1"/>
    <col min="4" max="4" width="11.42578125" style="11"/>
    <col min="5" max="5" width="59" style="11" customWidth="1"/>
    <col min="6" max="6" width="12.140625" style="11" customWidth="1"/>
    <col min="7" max="7" width="17" style="39" customWidth="1"/>
    <col min="8" max="8" width="14.28515625" style="11" customWidth="1"/>
    <col min="9" max="9" width="16.28515625" style="1383" customWidth="1"/>
    <col min="10" max="10" width="11.42578125" style="39" customWidth="1"/>
    <col min="11" max="11" width="14.85546875" style="39" customWidth="1"/>
    <col min="12" max="12" width="16.7109375" style="11" customWidth="1"/>
    <col min="13" max="13" width="13.7109375" style="11" customWidth="1"/>
    <col min="14" max="14" width="17.5703125" style="11" customWidth="1"/>
    <col min="15" max="15" width="15.5703125" style="11" customWidth="1"/>
    <col min="16" max="16" width="16.42578125" style="11" customWidth="1"/>
    <col min="17" max="20" width="11.42578125" style="11"/>
    <col min="21" max="21" width="16.7109375" style="11" customWidth="1"/>
    <col min="22" max="22" width="13.42578125" style="11" customWidth="1"/>
    <col min="23" max="16384" width="11.42578125" style="11"/>
  </cols>
  <sheetData>
    <row r="1" spans="2:15" s="1383" customFormat="1" ht="15.75" thickBot="1" x14ac:dyDescent="0.3">
      <c r="G1" s="228" t="s">
        <v>1002</v>
      </c>
      <c r="N1" s="228" t="s">
        <v>1002</v>
      </c>
    </row>
    <row r="2" spans="2:15" ht="18.75" thickBot="1" x14ac:dyDescent="0.3">
      <c r="B2" s="1602" t="s">
        <v>494</v>
      </c>
      <c r="C2" s="1579"/>
      <c r="D2" s="1579"/>
      <c r="E2" s="1579"/>
      <c r="F2" s="1603" t="s">
        <v>1382</v>
      </c>
      <c r="G2" s="984">
        <v>9</v>
      </c>
      <c r="H2" s="1383"/>
      <c r="J2" s="11"/>
      <c r="K2" s="11"/>
      <c r="N2" s="984">
        <v>9</v>
      </c>
      <c r="O2" s="1383"/>
    </row>
    <row r="3" spans="2:15" s="395" customFormat="1" ht="30.75" thickBot="1" x14ac:dyDescent="0.3">
      <c r="B3" s="4244" t="s">
        <v>526</v>
      </c>
      <c r="C3" s="4245"/>
      <c r="D3" s="1511" t="s">
        <v>936</v>
      </c>
      <c r="E3" s="1495" t="s">
        <v>1</v>
      </c>
      <c r="F3" s="1511" t="s">
        <v>960</v>
      </c>
      <c r="G3" s="262" t="s">
        <v>1007</v>
      </c>
      <c r="H3" s="132" t="s">
        <v>251</v>
      </c>
      <c r="I3" s="132" t="s">
        <v>2475</v>
      </c>
      <c r="N3" s="262" t="s">
        <v>1007</v>
      </c>
      <c r="O3" s="132" t="s">
        <v>251</v>
      </c>
    </row>
    <row r="4" spans="2:15" s="306" customFormat="1" ht="15.75" customHeight="1" x14ac:dyDescent="0.25">
      <c r="B4" s="4243" t="s">
        <v>263</v>
      </c>
      <c r="C4" s="324" t="s">
        <v>274</v>
      </c>
      <c r="D4" s="719">
        <v>106104164</v>
      </c>
      <c r="E4" s="325" t="s">
        <v>275</v>
      </c>
      <c r="F4" s="707">
        <v>1</v>
      </c>
      <c r="G4" s="1366">
        <v>1</v>
      </c>
      <c r="H4" s="1367">
        <f>$G4*'Lista global'!P35</f>
        <v>285.41250000000002</v>
      </c>
      <c r="I4" s="2370">
        <f>$G4*'Lista global'!Q35</f>
        <v>240.34736842105266</v>
      </c>
      <c r="J4" s="1383" t="s">
        <v>1302</v>
      </c>
      <c r="N4" s="1366" t="s">
        <v>1392</v>
      </c>
      <c r="O4" s="1367"/>
    </row>
    <row r="5" spans="2:15" s="306" customFormat="1" ht="15.75" customHeight="1" x14ac:dyDescent="0.25">
      <c r="B5" s="4243"/>
      <c r="C5" s="324" t="s">
        <v>276</v>
      </c>
      <c r="D5" s="702">
        <v>106104211</v>
      </c>
      <c r="E5" s="325" t="s">
        <v>277</v>
      </c>
      <c r="F5" s="702">
        <v>1</v>
      </c>
      <c r="G5" s="1368">
        <v>1</v>
      </c>
      <c r="H5" s="2009">
        <f>$G5*'Lista global'!P41</f>
        <v>13.637499999999999</v>
      </c>
      <c r="I5" s="3697">
        <f>$G5*'Lista global'!Q41</f>
        <v>11.48421052631579</v>
      </c>
      <c r="J5" s="1383" t="s">
        <v>1302</v>
      </c>
      <c r="N5" s="1368" t="s">
        <v>1392</v>
      </c>
      <c r="O5" s="1369"/>
    </row>
    <row r="6" spans="2:15" s="306" customFormat="1" ht="15.75" customHeight="1" x14ac:dyDescent="0.25">
      <c r="B6" s="4243"/>
      <c r="C6" s="324" t="s">
        <v>279</v>
      </c>
      <c r="D6" s="702">
        <v>106106242</v>
      </c>
      <c r="E6" s="325" t="s">
        <v>280</v>
      </c>
      <c r="F6" s="702">
        <v>1</v>
      </c>
      <c r="G6" s="1368">
        <v>1</v>
      </c>
      <c r="H6" s="2009">
        <f>$G6*'Lista global'!P77</f>
        <v>13.474999999999998</v>
      </c>
      <c r="I6" s="3697">
        <f>$G6*'Lista global'!Q77</f>
        <v>11.347368421052632</v>
      </c>
      <c r="J6" s="1383" t="s">
        <v>1302</v>
      </c>
      <c r="N6" s="1368" t="s">
        <v>1392</v>
      </c>
      <c r="O6" s="1369"/>
    </row>
    <row r="7" spans="2:15" s="306" customFormat="1" ht="15.75" customHeight="1" thickBot="1" x14ac:dyDescent="0.3">
      <c r="B7" s="4242"/>
      <c r="C7" s="326" t="s">
        <v>278</v>
      </c>
      <c r="D7" s="708">
        <v>106104214</v>
      </c>
      <c r="E7" s="327" t="s">
        <v>304</v>
      </c>
      <c r="F7" s="708">
        <v>1</v>
      </c>
      <c r="G7" s="1368">
        <v>1</v>
      </c>
      <c r="H7" s="2009">
        <f>$G7*'Lista global'!P43</f>
        <v>8.4124999999999996</v>
      </c>
      <c r="I7" s="3697">
        <f>$G7*'Lista global'!Q43</f>
        <v>7.0842105263157906</v>
      </c>
      <c r="J7" s="1383" t="s">
        <v>1302</v>
      </c>
      <c r="N7" s="1368" t="s">
        <v>1392</v>
      </c>
      <c r="O7" s="1369"/>
    </row>
    <row r="8" spans="2:15" s="306" customFormat="1" ht="15.75" customHeight="1" x14ac:dyDescent="0.25">
      <c r="B8" s="4241" t="s">
        <v>305</v>
      </c>
      <c r="C8" s="328" t="s">
        <v>301</v>
      </c>
      <c r="D8" s="721">
        <v>106104092</v>
      </c>
      <c r="E8" s="330" t="s">
        <v>302</v>
      </c>
      <c r="F8" s="709">
        <v>1</v>
      </c>
      <c r="G8" s="1368">
        <v>1</v>
      </c>
      <c r="H8" s="2009">
        <f>$G8*'Lista global'!P16</f>
        <v>7.0750000000000002</v>
      </c>
      <c r="I8" s="3697">
        <f>$G8*'Lista global'!Q16</f>
        <v>5.957894736842106</v>
      </c>
      <c r="J8" s="1383" t="s">
        <v>1302</v>
      </c>
      <c r="N8" s="1368" t="s">
        <v>1392</v>
      </c>
      <c r="O8" s="1369"/>
    </row>
    <row r="9" spans="2:15" s="306" customFormat="1" ht="15.75" customHeight="1" x14ac:dyDescent="0.25">
      <c r="B9" s="4243"/>
      <c r="C9" s="328" t="s">
        <v>290</v>
      </c>
      <c r="D9" s="721">
        <v>106110473</v>
      </c>
      <c r="E9" s="330" t="s">
        <v>291</v>
      </c>
      <c r="F9" s="709">
        <v>1</v>
      </c>
      <c r="G9" s="1368">
        <v>1</v>
      </c>
      <c r="H9" s="2009">
        <f>$G9*'Lista global'!P89</f>
        <v>742.32499999999993</v>
      </c>
      <c r="I9" s="3697">
        <f>$G9*'Lista global'!Q89</f>
        <v>625.11578947368423</v>
      </c>
      <c r="J9" s="1383" t="s">
        <v>1302</v>
      </c>
      <c r="N9" s="1368" t="s">
        <v>1392</v>
      </c>
      <c r="O9" s="1369"/>
    </row>
    <row r="10" spans="2:15" s="306" customFormat="1" ht="15.75" customHeight="1" x14ac:dyDescent="0.25">
      <c r="B10" s="4243"/>
      <c r="C10" s="328" t="s">
        <v>294</v>
      </c>
      <c r="D10" s="721">
        <v>106111815</v>
      </c>
      <c r="E10" s="330" t="s">
        <v>295</v>
      </c>
      <c r="F10" s="709">
        <v>1</v>
      </c>
      <c r="G10" s="1368">
        <v>1</v>
      </c>
      <c r="H10" s="2009">
        <f>$G10*'Lista global'!P106</f>
        <v>14.212499999999999</v>
      </c>
      <c r="I10" s="3697">
        <f>$G10*'Lista global'!Q106</f>
        <v>11.968421052631578</v>
      </c>
      <c r="J10" s="1383" t="s">
        <v>1302</v>
      </c>
      <c r="N10" s="1368" t="s">
        <v>1392</v>
      </c>
      <c r="O10" s="1369"/>
    </row>
    <row r="11" spans="2:15" s="306" customFormat="1" ht="15.75" customHeight="1" x14ac:dyDescent="0.25">
      <c r="B11" s="4243"/>
      <c r="C11" s="328" t="s">
        <v>296</v>
      </c>
      <c r="D11" s="721">
        <v>106111816</v>
      </c>
      <c r="E11" s="330" t="s">
        <v>297</v>
      </c>
      <c r="F11" s="709">
        <v>1</v>
      </c>
      <c r="G11" s="1368">
        <v>1</v>
      </c>
      <c r="H11" s="2009">
        <f>$G11*'Lista global'!P107</f>
        <v>21.049999999999997</v>
      </c>
      <c r="I11" s="3697">
        <f>$G11*'Lista global'!Q107</f>
        <v>17.726315789473684</v>
      </c>
      <c r="J11" s="1383" t="s">
        <v>1302</v>
      </c>
      <c r="N11" s="1368" t="s">
        <v>1392</v>
      </c>
      <c r="O11" s="1369"/>
    </row>
    <row r="12" spans="2:15" s="306" customFormat="1" ht="15.75" customHeight="1" thickBot="1" x14ac:dyDescent="0.3">
      <c r="B12" s="4242"/>
      <c r="C12" s="331" t="s">
        <v>292</v>
      </c>
      <c r="D12" s="722">
        <v>106111814</v>
      </c>
      <c r="E12" s="333" t="s">
        <v>524</v>
      </c>
      <c r="F12" s="710">
        <v>1</v>
      </c>
      <c r="G12" s="1368">
        <v>1</v>
      </c>
      <c r="H12" s="2009">
        <f>$G12*'Lista global'!P105</f>
        <v>92.837499999999991</v>
      </c>
      <c r="I12" s="3697">
        <f>$G12*'Lista global'!Q105</f>
        <v>78.178947368421049</v>
      </c>
      <c r="J12" s="1383" t="s">
        <v>1302</v>
      </c>
      <c r="N12" s="1368" t="s">
        <v>1392</v>
      </c>
      <c r="O12" s="1369"/>
    </row>
    <row r="13" spans="2:15" s="306" customFormat="1" ht="15.75" customHeight="1" x14ac:dyDescent="0.25">
      <c r="B13" s="4241" t="s">
        <v>310</v>
      </c>
      <c r="C13" s="334" t="s">
        <v>67</v>
      </c>
      <c r="D13" s="724">
        <v>106104093</v>
      </c>
      <c r="E13" s="336" t="s">
        <v>1057</v>
      </c>
      <c r="F13" s="711">
        <v>1</v>
      </c>
      <c r="G13" s="1370">
        <f t="shared" ref="G13:G18" si="0">ROUND($G$2/8,0)</f>
        <v>1</v>
      </c>
      <c r="H13" s="2009">
        <f>$G13*'Lista global'!P17</f>
        <v>2.2624999999999997</v>
      </c>
      <c r="I13" s="3697">
        <f>$G13*'Lista global'!Q17</f>
        <v>1.905263157894737</v>
      </c>
      <c r="J13" s="1383"/>
      <c r="N13" s="1370">
        <v>1</v>
      </c>
      <c r="O13" s="1369"/>
    </row>
    <row r="14" spans="2:15" s="306" customFormat="1" ht="15.75" customHeight="1" thickBot="1" x14ac:dyDescent="0.3">
      <c r="B14" s="4242"/>
      <c r="C14" s="334" t="s">
        <v>65</v>
      </c>
      <c r="D14" s="724">
        <v>106104223</v>
      </c>
      <c r="E14" s="336" t="s">
        <v>92</v>
      </c>
      <c r="F14" s="711">
        <v>1</v>
      </c>
      <c r="G14" s="1370">
        <f t="shared" si="0"/>
        <v>1</v>
      </c>
      <c r="H14" s="2009">
        <f>$G14*'Lista global'!P48</f>
        <v>56.199999999999996</v>
      </c>
      <c r="I14" s="3697">
        <f>$G14*'Lista global'!Q48</f>
        <v>47.326315789473689</v>
      </c>
      <c r="J14" s="1383"/>
      <c r="N14" s="1370">
        <v>1</v>
      </c>
      <c r="O14" s="1369"/>
    </row>
    <row r="15" spans="2:15" s="306" customFormat="1" ht="15.75" customHeight="1" x14ac:dyDescent="0.25">
      <c r="B15" s="4241" t="s">
        <v>311</v>
      </c>
      <c r="C15" s="337" t="s">
        <v>312</v>
      </c>
      <c r="D15" s="725">
        <v>106104093</v>
      </c>
      <c r="E15" s="339" t="s">
        <v>1057</v>
      </c>
      <c r="F15" s="712">
        <v>1</v>
      </c>
      <c r="G15" s="1370">
        <f t="shared" si="0"/>
        <v>1</v>
      </c>
      <c r="H15" s="2009">
        <f>$G15*'Lista global'!P17</f>
        <v>2.2624999999999997</v>
      </c>
      <c r="I15" s="3697">
        <f>$G15*'Lista global'!Q17</f>
        <v>1.905263157894737</v>
      </c>
      <c r="J15" s="1383"/>
      <c r="N15" s="1370">
        <v>1</v>
      </c>
      <c r="O15" s="1369"/>
    </row>
    <row r="16" spans="2:15" s="306" customFormat="1" ht="15.75" customHeight="1" thickBot="1" x14ac:dyDescent="0.3">
      <c r="B16" s="4242"/>
      <c r="C16" s="337" t="s">
        <v>285</v>
      </c>
      <c r="D16" s="725">
        <v>106104219</v>
      </c>
      <c r="E16" s="339" t="s">
        <v>96</v>
      </c>
      <c r="F16" s="712">
        <v>1</v>
      </c>
      <c r="G16" s="1370">
        <f t="shared" si="0"/>
        <v>1</v>
      </c>
      <c r="H16" s="2009">
        <f>$G16*'Lista global'!P46</f>
        <v>25.224999999999998</v>
      </c>
      <c r="I16" s="3697">
        <f>$G16*'Lista global'!Q46</f>
        <v>21.242105263157896</v>
      </c>
      <c r="J16" s="1383"/>
      <c r="N16" s="1370">
        <v>1</v>
      </c>
      <c r="O16" s="1369"/>
    </row>
    <row r="17" spans="1:15" s="306" customFormat="1" ht="15.75" customHeight="1" x14ac:dyDescent="0.25">
      <c r="B17" s="4241" t="s">
        <v>313</v>
      </c>
      <c r="C17" s="340" t="s">
        <v>314</v>
      </c>
      <c r="D17" s="727">
        <v>106104093</v>
      </c>
      <c r="E17" s="342" t="s">
        <v>1057</v>
      </c>
      <c r="F17" s="726">
        <v>1</v>
      </c>
      <c r="G17" s="1370">
        <f t="shared" si="0"/>
        <v>1</v>
      </c>
      <c r="H17" s="2009">
        <f>$G17*'Lista global'!P17</f>
        <v>2.2624999999999997</v>
      </c>
      <c r="I17" s="3697">
        <f>$G17*'Lista global'!Q17</f>
        <v>1.905263157894737</v>
      </c>
      <c r="J17" s="1383"/>
      <c r="N17" s="1370">
        <v>1</v>
      </c>
      <c r="O17" s="1369"/>
    </row>
    <row r="18" spans="1:15" s="306" customFormat="1" ht="15.75" customHeight="1" thickBot="1" x14ac:dyDescent="0.3">
      <c r="B18" s="4242"/>
      <c r="C18" s="340" t="s">
        <v>286</v>
      </c>
      <c r="D18" s="727">
        <v>106104221</v>
      </c>
      <c r="E18" s="342" t="s">
        <v>463</v>
      </c>
      <c r="F18" s="726">
        <v>1</v>
      </c>
      <c r="G18" s="1370">
        <f t="shared" si="0"/>
        <v>1</v>
      </c>
      <c r="H18" s="2009">
        <f>$G18*'Lista global'!P47</f>
        <v>31.837499999999999</v>
      </c>
      <c r="I18" s="3697">
        <f>$G18*'Lista global'!Q47</f>
        <v>26.810526315789474</v>
      </c>
      <c r="J18" s="1383"/>
      <c r="N18" s="1370">
        <v>1</v>
      </c>
      <c r="O18" s="1369"/>
    </row>
    <row r="19" spans="1:15" s="306" customFormat="1" ht="15.75" customHeight="1" x14ac:dyDescent="0.25">
      <c r="B19" s="4241" t="s">
        <v>315</v>
      </c>
      <c r="C19" s="343" t="s">
        <v>21</v>
      </c>
      <c r="D19" s="729">
        <v>106104119</v>
      </c>
      <c r="E19" s="345" t="s">
        <v>152</v>
      </c>
      <c r="F19" s="728">
        <v>1</v>
      </c>
      <c r="G19" s="1368">
        <v>1</v>
      </c>
      <c r="H19" s="2009">
        <f>$G19*'Lista global'!P26</f>
        <v>412.58749999999998</v>
      </c>
      <c r="I19" s="3697">
        <f>$G19*'Lista global'!Q26</f>
        <v>347.44210526315788</v>
      </c>
      <c r="J19" s="1383" t="s">
        <v>1302</v>
      </c>
      <c r="N19" s="1368" t="s">
        <v>1392</v>
      </c>
      <c r="O19" s="1369"/>
    </row>
    <row r="20" spans="1:15" s="306" customFormat="1" ht="15.75" customHeight="1" x14ac:dyDescent="0.25">
      <c r="B20" s="4243"/>
      <c r="C20" s="343" t="s">
        <v>281</v>
      </c>
      <c r="D20" s="729">
        <v>106104084</v>
      </c>
      <c r="E20" s="345" t="s">
        <v>282</v>
      </c>
      <c r="F20" s="728">
        <v>1</v>
      </c>
      <c r="G20" s="1368">
        <v>1</v>
      </c>
      <c r="H20" s="2009">
        <f>$G20*'Lista global'!P13</f>
        <v>61.074999999999996</v>
      </c>
      <c r="I20" s="3697">
        <f>$G20*'Lista global'!Q13</f>
        <v>51.431578947368422</v>
      </c>
      <c r="J20" s="1383" t="s">
        <v>1302</v>
      </c>
      <c r="N20" s="1368" t="s">
        <v>1392</v>
      </c>
      <c r="O20" s="1369"/>
    </row>
    <row r="21" spans="1:15" s="306" customFormat="1" ht="15.75" customHeight="1" x14ac:dyDescent="0.25">
      <c r="B21" s="4243"/>
      <c r="C21" s="343" t="s">
        <v>283</v>
      </c>
      <c r="D21" s="729">
        <v>106100918</v>
      </c>
      <c r="E21" s="345" t="s">
        <v>284</v>
      </c>
      <c r="F21" s="728">
        <v>1</v>
      </c>
      <c r="G21" s="1368">
        <v>1</v>
      </c>
      <c r="H21" s="2009">
        <f>$G21*'Lista global'!P3</f>
        <v>3.875</v>
      </c>
      <c r="I21" s="3697">
        <f>$G21*'Lista global'!Q3</f>
        <v>3.2631578947368425</v>
      </c>
      <c r="J21" s="1383" t="s">
        <v>1302</v>
      </c>
      <c r="N21" s="1368" t="s">
        <v>1392</v>
      </c>
      <c r="O21" s="1369"/>
    </row>
    <row r="22" spans="1:15" s="306" customFormat="1" ht="15.75" customHeight="1" thickBot="1" x14ac:dyDescent="0.3">
      <c r="B22" s="4242"/>
      <c r="C22" s="343" t="s">
        <v>64</v>
      </c>
      <c r="D22" s="729">
        <v>106104128</v>
      </c>
      <c r="E22" s="345" t="s">
        <v>154</v>
      </c>
      <c r="F22" s="728">
        <v>1</v>
      </c>
      <c r="G22" s="1368">
        <v>1</v>
      </c>
      <c r="H22" s="2009">
        <f>$G22*'Lista global'!P29</f>
        <v>8.5374999999999996</v>
      </c>
      <c r="I22" s="3697">
        <f>$G22*'Lista global'!Q29</f>
        <v>7.1894736842105269</v>
      </c>
      <c r="J22" s="1383" t="s">
        <v>1302</v>
      </c>
      <c r="N22" s="1368" t="s">
        <v>1392</v>
      </c>
      <c r="O22" s="1369"/>
    </row>
    <row r="23" spans="1:15" s="306" customFormat="1" ht="15.75" customHeight="1" x14ac:dyDescent="0.25">
      <c r="B23" s="4246"/>
      <c r="C23" s="346" t="s">
        <v>271</v>
      </c>
      <c r="D23" s="1512">
        <v>106120457</v>
      </c>
      <c r="E23" s="346" t="s">
        <v>272</v>
      </c>
      <c r="F23" s="1604">
        <v>2</v>
      </c>
      <c r="G23" s="1368">
        <f>2*ROUNDUP($G$2/10,0)</f>
        <v>2</v>
      </c>
      <c r="H23" s="2009">
        <f>$G23*'Lista global'!P174</f>
        <v>129.25</v>
      </c>
      <c r="I23" s="3697">
        <f>$G23*'Lista global'!Q174</f>
        <v>108.8421052631579</v>
      </c>
      <c r="N23" s="1368">
        <v>2</v>
      </c>
      <c r="O23" s="1369"/>
    </row>
    <row r="24" spans="1:15" s="306" customFormat="1" ht="15.75" customHeight="1" x14ac:dyDescent="0.25">
      <c r="B24" s="4247"/>
      <c r="C24" s="349" t="s">
        <v>287</v>
      </c>
      <c r="D24" s="575">
        <v>106105422</v>
      </c>
      <c r="E24" s="349" t="s">
        <v>288</v>
      </c>
      <c r="F24" s="705">
        <v>3</v>
      </c>
      <c r="G24" s="1368">
        <f>3*$G$36</f>
        <v>3</v>
      </c>
      <c r="H24" s="2009">
        <f>$G24*'Lista global'!P65</f>
        <v>4.0875000000000004</v>
      </c>
      <c r="I24" s="3697">
        <f>$G24*'Lista global'!Q65</f>
        <v>3.4421052631578952</v>
      </c>
      <c r="N24" s="1368">
        <v>3</v>
      </c>
      <c r="O24" s="1369"/>
    </row>
    <row r="25" spans="1:15" s="306" customFormat="1" ht="15.75" customHeight="1" x14ac:dyDescent="0.25">
      <c r="B25" s="4247"/>
      <c r="C25" s="349"/>
      <c r="D25" s="575">
        <v>106112100</v>
      </c>
      <c r="E25" s="349" t="s">
        <v>319</v>
      </c>
      <c r="F25" s="705">
        <v>1</v>
      </c>
      <c r="G25" s="1368">
        <f>$G$36</f>
        <v>1</v>
      </c>
      <c r="H25" s="2009">
        <f>$G25*'Lista global'!P110</f>
        <v>65.424999999999997</v>
      </c>
      <c r="I25" s="3697">
        <f>$G25*'Lista global'!Q110</f>
        <v>55.09473684210527</v>
      </c>
      <c r="J25" s="1383" t="s">
        <v>1077</v>
      </c>
      <c r="N25" s="1368" t="s">
        <v>1392</v>
      </c>
      <c r="O25" s="1369"/>
    </row>
    <row r="26" spans="1:15" s="306" customFormat="1" ht="15.75" customHeight="1" x14ac:dyDescent="0.25">
      <c r="B26" s="4247"/>
      <c r="C26" s="349" t="s">
        <v>29</v>
      </c>
      <c r="D26" s="575">
        <v>106105387</v>
      </c>
      <c r="E26" s="349" t="s">
        <v>673</v>
      </c>
      <c r="F26" s="705">
        <v>1</v>
      </c>
      <c r="G26" s="1368">
        <f>ROUNDUP($G$2/10,0)</f>
        <v>1</v>
      </c>
      <c r="H26" s="2009">
        <f>$G26*'Lista global'!P61</f>
        <v>642.19999999999993</v>
      </c>
      <c r="I26" s="3697">
        <f>$G26*'Lista global'!Q61</f>
        <v>540.80000000000007</v>
      </c>
      <c r="N26" s="1368">
        <v>1</v>
      </c>
      <c r="O26" s="1369"/>
    </row>
    <row r="27" spans="1:15" s="306" customFormat="1" ht="15.75" customHeight="1" x14ac:dyDescent="0.25">
      <c r="A27" s="373"/>
      <c r="B27" s="4247"/>
      <c r="C27" s="349" t="s">
        <v>464</v>
      </c>
      <c r="D27" s="575">
        <v>106114701</v>
      </c>
      <c r="E27" s="349" t="s">
        <v>273</v>
      </c>
      <c r="F27" s="705">
        <v>1</v>
      </c>
      <c r="G27" s="1370">
        <f>ROUND($G$2/4,0)</f>
        <v>2</v>
      </c>
      <c r="H27" s="2009">
        <f>$G27*'Lista global'!P146</f>
        <v>185.7</v>
      </c>
      <c r="I27" s="3697">
        <f>$G27*'Lista global'!Q146</f>
        <v>156.37894736842105</v>
      </c>
      <c r="N27" s="1370">
        <v>2</v>
      </c>
      <c r="O27" s="1369"/>
    </row>
    <row r="28" spans="1:15" s="306" customFormat="1" ht="15.75" customHeight="1" x14ac:dyDescent="0.25">
      <c r="A28" s="373"/>
      <c r="B28" s="4247"/>
      <c r="C28" s="349" t="s">
        <v>289</v>
      </c>
      <c r="D28" s="575">
        <v>106104397</v>
      </c>
      <c r="E28" s="349" t="s">
        <v>551</v>
      </c>
      <c r="F28" s="705">
        <v>1</v>
      </c>
      <c r="G28" s="1370">
        <f>ROUND($G$2/4,0)</f>
        <v>2</v>
      </c>
      <c r="H28" s="2009">
        <f>$G28*'Lista global'!P52</f>
        <v>188.85</v>
      </c>
      <c r="I28" s="3697">
        <f>$G28*'Lista global'!Q52</f>
        <v>159.03157894736844</v>
      </c>
      <c r="N28" s="1370">
        <v>2</v>
      </c>
      <c r="O28" s="1369"/>
    </row>
    <row r="29" spans="1:15" s="306" customFormat="1" ht="15.75" customHeight="1" x14ac:dyDescent="0.25">
      <c r="A29" s="373"/>
      <c r="B29" s="4247"/>
      <c r="C29" s="349" t="s">
        <v>138</v>
      </c>
      <c r="D29" s="575">
        <v>106104101</v>
      </c>
      <c r="E29" s="349" t="s">
        <v>162</v>
      </c>
      <c r="F29" s="705">
        <v>1</v>
      </c>
      <c r="G29" s="1370">
        <f>ROUNDUP($G$2/10,0)</f>
        <v>1</v>
      </c>
      <c r="H29" s="2009">
        <f>$G29*'Lista global'!P21</f>
        <v>2.0125000000000002</v>
      </c>
      <c r="I29" s="3697">
        <f>$G29*'Lista global'!Q21</f>
        <v>1.6947368421052633</v>
      </c>
      <c r="J29" s="1383" t="s">
        <v>1077</v>
      </c>
      <c r="N29" s="1368" t="s">
        <v>1392</v>
      </c>
      <c r="O29" s="1369"/>
    </row>
    <row r="30" spans="1:15" s="306" customFormat="1" ht="15.75" customHeight="1" x14ac:dyDescent="0.25">
      <c r="A30" s="373"/>
      <c r="B30" s="4247"/>
      <c r="C30" s="349" t="s">
        <v>298</v>
      </c>
      <c r="D30" s="575">
        <v>106114697</v>
      </c>
      <c r="E30" s="349" t="s">
        <v>299</v>
      </c>
      <c r="F30" s="705">
        <v>3</v>
      </c>
      <c r="G30" s="1368">
        <f>G31</f>
        <v>3</v>
      </c>
      <c r="H30" s="2009">
        <f>$G30*'Lista global'!P144</f>
        <v>4.0500000000000007</v>
      </c>
      <c r="I30" s="3697">
        <f>$G30*'Lista global'!Q144</f>
        <v>3.4105263157894745</v>
      </c>
      <c r="N30" s="1368">
        <v>2</v>
      </c>
      <c r="O30" s="1369"/>
    </row>
    <row r="31" spans="1:15" s="306" customFormat="1" ht="15.75" customHeight="1" x14ac:dyDescent="0.25">
      <c r="A31" s="371"/>
      <c r="B31" s="4247"/>
      <c r="C31" s="349" t="s">
        <v>323</v>
      </c>
      <c r="D31" s="575">
        <v>106112525</v>
      </c>
      <c r="E31" s="349" t="s">
        <v>300</v>
      </c>
      <c r="F31" s="705">
        <v>3</v>
      </c>
      <c r="G31" s="1371">
        <f>ROUNDUP($G$2*F31/10,0)</f>
        <v>3</v>
      </c>
      <c r="H31" s="2009">
        <f>$G31*'Lista global'!P113</f>
        <v>291.48749999999995</v>
      </c>
      <c r="I31" s="3697">
        <f>$G31*'Lista global'!Q113</f>
        <v>245.46315789473687</v>
      </c>
      <c r="N31" s="1371">
        <v>2</v>
      </c>
      <c r="O31" s="1369"/>
    </row>
    <row r="32" spans="1:15" s="371" customFormat="1" ht="15.75" customHeight="1" x14ac:dyDescent="0.25">
      <c r="A32" s="306"/>
      <c r="B32" s="4247"/>
      <c r="C32" s="370" t="s">
        <v>108</v>
      </c>
      <c r="D32" s="1513">
        <v>106104330</v>
      </c>
      <c r="E32" s="602" t="s">
        <v>466</v>
      </c>
      <c r="F32" s="1685">
        <v>1</v>
      </c>
      <c r="G32" s="1368">
        <f>ROUNDUP($G$2/10,0)</f>
        <v>1</v>
      </c>
      <c r="H32" s="2009">
        <f>$G32*'Lista global'!P51</f>
        <v>235.3</v>
      </c>
      <c r="I32" s="3697">
        <f>$G32*'Lista global'!Q51</f>
        <v>156.86666666666667</v>
      </c>
      <c r="J32" s="306"/>
      <c r="N32" s="1368">
        <v>1</v>
      </c>
      <c r="O32" s="1369"/>
    </row>
    <row r="33" spans="1:15" s="306" customFormat="1" ht="15.75" customHeight="1" x14ac:dyDescent="0.25">
      <c r="B33" s="4247"/>
      <c r="C33" s="349" t="s">
        <v>40</v>
      </c>
      <c r="D33" s="575">
        <v>106200771</v>
      </c>
      <c r="E33" s="349" t="s">
        <v>322</v>
      </c>
      <c r="F33" s="705">
        <v>1</v>
      </c>
      <c r="G33" s="1370">
        <v>1</v>
      </c>
      <c r="H33" s="2009">
        <f>$G33*'Lista global'!P183</f>
        <v>49.199999999999996</v>
      </c>
      <c r="I33" s="3697">
        <f>$G33*'Lista global'!Q183</f>
        <v>32.800000000000004</v>
      </c>
      <c r="J33" s="1383" t="s">
        <v>1302</v>
      </c>
      <c r="N33" s="1368" t="s">
        <v>1392</v>
      </c>
      <c r="O33" s="1369"/>
    </row>
    <row r="34" spans="1:15" ht="15.75" customHeight="1" x14ac:dyDescent="0.25">
      <c r="A34" s="503" t="s">
        <v>647</v>
      </c>
      <c r="B34" s="4247"/>
      <c r="C34" s="184"/>
      <c r="D34" s="597">
        <v>106112712</v>
      </c>
      <c r="E34" s="402" t="s">
        <v>683</v>
      </c>
      <c r="F34" s="575">
        <v>3</v>
      </c>
      <c r="G34" s="1510">
        <f>3*$G$36</f>
        <v>3</v>
      </c>
      <c r="H34" s="2009">
        <f>$G34*'Lista global'!P117</f>
        <v>12.974999999999998</v>
      </c>
      <c r="I34" s="3697">
        <f>$G34*'Lista global'!Q117</f>
        <v>10.926315789473685</v>
      </c>
      <c r="J34" s="306"/>
      <c r="K34" s="11"/>
      <c r="N34" s="1510">
        <v>3</v>
      </c>
      <c r="O34" s="1369"/>
    </row>
    <row r="35" spans="1:15" s="306" customFormat="1" ht="15.75" thickBot="1" x14ac:dyDescent="0.3">
      <c r="B35" s="4248"/>
      <c r="C35" s="600" t="s">
        <v>196</v>
      </c>
      <c r="D35" s="1514">
        <v>106201346</v>
      </c>
      <c r="E35" s="1509" t="s">
        <v>324</v>
      </c>
      <c r="F35" s="706">
        <v>1</v>
      </c>
      <c r="G35" s="1551">
        <f>ROUNDDOWN($G$2/4,0)</f>
        <v>2</v>
      </c>
      <c r="H35" s="2010">
        <f>$G35*'Lista global'!P199</f>
        <v>147.44999999999999</v>
      </c>
      <c r="I35" s="3698">
        <f>$G35*'Lista global'!Q199</f>
        <v>98.3</v>
      </c>
      <c r="J35" s="11"/>
      <c r="N35" s="1371">
        <v>2</v>
      </c>
      <c r="O35" s="1369"/>
    </row>
    <row r="36" spans="1:15" s="306" customFormat="1" ht="15.75" customHeight="1" thickBot="1" x14ac:dyDescent="0.3">
      <c r="A36" s="11"/>
      <c r="B36" s="355"/>
      <c r="C36" s="352" t="s">
        <v>270</v>
      </c>
      <c r="D36" s="730">
        <v>106200858</v>
      </c>
      <c r="E36" s="1515" t="s">
        <v>467</v>
      </c>
      <c r="F36" s="706">
        <v>1</v>
      </c>
      <c r="G36" s="1687">
        <f>ROUNDUP(G2*3/100,0)</f>
        <v>1</v>
      </c>
      <c r="H36" s="2011">
        <f>$G36*'Lista global'!P191</f>
        <v>5836.7058823529405</v>
      </c>
      <c r="I36" s="3699">
        <f>$G36*'Lista global'!Q191</f>
        <v>3600</v>
      </c>
      <c r="N36" s="1372">
        <v>1</v>
      </c>
      <c r="O36" s="1373"/>
    </row>
    <row r="37" spans="1:15" ht="15.75" thickBot="1" x14ac:dyDescent="0.3">
      <c r="G37" s="1516" t="s">
        <v>941</v>
      </c>
      <c r="H37" s="1517">
        <f>SUM(H4:H36)</f>
        <v>9599.2558823529398</v>
      </c>
      <c r="I37" s="1517">
        <f>SUM(I4:I36)</f>
        <v>6692.6824561403519</v>
      </c>
      <c r="J37" s="306"/>
      <c r="K37" s="11"/>
      <c r="N37" s="1516" t="s">
        <v>941</v>
      </c>
      <c r="O37" s="1517">
        <f>SUM(O4:O36)</f>
        <v>0</v>
      </c>
    </row>
    <row r="38" spans="1:15" ht="15.75" thickBot="1" x14ac:dyDescent="0.3"/>
    <row r="39" spans="1:15" ht="15.75" thickBot="1" x14ac:dyDescent="0.3">
      <c r="B39" s="1602" t="s">
        <v>495</v>
      </c>
      <c r="C39" s="1602"/>
      <c r="D39" s="1579"/>
      <c r="E39" s="1579"/>
      <c r="F39" s="1606" t="s">
        <v>1382</v>
      </c>
      <c r="G39" s="11"/>
      <c r="H39" s="39"/>
      <c r="I39" s="2633"/>
      <c r="K39" s="11"/>
    </row>
    <row r="40" spans="1:15" ht="30.75" thickBot="1" x14ac:dyDescent="0.3">
      <c r="B40" s="4239" t="s">
        <v>79</v>
      </c>
      <c r="C40" s="4240"/>
      <c r="D40" s="1492" t="s">
        <v>326</v>
      </c>
      <c r="E40" s="1493" t="s">
        <v>250</v>
      </c>
      <c r="F40" s="1511" t="s">
        <v>960</v>
      </c>
      <c r="G40" s="11"/>
      <c r="J40" s="11"/>
      <c r="K40" s="11"/>
    </row>
    <row r="41" spans="1:15" ht="15" customHeight="1" x14ac:dyDescent="0.25">
      <c r="B41" s="4183" t="s">
        <v>263</v>
      </c>
      <c r="C41" s="321" t="s">
        <v>274</v>
      </c>
      <c r="D41" s="322">
        <v>106104164</v>
      </c>
      <c r="E41" s="323" t="s">
        <v>275</v>
      </c>
      <c r="F41" s="707">
        <v>1</v>
      </c>
      <c r="G41" s="11"/>
      <c r="J41" s="11"/>
      <c r="K41" s="11"/>
    </row>
    <row r="42" spans="1:15" x14ac:dyDescent="0.25">
      <c r="B42" s="4185"/>
      <c r="C42" s="324" t="s">
        <v>276</v>
      </c>
      <c r="D42" s="366">
        <v>106104211</v>
      </c>
      <c r="E42" s="325" t="s">
        <v>277</v>
      </c>
      <c r="F42" s="702">
        <v>1</v>
      </c>
      <c r="G42" s="11"/>
      <c r="H42" s="86"/>
      <c r="I42" s="86"/>
      <c r="J42" s="11"/>
      <c r="K42" s="11"/>
    </row>
    <row r="43" spans="1:15" x14ac:dyDescent="0.25">
      <c r="B43" s="4185"/>
      <c r="C43" s="324" t="s">
        <v>279</v>
      </c>
      <c r="D43" s="366">
        <v>106106242</v>
      </c>
      <c r="E43" s="325" t="s">
        <v>280</v>
      </c>
      <c r="F43" s="702">
        <v>1</v>
      </c>
      <c r="G43" s="11"/>
      <c r="J43" s="11"/>
      <c r="K43" s="11"/>
    </row>
    <row r="44" spans="1:15" ht="15.75" thickBot="1" x14ac:dyDescent="0.3">
      <c r="B44" s="4206"/>
      <c r="C44" s="326" t="s">
        <v>278</v>
      </c>
      <c r="D44" s="367">
        <v>106104214</v>
      </c>
      <c r="E44" s="327" t="s">
        <v>304</v>
      </c>
      <c r="F44" s="708">
        <v>1</v>
      </c>
      <c r="G44" s="11"/>
      <c r="J44" s="11"/>
      <c r="K44" s="11"/>
    </row>
    <row r="45" spans="1:15" ht="15" customHeight="1" x14ac:dyDescent="0.25">
      <c r="B45" s="4183" t="s">
        <v>305</v>
      </c>
      <c r="C45" s="328" t="s">
        <v>301</v>
      </c>
      <c r="D45" s="329">
        <v>106104092</v>
      </c>
      <c r="E45" s="330" t="s">
        <v>302</v>
      </c>
      <c r="F45" s="709">
        <v>1</v>
      </c>
      <c r="G45" s="11"/>
      <c r="J45" s="11"/>
      <c r="K45" s="11"/>
    </row>
    <row r="46" spans="1:15" x14ac:dyDescent="0.25">
      <c r="B46" s="4185"/>
      <c r="C46" s="328" t="s">
        <v>290</v>
      </c>
      <c r="D46" s="329">
        <v>106110473</v>
      </c>
      <c r="E46" s="330" t="s">
        <v>291</v>
      </c>
      <c r="F46" s="709">
        <v>1</v>
      </c>
      <c r="G46" s="11"/>
      <c r="J46" s="11"/>
      <c r="K46" s="11"/>
    </row>
    <row r="47" spans="1:15" x14ac:dyDescent="0.25">
      <c r="B47" s="4185"/>
      <c r="C47" s="328" t="s">
        <v>294</v>
      </c>
      <c r="D47" s="329">
        <v>106111815</v>
      </c>
      <c r="E47" s="330" t="s">
        <v>295</v>
      </c>
      <c r="F47" s="709">
        <v>1</v>
      </c>
      <c r="G47" s="11"/>
      <c r="J47" s="11"/>
      <c r="K47" s="11"/>
    </row>
    <row r="48" spans="1:15" x14ac:dyDescent="0.25">
      <c r="B48" s="4185"/>
      <c r="C48" s="328" t="s">
        <v>296</v>
      </c>
      <c r="D48" s="329">
        <v>106111816</v>
      </c>
      <c r="E48" s="330" t="s">
        <v>297</v>
      </c>
      <c r="F48" s="709">
        <v>1</v>
      </c>
      <c r="G48" s="11"/>
      <c r="J48" s="11"/>
      <c r="K48" s="11"/>
    </row>
    <row r="49" spans="2:11" ht="15.75" thickBot="1" x14ac:dyDescent="0.3">
      <c r="B49" s="4206"/>
      <c r="C49" s="331" t="s">
        <v>292</v>
      </c>
      <c r="D49" s="332">
        <v>106111814</v>
      </c>
      <c r="E49" s="333" t="s">
        <v>293</v>
      </c>
      <c r="F49" s="710">
        <v>1</v>
      </c>
      <c r="G49" s="11"/>
      <c r="J49" s="11"/>
      <c r="K49" s="11"/>
    </row>
    <row r="50" spans="2:11" ht="15" customHeight="1" x14ac:dyDescent="0.25">
      <c r="B50" s="4183" t="s">
        <v>310</v>
      </c>
      <c r="C50" s="334" t="s">
        <v>67</v>
      </c>
      <c r="D50" s="335">
        <v>106104093</v>
      </c>
      <c r="E50" s="336" t="s">
        <v>1057</v>
      </c>
      <c r="F50" s="711">
        <v>1</v>
      </c>
      <c r="G50" s="11"/>
      <c r="J50" s="11"/>
      <c r="K50" s="11"/>
    </row>
    <row r="51" spans="2:11" ht="15.75" thickBot="1" x14ac:dyDescent="0.3">
      <c r="B51" s="4206"/>
      <c r="C51" s="334" t="s">
        <v>65</v>
      </c>
      <c r="D51" s="335">
        <v>106104223</v>
      </c>
      <c r="E51" s="336" t="s">
        <v>92</v>
      </c>
      <c r="F51" s="711">
        <v>1</v>
      </c>
      <c r="G51" s="11"/>
      <c r="J51" s="11"/>
      <c r="K51" s="11"/>
    </row>
    <row r="52" spans="2:11" ht="15" customHeight="1" x14ac:dyDescent="0.25">
      <c r="B52" s="4183" t="s">
        <v>311</v>
      </c>
      <c r="C52" s="337" t="s">
        <v>312</v>
      </c>
      <c r="D52" s="338">
        <v>106104093</v>
      </c>
      <c r="E52" s="339" t="s">
        <v>1057</v>
      </c>
      <c r="F52" s="712">
        <v>1</v>
      </c>
      <c r="G52" s="11"/>
      <c r="J52" s="11"/>
      <c r="K52" s="11"/>
    </row>
    <row r="53" spans="2:11" ht="15.75" thickBot="1" x14ac:dyDescent="0.3">
      <c r="B53" s="4206"/>
      <c r="C53" s="337" t="s">
        <v>285</v>
      </c>
      <c r="D53" s="338">
        <v>106104219</v>
      </c>
      <c r="E53" s="339" t="s">
        <v>96</v>
      </c>
      <c r="F53" s="712">
        <v>1</v>
      </c>
      <c r="G53" s="11"/>
      <c r="J53" s="11"/>
      <c r="K53" s="11"/>
    </row>
    <row r="54" spans="2:11" ht="15" customHeight="1" x14ac:dyDescent="0.25">
      <c r="B54" s="4183" t="s">
        <v>313</v>
      </c>
      <c r="C54" s="340" t="s">
        <v>314</v>
      </c>
      <c r="D54" s="341">
        <v>106104093</v>
      </c>
      <c r="E54" s="342" t="s">
        <v>1057</v>
      </c>
      <c r="F54" s="726">
        <v>1</v>
      </c>
      <c r="G54" s="11"/>
      <c r="J54" s="11"/>
      <c r="K54" s="11"/>
    </row>
    <row r="55" spans="2:11" ht="15.75" thickBot="1" x14ac:dyDescent="0.3">
      <c r="B55" s="4206"/>
      <c r="C55" s="340" t="s">
        <v>286</v>
      </c>
      <c r="D55" s="341">
        <v>106104221</v>
      </c>
      <c r="E55" s="342" t="s">
        <v>463</v>
      </c>
      <c r="F55" s="726">
        <v>1</v>
      </c>
      <c r="G55" s="11"/>
      <c r="J55" s="11"/>
      <c r="K55" s="11"/>
    </row>
    <row r="56" spans="2:11" ht="15" customHeight="1" x14ac:dyDescent="0.25">
      <c r="B56" s="4183" t="s">
        <v>315</v>
      </c>
      <c r="C56" s="343" t="s">
        <v>21</v>
      </c>
      <c r="D56" s="344">
        <v>106104119</v>
      </c>
      <c r="E56" s="345" t="s">
        <v>152</v>
      </c>
      <c r="F56" s="728">
        <v>1</v>
      </c>
      <c r="G56" s="11"/>
      <c r="J56" s="11"/>
      <c r="K56" s="11"/>
    </row>
    <row r="57" spans="2:11" x14ac:dyDescent="0.25">
      <c r="B57" s="4185"/>
      <c r="C57" s="343" t="s">
        <v>281</v>
      </c>
      <c r="D57" s="344">
        <v>106104084</v>
      </c>
      <c r="E57" s="345" t="s">
        <v>282</v>
      </c>
      <c r="F57" s="728">
        <v>1</v>
      </c>
      <c r="G57" s="11"/>
      <c r="J57" s="11"/>
      <c r="K57" s="11"/>
    </row>
    <row r="58" spans="2:11" x14ac:dyDescent="0.25">
      <c r="B58" s="4185"/>
      <c r="C58" s="343" t="s">
        <v>283</v>
      </c>
      <c r="D58" s="344">
        <v>106100918</v>
      </c>
      <c r="E58" s="345" t="s">
        <v>284</v>
      </c>
      <c r="F58" s="728">
        <v>1</v>
      </c>
      <c r="G58" s="11"/>
      <c r="J58" s="11"/>
      <c r="K58" s="11"/>
    </row>
    <row r="59" spans="2:11" ht="15.75" thickBot="1" x14ac:dyDescent="0.3">
      <c r="B59" s="4206"/>
      <c r="C59" s="1041" t="s">
        <v>64</v>
      </c>
      <c r="D59" s="1042">
        <v>106104128</v>
      </c>
      <c r="E59" s="1043" t="s">
        <v>154</v>
      </c>
      <c r="F59" s="728">
        <v>1</v>
      </c>
      <c r="G59" s="11"/>
      <c r="J59" s="11"/>
      <c r="K59" s="11"/>
    </row>
    <row r="60" spans="2:11" x14ac:dyDescent="0.25">
      <c r="B60" s="1038"/>
      <c r="C60" s="349" t="s">
        <v>271</v>
      </c>
      <c r="D60" s="156">
        <v>106120457</v>
      </c>
      <c r="E60" s="350" t="s">
        <v>272</v>
      </c>
      <c r="F60" s="1604">
        <v>2</v>
      </c>
      <c r="G60" s="11"/>
      <c r="J60" s="11"/>
      <c r="K60" s="11"/>
    </row>
    <row r="61" spans="2:11" x14ac:dyDescent="0.25">
      <c r="B61" s="1039"/>
      <c r="C61" s="349" t="s">
        <v>287</v>
      </c>
      <c r="D61" s="156">
        <v>106105422</v>
      </c>
      <c r="E61" s="350" t="s">
        <v>288</v>
      </c>
      <c r="F61" s="705">
        <v>3</v>
      </c>
      <c r="G61" s="11"/>
      <c r="J61" s="11"/>
      <c r="K61" s="11"/>
    </row>
    <row r="62" spans="2:11" x14ac:dyDescent="0.25">
      <c r="B62" s="1039"/>
      <c r="C62" s="349"/>
      <c r="D62" s="156">
        <v>106112100</v>
      </c>
      <c r="E62" s="350" t="s">
        <v>319</v>
      </c>
      <c r="F62" s="705">
        <v>1</v>
      </c>
      <c r="G62" s="11"/>
      <c r="J62" s="11"/>
      <c r="K62" s="11"/>
    </row>
    <row r="63" spans="2:11" x14ac:dyDescent="0.25">
      <c r="B63" s="1039"/>
      <c r="C63" s="349" t="s">
        <v>29</v>
      </c>
      <c r="D63" s="156">
        <v>106105387</v>
      </c>
      <c r="E63" s="350" t="s">
        <v>87</v>
      </c>
      <c r="F63" s="705">
        <v>1</v>
      </c>
      <c r="G63" s="11"/>
      <c r="J63" s="11"/>
      <c r="K63" s="11"/>
    </row>
    <row r="64" spans="2:11" x14ac:dyDescent="0.25">
      <c r="B64" s="1039"/>
      <c r="C64" s="349" t="s">
        <v>464</v>
      </c>
      <c r="D64" s="156">
        <v>106110278</v>
      </c>
      <c r="E64" s="350" t="s">
        <v>273</v>
      </c>
      <c r="F64" s="705">
        <v>1</v>
      </c>
      <c r="G64" s="11"/>
      <c r="J64" s="11"/>
      <c r="K64" s="11"/>
    </row>
    <row r="65" spans="1:11" ht="30" x14ac:dyDescent="0.25">
      <c r="B65" s="1039"/>
      <c r="C65" s="349" t="s">
        <v>289</v>
      </c>
      <c r="D65" s="156">
        <v>106104397</v>
      </c>
      <c r="E65" s="350" t="s">
        <v>551</v>
      </c>
      <c r="F65" s="705">
        <v>1</v>
      </c>
      <c r="G65" s="11"/>
      <c r="J65" s="11"/>
      <c r="K65" s="11"/>
    </row>
    <row r="66" spans="1:11" x14ac:dyDescent="0.25">
      <c r="B66" s="1039"/>
      <c r="C66" s="349" t="s">
        <v>138</v>
      </c>
      <c r="D66" s="156">
        <v>106104101</v>
      </c>
      <c r="E66" s="350" t="s">
        <v>162</v>
      </c>
      <c r="F66" s="705">
        <v>1</v>
      </c>
      <c r="G66" s="11"/>
      <c r="J66" s="11"/>
      <c r="K66" s="11"/>
    </row>
    <row r="67" spans="1:11" x14ac:dyDescent="0.25">
      <c r="B67" s="1039"/>
      <c r="C67" s="349" t="s">
        <v>298</v>
      </c>
      <c r="D67" s="156">
        <v>106105038</v>
      </c>
      <c r="E67" s="350" t="s">
        <v>299</v>
      </c>
      <c r="F67" s="705">
        <v>3</v>
      </c>
      <c r="G67" s="11"/>
      <c r="J67" s="11"/>
      <c r="K67" s="11"/>
    </row>
    <row r="68" spans="1:11" x14ac:dyDescent="0.25">
      <c r="B68" s="1039"/>
      <c r="C68" s="349" t="s">
        <v>323</v>
      </c>
      <c r="D68" s="156">
        <v>106105852</v>
      </c>
      <c r="E68" s="350" t="s">
        <v>300</v>
      </c>
      <c r="F68" s="705">
        <v>3</v>
      </c>
      <c r="G68" s="11"/>
      <c r="J68" s="11"/>
      <c r="K68" s="11"/>
    </row>
    <row r="69" spans="1:11" x14ac:dyDescent="0.25">
      <c r="B69" s="1039"/>
      <c r="C69" s="351" t="s">
        <v>108</v>
      </c>
      <c r="D69" s="156">
        <v>106104330</v>
      </c>
      <c r="E69" s="350" t="s">
        <v>466</v>
      </c>
      <c r="F69" s="705">
        <v>1</v>
      </c>
      <c r="G69" s="11"/>
      <c r="J69" s="11"/>
      <c r="K69" s="11"/>
    </row>
    <row r="70" spans="1:11" ht="15.75" customHeight="1" x14ac:dyDescent="0.25">
      <c r="A70" s="503" t="s">
        <v>647</v>
      </c>
      <c r="B70" s="1039"/>
      <c r="C70" s="184"/>
      <c r="D70" s="599">
        <v>106112712</v>
      </c>
      <c r="E70" s="1040" t="s">
        <v>683</v>
      </c>
      <c r="F70" s="575">
        <v>3</v>
      </c>
      <c r="G70" s="11"/>
      <c r="J70" s="11"/>
      <c r="K70" s="11"/>
    </row>
    <row r="71" spans="1:11" ht="15.75" thickBot="1" x14ac:dyDescent="0.3">
      <c r="B71" s="1039"/>
      <c r="C71" s="352" t="s">
        <v>40</v>
      </c>
      <c r="D71" s="353">
        <v>106200771</v>
      </c>
      <c r="E71" s="717" t="s">
        <v>322</v>
      </c>
      <c r="F71" s="705">
        <v>1</v>
      </c>
      <c r="G71" s="11"/>
      <c r="J71" s="11"/>
      <c r="K71" s="11"/>
    </row>
    <row r="72" spans="1:11" ht="30.75" thickBot="1" x14ac:dyDescent="0.3">
      <c r="B72" s="372"/>
      <c r="C72" s="600" t="s">
        <v>196</v>
      </c>
      <c r="D72" s="601">
        <v>106201346</v>
      </c>
      <c r="E72" s="717" t="s">
        <v>324</v>
      </c>
      <c r="F72" s="1605">
        <v>1</v>
      </c>
      <c r="G72" s="11"/>
      <c r="J72" s="11"/>
      <c r="K72" s="11"/>
    </row>
    <row r="73" spans="1:11" ht="15" customHeight="1" thickBot="1" x14ac:dyDescent="0.3">
      <c r="B73" s="315"/>
      <c r="C73" s="352" t="s">
        <v>270</v>
      </c>
      <c r="D73" s="353">
        <v>106200858</v>
      </c>
      <c r="E73" s="354" t="s">
        <v>467</v>
      </c>
      <c r="F73" s="706">
        <v>1</v>
      </c>
      <c r="G73" s="11"/>
      <c r="J73" s="11"/>
      <c r="K73" s="11"/>
    </row>
    <row r="75" spans="1:11" ht="15.75" thickBot="1" x14ac:dyDescent="0.3"/>
    <row r="76" spans="1:11" ht="15.75" thickBot="1" x14ac:dyDescent="0.3">
      <c r="B76" s="1602" t="s">
        <v>496</v>
      </c>
      <c r="C76" s="1579"/>
      <c r="D76" s="1579"/>
      <c r="E76" s="1579"/>
      <c r="F76" s="1603" t="s">
        <v>1382</v>
      </c>
      <c r="G76" s="11"/>
      <c r="H76" s="39"/>
      <c r="I76" s="2633"/>
      <c r="K76" s="11"/>
    </row>
    <row r="77" spans="1:11" ht="30.75" thickBot="1" x14ac:dyDescent="0.3">
      <c r="B77" s="4239" t="s">
        <v>79</v>
      </c>
      <c r="C77" s="4240"/>
      <c r="D77" s="1492" t="s">
        <v>326</v>
      </c>
      <c r="E77" s="1493" t="s">
        <v>250</v>
      </c>
      <c r="F77" s="1494" t="s">
        <v>960</v>
      </c>
      <c r="G77" s="11"/>
      <c r="J77" s="11"/>
      <c r="K77" s="11"/>
    </row>
    <row r="78" spans="1:11" ht="15" customHeight="1" x14ac:dyDescent="0.25">
      <c r="B78" s="4183" t="s">
        <v>263</v>
      </c>
      <c r="C78" s="321" t="s">
        <v>274</v>
      </c>
      <c r="D78" s="322">
        <v>106104164</v>
      </c>
      <c r="E78" s="323" t="s">
        <v>275</v>
      </c>
      <c r="F78" s="707">
        <v>1</v>
      </c>
      <c r="G78" s="11"/>
      <c r="J78" s="86"/>
      <c r="K78" s="11"/>
    </row>
    <row r="79" spans="1:11" x14ac:dyDescent="0.25">
      <c r="B79" s="4185"/>
      <c r="C79" s="324" t="s">
        <v>276</v>
      </c>
      <c r="D79" s="366">
        <v>106104211</v>
      </c>
      <c r="E79" s="325" t="s">
        <v>277</v>
      </c>
      <c r="F79" s="702">
        <v>1</v>
      </c>
      <c r="G79" s="11"/>
      <c r="H79" s="86"/>
      <c r="I79" s="86"/>
      <c r="J79" s="11"/>
      <c r="K79" s="11"/>
    </row>
    <row r="80" spans="1:11" x14ac:dyDescent="0.25">
      <c r="B80" s="4185"/>
      <c r="C80" s="324" t="s">
        <v>279</v>
      </c>
      <c r="D80" s="366">
        <v>106106242</v>
      </c>
      <c r="E80" s="325" t="s">
        <v>280</v>
      </c>
      <c r="F80" s="702">
        <v>1</v>
      </c>
      <c r="G80" s="11"/>
      <c r="J80" s="11"/>
      <c r="K80" s="11"/>
    </row>
    <row r="81" spans="2:11" ht="15.75" thickBot="1" x14ac:dyDescent="0.3">
      <c r="B81" s="4206"/>
      <c r="C81" s="326" t="s">
        <v>278</v>
      </c>
      <c r="D81" s="367">
        <v>106104214</v>
      </c>
      <c r="E81" s="327" t="s">
        <v>304</v>
      </c>
      <c r="F81" s="708">
        <v>1</v>
      </c>
      <c r="G81" s="11"/>
      <c r="J81" s="11"/>
      <c r="K81" s="11"/>
    </row>
    <row r="82" spans="2:11" ht="15" customHeight="1" x14ac:dyDescent="0.25">
      <c r="B82" s="4183" t="s">
        <v>305</v>
      </c>
      <c r="C82" s="328" t="s">
        <v>301</v>
      </c>
      <c r="D82" s="329">
        <v>106104092</v>
      </c>
      <c r="E82" s="330" t="s">
        <v>302</v>
      </c>
      <c r="F82" s="709">
        <v>1</v>
      </c>
      <c r="G82" s="11"/>
      <c r="J82" s="11"/>
      <c r="K82" s="11"/>
    </row>
    <row r="83" spans="2:11" x14ac:dyDescent="0.25">
      <c r="B83" s="4185"/>
      <c r="C83" s="328" t="s">
        <v>290</v>
      </c>
      <c r="D83" s="329">
        <v>106110473</v>
      </c>
      <c r="E83" s="330" t="s">
        <v>291</v>
      </c>
      <c r="F83" s="709">
        <v>1</v>
      </c>
      <c r="G83" s="11"/>
      <c r="J83" s="11"/>
      <c r="K83" s="11"/>
    </row>
    <row r="84" spans="2:11" x14ac:dyDescent="0.25">
      <c r="B84" s="4185"/>
      <c r="C84" s="328" t="s">
        <v>294</v>
      </c>
      <c r="D84" s="329">
        <v>106111815</v>
      </c>
      <c r="E84" s="330" t="s">
        <v>295</v>
      </c>
      <c r="F84" s="709">
        <v>1</v>
      </c>
      <c r="G84" s="11"/>
      <c r="J84" s="11"/>
      <c r="K84" s="11"/>
    </row>
    <row r="85" spans="2:11" x14ac:dyDescent="0.25">
      <c r="B85" s="4185"/>
      <c r="C85" s="328" t="s">
        <v>296</v>
      </c>
      <c r="D85" s="329">
        <v>106111816</v>
      </c>
      <c r="E85" s="330" t="s">
        <v>297</v>
      </c>
      <c r="F85" s="709">
        <v>1</v>
      </c>
      <c r="G85" s="11"/>
      <c r="J85" s="11"/>
      <c r="K85" s="11"/>
    </row>
    <row r="86" spans="2:11" ht="15.75" thickBot="1" x14ac:dyDescent="0.3">
      <c r="B86" s="4206"/>
      <c r="C86" s="331" t="s">
        <v>292</v>
      </c>
      <c r="D86" s="332">
        <v>106111814</v>
      </c>
      <c r="E86" s="333" t="s">
        <v>293</v>
      </c>
      <c r="F86" s="710">
        <v>1</v>
      </c>
      <c r="G86" s="11"/>
      <c r="J86" s="11"/>
      <c r="K86" s="11"/>
    </row>
    <row r="87" spans="2:11" ht="15" customHeight="1" x14ac:dyDescent="0.25">
      <c r="B87" s="4183" t="s">
        <v>310</v>
      </c>
      <c r="C87" s="334" t="s">
        <v>67</v>
      </c>
      <c r="D87" s="335">
        <v>106104093</v>
      </c>
      <c r="E87" s="336" t="s">
        <v>1057</v>
      </c>
      <c r="F87" s="711">
        <v>1</v>
      </c>
      <c r="G87" s="11"/>
      <c r="J87" s="11"/>
      <c r="K87" s="11"/>
    </row>
    <row r="88" spans="2:11" ht="15.75" thickBot="1" x14ac:dyDescent="0.3">
      <c r="B88" s="4206"/>
      <c r="C88" s="334" t="s">
        <v>65</v>
      </c>
      <c r="D88" s="335">
        <v>106104223</v>
      </c>
      <c r="E88" s="336" t="s">
        <v>92</v>
      </c>
      <c r="F88" s="711">
        <v>1</v>
      </c>
      <c r="G88" s="11"/>
      <c r="J88" s="11"/>
      <c r="K88" s="11"/>
    </row>
    <row r="89" spans="2:11" ht="15" customHeight="1" x14ac:dyDescent="0.25">
      <c r="B89" s="4183" t="s">
        <v>311</v>
      </c>
      <c r="C89" s="337" t="s">
        <v>312</v>
      </c>
      <c r="D89" s="338">
        <v>106104093</v>
      </c>
      <c r="E89" s="339" t="s">
        <v>1057</v>
      </c>
      <c r="F89" s="712">
        <v>1</v>
      </c>
      <c r="G89" s="11"/>
      <c r="J89" s="11"/>
      <c r="K89" s="11"/>
    </row>
    <row r="90" spans="2:11" ht="15.75" thickBot="1" x14ac:dyDescent="0.3">
      <c r="B90" s="4206"/>
      <c r="C90" s="337" t="s">
        <v>285</v>
      </c>
      <c r="D90" s="338">
        <v>106104219</v>
      </c>
      <c r="E90" s="339" t="s">
        <v>96</v>
      </c>
      <c r="F90" s="712">
        <v>1</v>
      </c>
      <c r="G90" s="11"/>
      <c r="J90" s="11"/>
      <c r="K90" s="11"/>
    </row>
    <row r="91" spans="2:11" ht="15" customHeight="1" x14ac:dyDescent="0.25">
      <c r="B91" s="4183" t="s">
        <v>313</v>
      </c>
      <c r="C91" s="340" t="s">
        <v>314</v>
      </c>
      <c r="D91" s="341">
        <v>106104093</v>
      </c>
      <c r="E91" s="342" t="s">
        <v>1057</v>
      </c>
      <c r="F91" s="726">
        <v>1</v>
      </c>
      <c r="G91" s="11"/>
      <c r="J91" s="11"/>
      <c r="K91" s="11"/>
    </row>
    <row r="92" spans="2:11" ht="15.75" thickBot="1" x14ac:dyDescent="0.3">
      <c r="B92" s="4206"/>
      <c r="C92" s="340" t="s">
        <v>286</v>
      </c>
      <c r="D92" s="341">
        <v>106104229</v>
      </c>
      <c r="E92" s="342" t="s">
        <v>468</v>
      </c>
      <c r="F92" s="726">
        <v>1</v>
      </c>
      <c r="G92" s="11"/>
      <c r="J92" s="11"/>
      <c r="K92" s="11"/>
    </row>
    <row r="93" spans="2:11" ht="15" customHeight="1" x14ac:dyDescent="0.25">
      <c r="B93" s="4183" t="s">
        <v>315</v>
      </c>
      <c r="C93" s="343" t="s">
        <v>21</v>
      </c>
      <c r="D93" s="344">
        <v>106104119</v>
      </c>
      <c r="E93" s="345" t="s">
        <v>152</v>
      </c>
      <c r="F93" s="728">
        <v>1</v>
      </c>
      <c r="G93" s="11"/>
      <c r="J93" s="11"/>
      <c r="K93" s="11"/>
    </row>
    <row r="94" spans="2:11" x14ac:dyDescent="0.25">
      <c r="B94" s="4185"/>
      <c r="C94" s="343" t="s">
        <v>281</v>
      </c>
      <c r="D94" s="344">
        <v>106104084</v>
      </c>
      <c r="E94" s="345" t="s">
        <v>282</v>
      </c>
      <c r="F94" s="728">
        <v>1</v>
      </c>
      <c r="G94" s="11"/>
      <c r="J94" s="11"/>
      <c r="K94" s="11"/>
    </row>
    <row r="95" spans="2:11" x14ac:dyDescent="0.25">
      <c r="B95" s="4185"/>
      <c r="C95" s="343" t="s">
        <v>283</v>
      </c>
      <c r="D95" s="344">
        <v>106100918</v>
      </c>
      <c r="E95" s="345" t="s">
        <v>284</v>
      </c>
      <c r="F95" s="728">
        <v>1</v>
      </c>
      <c r="G95" s="11"/>
      <c r="J95" s="11"/>
      <c r="K95" s="11"/>
    </row>
    <row r="96" spans="2:11" ht="15.75" thickBot="1" x14ac:dyDescent="0.3">
      <c r="B96" s="4206"/>
      <c r="C96" s="1041" t="s">
        <v>64</v>
      </c>
      <c r="D96" s="1042">
        <v>106104128</v>
      </c>
      <c r="E96" s="1043" t="s">
        <v>154</v>
      </c>
      <c r="F96" s="728">
        <v>1</v>
      </c>
      <c r="G96" s="11"/>
      <c r="J96" s="11"/>
      <c r="K96" s="11"/>
    </row>
    <row r="97" spans="1:11" x14ac:dyDescent="0.25">
      <c r="B97" s="4180"/>
      <c r="C97" s="349" t="s">
        <v>271</v>
      </c>
      <c r="D97" s="156">
        <v>106120457</v>
      </c>
      <c r="E97" s="350" t="s">
        <v>272</v>
      </c>
      <c r="F97" s="1604">
        <v>2</v>
      </c>
      <c r="G97" s="11"/>
      <c r="J97" s="11"/>
      <c r="K97" s="11"/>
    </row>
    <row r="98" spans="1:11" x14ac:dyDescent="0.25">
      <c r="B98" s="4179"/>
      <c r="C98" s="349" t="s">
        <v>287</v>
      </c>
      <c r="D98" s="156">
        <v>106105422</v>
      </c>
      <c r="E98" s="350" t="s">
        <v>288</v>
      </c>
      <c r="F98" s="705">
        <v>3</v>
      </c>
      <c r="G98" s="11"/>
      <c r="J98" s="11"/>
      <c r="K98" s="11"/>
    </row>
    <row r="99" spans="1:11" x14ac:dyDescent="0.25">
      <c r="B99" s="4179"/>
      <c r="C99" s="349"/>
      <c r="D99" s="156">
        <v>106112100</v>
      </c>
      <c r="E99" s="350" t="s">
        <v>319</v>
      </c>
      <c r="F99" s="705">
        <v>1</v>
      </c>
      <c r="G99" s="11"/>
      <c r="J99" s="11"/>
      <c r="K99" s="11"/>
    </row>
    <row r="100" spans="1:11" x14ac:dyDescent="0.25">
      <c r="A100" s="357" t="s">
        <v>470</v>
      </c>
      <c r="B100" s="4179"/>
      <c r="C100" s="349" t="s">
        <v>29</v>
      </c>
      <c r="D100" s="156">
        <v>106105387</v>
      </c>
      <c r="E100" s="350" t="s">
        <v>87</v>
      </c>
      <c r="F100" s="705">
        <v>1</v>
      </c>
      <c r="G100" s="11"/>
      <c r="J100" s="11"/>
      <c r="K100" s="11"/>
    </row>
    <row r="101" spans="1:11" x14ac:dyDescent="0.25">
      <c r="A101" s="358"/>
      <c r="B101" s="4179"/>
      <c r="C101" s="349" t="s">
        <v>469</v>
      </c>
      <c r="D101" s="156">
        <v>106104232</v>
      </c>
      <c r="E101" s="350" t="s">
        <v>273</v>
      </c>
      <c r="F101" s="705">
        <v>1</v>
      </c>
      <c r="G101" s="11"/>
      <c r="J101" s="11"/>
      <c r="K101" s="11"/>
    </row>
    <row r="102" spans="1:11" ht="30" x14ac:dyDescent="0.25">
      <c r="A102" s="357" t="s">
        <v>471</v>
      </c>
      <c r="B102" s="4179"/>
      <c r="C102" s="349" t="s">
        <v>289</v>
      </c>
      <c r="D102" s="156">
        <v>106104397</v>
      </c>
      <c r="E102" s="350" t="s">
        <v>465</v>
      </c>
      <c r="F102" s="705">
        <v>1</v>
      </c>
      <c r="G102" s="11"/>
      <c r="J102" s="11"/>
      <c r="K102" s="11"/>
    </row>
    <row r="103" spans="1:11" x14ac:dyDescent="0.25">
      <c r="B103" s="4179"/>
      <c r="C103" s="349" t="s">
        <v>138</v>
      </c>
      <c r="D103" s="156">
        <v>106104101</v>
      </c>
      <c r="E103" s="350" t="s">
        <v>162</v>
      </c>
      <c r="F103" s="705">
        <v>1</v>
      </c>
      <c r="G103" s="11"/>
      <c r="J103" s="11"/>
      <c r="K103" s="11"/>
    </row>
    <row r="104" spans="1:11" x14ac:dyDescent="0.25">
      <c r="B104" s="4179"/>
      <c r="C104" s="349" t="s">
        <v>298</v>
      </c>
      <c r="D104" s="156">
        <v>106105038</v>
      </c>
      <c r="E104" s="350" t="s">
        <v>299</v>
      </c>
      <c r="F104" s="705">
        <v>3</v>
      </c>
      <c r="G104" s="11"/>
      <c r="J104" s="11"/>
      <c r="K104" s="11"/>
    </row>
    <row r="105" spans="1:11" x14ac:dyDescent="0.25">
      <c r="B105" s="4179"/>
      <c r="C105" s="349" t="s">
        <v>323</v>
      </c>
      <c r="D105" s="156">
        <v>106105852</v>
      </c>
      <c r="E105" s="350" t="s">
        <v>300</v>
      </c>
      <c r="F105" s="705">
        <v>3</v>
      </c>
      <c r="G105" s="11"/>
      <c r="J105" s="11"/>
      <c r="K105" s="11"/>
    </row>
    <row r="106" spans="1:11" x14ac:dyDescent="0.25">
      <c r="B106" s="4179"/>
      <c r="C106" s="351" t="s">
        <v>108</v>
      </c>
      <c r="D106" s="156">
        <v>106104330</v>
      </c>
      <c r="E106" s="350" t="s">
        <v>466</v>
      </c>
      <c r="F106" s="705">
        <v>1</v>
      </c>
      <c r="G106" s="11"/>
      <c r="J106" s="11"/>
      <c r="K106" s="11"/>
    </row>
    <row r="107" spans="1:11" ht="15.75" customHeight="1" x14ac:dyDescent="0.25">
      <c r="A107" s="503" t="s">
        <v>647</v>
      </c>
      <c r="B107" s="4179"/>
      <c r="C107" s="184"/>
      <c r="D107" s="599">
        <v>106112712</v>
      </c>
      <c r="E107" s="1040" t="s">
        <v>683</v>
      </c>
      <c r="F107" s="575">
        <v>3</v>
      </c>
      <c r="G107" s="11"/>
      <c r="J107" s="11"/>
      <c r="K107" s="11"/>
    </row>
    <row r="108" spans="1:11" ht="15.75" thickBot="1" x14ac:dyDescent="0.3">
      <c r="B108" s="4178"/>
      <c r="C108" s="349" t="s">
        <v>40</v>
      </c>
      <c r="D108" s="156">
        <v>106200771</v>
      </c>
      <c r="E108" s="350" t="s">
        <v>322</v>
      </c>
      <c r="F108" s="705">
        <v>1</v>
      </c>
      <c r="G108" s="11"/>
      <c r="J108" s="11"/>
      <c r="K108" s="11"/>
    </row>
    <row r="109" spans="1:11" x14ac:dyDescent="0.25">
      <c r="B109" s="314"/>
      <c r="C109" s="346" t="s">
        <v>2</v>
      </c>
      <c r="D109" s="347">
        <v>106200591</v>
      </c>
      <c r="E109" s="348" t="s">
        <v>472</v>
      </c>
      <c r="F109" s="1604">
        <v>1</v>
      </c>
      <c r="G109" s="11"/>
      <c r="J109" s="11"/>
      <c r="K109" s="11"/>
    </row>
    <row r="110" spans="1:11" ht="15" customHeight="1" thickBot="1" x14ac:dyDescent="0.3">
      <c r="B110" s="315"/>
      <c r="C110" s="352" t="s">
        <v>270</v>
      </c>
      <c r="D110" s="353">
        <v>106200858</v>
      </c>
      <c r="E110" s="354" t="s">
        <v>467</v>
      </c>
      <c r="F110" s="706">
        <v>1</v>
      </c>
      <c r="G110" s="11"/>
      <c r="J110" s="11"/>
      <c r="K110" s="11"/>
    </row>
    <row r="112" spans="1:11" ht="15.75" thickBot="1" x14ac:dyDescent="0.3"/>
    <row r="113" spans="2:11" ht="15.75" thickBot="1" x14ac:dyDescent="0.3">
      <c r="B113" s="1602" t="s">
        <v>497</v>
      </c>
      <c r="C113" s="1579"/>
      <c r="D113" s="1579"/>
      <c r="E113" s="1579"/>
      <c r="F113" s="1603" t="s">
        <v>1382</v>
      </c>
      <c r="G113" s="11"/>
      <c r="J113" s="11"/>
      <c r="K113" s="11"/>
    </row>
    <row r="114" spans="2:11" ht="30.75" thickBot="1" x14ac:dyDescent="0.3">
      <c r="B114" s="4239" t="s">
        <v>79</v>
      </c>
      <c r="C114" s="4240"/>
      <c r="D114" s="1492" t="s">
        <v>326</v>
      </c>
      <c r="E114" s="1493" t="s">
        <v>250</v>
      </c>
      <c r="F114" s="1494" t="s">
        <v>960</v>
      </c>
      <c r="G114" s="11"/>
      <c r="J114" s="11"/>
      <c r="K114" s="11"/>
    </row>
    <row r="115" spans="2:11" ht="15" customHeight="1" x14ac:dyDescent="0.25">
      <c r="B115" s="4183" t="s">
        <v>263</v>
      </c>
      <c r="C115" s="321" t="s">
        <v>274</v>
      </c>
      <c r="D115" s="322">
        <v>106104164</v>
      </c>
      <c r="E115" s="323" t="s">
        <v>275</v>
      </c>
      <c r="F115" s="707">
        <v>1</v>
      </c>
      <c r="G115" s="11"/>
      <c r="J115" s="86"/>
      <c r="K115" s="11"/>
    </row>
    <row r="116" spans="2:11" x14ac:dyDescent="0.25">
      <c r="B116" s="4185"/>
      <c r="C116" s="324" t="s">
        <v>276</v>
      </c>
      <c r="D116" s="366">
        <v>106104211</v>
      </c>
      <c r="E116" s="325" t="s">
        <v>277</v>
      </c>
      <c r="F116" s="702">
        <v>1</v>
      </c>
      <c r="G116" s="11"/>
      <c r="H116" s="86"/>
      <c r="I116" s="86"/>
      <c r="J116" s="11"/>
      <c r="K116" s="11"/>
    </row>
    <row r="117" spans="2:11" x14ac:dyDescent="0.25">
      <c r="B117" s="4185"/>
      <c r="C117" s="324" t="s">
        <v>279</v>
      </c>
      <c r="D117" s="366">
        <v>106106242</v>
      </c>
      <c r="E117" s="325" t="s">
        <v>280</v>
      </c>
      <c r="F117" s="702">
        <v>1</v>
      </c>
      <c r="G117" s="11"/>
      <c r="J117" s="11"/>
      <c r="K117" s="11"/>
    </row>
    <row r="118" spans="2:11" x14ac:dyDescent="0.25">
      <c r="B118" s="4185"/>
      <c r="C118" s="324" t="s">
        <v>473</v>
      </c>
      <c r="D118" s="152">
        <v>106104096</v>
      </c>
      <c r="E118" s="359" t="s">
        <v>474</v>
      </c>
      <c r="F118" s="702">
        <v>1</v>
      </c>
      <c r="G118" s="11"/>
      <c r="J118" s="11"/>
      <c r="K118" s="11"/>
    </row>
    <row r="119" spans="2:11" ht="15.75" thickBot="1" x14ac:dyDescent="0.3">
      <c r="B119" s="4206"/>
      <c r="C119" s="326" t="s">
        <v>278</v>
      </c>
      <c r="D119" s="367">
        <v>106104214</v>
      </c>
      <c r="E119" s="327" t="s">
        <v>304</v>
      </c>
      <c r="F119" s="708">
        <v>1</v>
      </c>
      <c r="G119" s="11"/>
      <c r="J119" s="11"/>
      <c r="K119" s="11"/>
    </row>
    <row r="120" spans="2:11" ht="15" customHeight="1" x14ac:dyDescent="0.25">
      <c r="B120" s="4183" t="s">
        <v>305</v>
      </c>
      <c r="C120" s="328" t="s">
        <v>301</v>
      </c>
      <c r="D120" s="329">
        <v>106104092</v>
      </c>
      <c r="E120" s="330" t="s">
        <v>302</v>
      </c>
      <c r="F120" s="709">
        <v>1</v>
      </c>
      <c r="G120" s="11"/>
      <c r="J120" s="11"/>
      <c r="K120" s="11"/>
    </row>
    <row r="121" spans="2:11" x14ac:dyDescent="0.25">
      <c r="B121" s="4185"/>
      <c r="C121" s="328" t="s">
        <v>290</v>
      </c>
      <c r="D121" s="329">
        <v>106110473</v>
      </c>
      <c r="E121" s="330" t="s">
        <v>291</v>
      </c>
      <c r="F121" s="709">
        <v>1</v>
      </c>
      <c r="G121" s="11"/>
      <c r="J121" s="11"/>
      <c r="K121" s="11"/>
    </row>
    <row r="122" spans="2:11" x14ac:dyDescent="0.25">
      <c r="B122" s="4185"/>
      <c r="C122" s="328" t="s">
        <v>294</v>
      </c>
      <c r="D122" s="329">
        <v>106111815</v>
      </c>
      <c r="E122" s="330" t="s">
        <v>295</v>
      </c>
      <c r="F122" s="709">
        <v>1</v>
      </c>
      <c r="G122" s="11"/>
      <c r="J122" s="11"/>
      <c r="K122" s="11"/>
    </row>
    <row r="123" spans="2:11" x14ac:dyDescent="0.25">
      <c r="B123" s="4185"/>
      <c r="C123" s="328" t="s">
        <v>296</v>
      </c>
      <c r="D123" s="329">
        <v>106111816</v>
      </c>
      <c r="E123" s="330" t="s">
        <v>297</v>
      </c>
      <c r="F123" s="709">
        <v>1</v>
      </c>
      <c r="G123" s="11"/>
      <c r="J123" s="11"/>
      <c r="K123" s="11"/>
    </row>
    <row r="124" spans="2:11" ht="15.75" thickBot="1" x14ac:dyDescent="0.3">
      <c r="B124" s="4206"/>
      <c r="C124" s="331" t="s">
        <v>292</v>
      </c>
      <c r="D124" s="332">
        <v>106111814</v>
      </c>
      <c r="E124" s="333" t="s">
        <v>293</v>
      </c>
      <c r="F124" s="710">
        <v>1</v>
      </c>
      <c r="G124" s="11"/>
      <c r="J124" s="11"/>
      <c r="K124" s="11"/>
    </row>
    <row r="125" spans="2:11" ht="15" customHeight="1" x14ac:dyDescent="0.25">
      <c r="B125" s="4183" t="s">
        <v>475</v>
      </c>
      <c r="C125" s="360" t="s">
        <v>476</v>
      </c>
      <c r="D125" s="361">
        <v>106104093</v>
      </c>
      <c r="E125" s="362" t="s">
        <v>1057</v>
      </c>
      <c r="F125" s="701">
        <v>1</v>
      </c>
      <c r="G125" s="11"/>
      <c r="J125" s="11"/>
      <c r="K125" s="11"/>
    </row>
    <row r="126" spans="2:11" x14ac:dyDescent="0.25">
      <c r="B126" s="4185"/>
      <c r="C126" s="360" t="s">
        <v>477</v>
      </c>
      <c r="D126" s="361">
        <v>106104218</v>
      </c>
      <c r="E126" s="363" t="s">
        <v>478</v>
      </c>
      <c r="F126" s="701">
        <v>1</v>
      </c>
      <c r="G126" s="11"/>
      <c r="J126" s="11"/>
      <c r="K126" s="11"/>
    </row>
    <row r="127" spans="2:11" ht="15.75" thickBot="1" x14ac:dyDescent="0.3">
      <c r="B127" s="4206"/>
      <c r="C127" s="360" t="s">
        <v>328</v>
      </c>
      <c r="D127" s="361">
        <v>106104229</v>
      </c>
      <c r="E127" s="362" t="s">
        <v>468</v>
      </c>
      <c r="F127" s="701">
        <v>1</v>
      </c>
      <c r="G127" s="11"/>
      <c r="J127" s="11"/>
      <c r="K127" s="11"/>
    </row>
    <row r="128" spans="2:11" ht="15" customHeight="1" x14ac:dyDescent="0.25">
      <c r="B128" s="4183" t="s">
        <v>310</v>
      </c>
      <c r="C128" s="334" t="s">
        <v>67</v>
      </c>
      <c r="D128" s="335">
        <v>106104093</v>
      </c>
      <c r="E128" s="336" t="s">
        <v>1057</v>
      </c>
      <c r="F128" s="711">
        <v>1</v>
      </c>
      <c r="G128" s="11"/>
      <c r="J128" s="11"/>
      <c r="K128" s="11"/>
    </row>
    <row r="129" spans="1:11" x14ac:dyDescent="0.25">
      <c r="A129" s="176" t="s">
        <v>480</v>
      </c>
      <c r="B129" s="4185"/>
      <c r="C129" s="334" t="s">
        <v>479</v>
      </c>
      <c r="D129" s="335">
        <v>106104218</v>
      </c>
      <c r="E129" s="364" t="s">
        <v>478</v>
      </c>
      <c r="F129" s="711">
        <v>1</v>
      </c>
      <c r="G129" s="11"/>
      <c r="J129" s="11"/>
      <c r="K129" s="11"/>
    </row>
    <row r="130" spans="1:11" ht="15.75" thickBot="1" x14ac:dyDescent="0.3">
      <c r="B130" s="4206"/>
      <c r="C130" s="334" t="s">
        <v>65</v>
      </c>
      <c r="D130" s="335">
        <v>106104223</v>
      </c>
      <c r="E130" s="336" t="s">
        <v>92</v>
      </c>
      <c r="F130" s="711">
        <v>1</v>
      </c>
      <c r="G130" s="11"/>
      <c r="J130" s="11"/>
      <c r="K130" s="11"/>
    </row>
    <row r="131" spans="1:11" ht="15" customHeight="1" x14ac:dyDescent="0.25">
      <c r="B131" s="4183" t="s">
        <v>311</v>
      </c>
      <c r="C131" s="337" t="s">
        <v>312</v>
      </c>
      <c r="D131" s="338">
        <v>106104093</v>
      </c>
      <c r="E131" s="339" t="s">
        <v>1057</v>
      </c>
      <c r="F131" s="712">
        <v>1</v>
      </c>
      <c r="G131" s="11"/>
      <c r="J131" s="11"/>
      <c r="K131" s="11"/>
    </row>
    <row r="132" spans="1:11" ht="15.75" thickBot="1" x14ac:dyDescent="0.3">
      <c r="B132" s="4206"/>
      <c r="C132" s="337" t="s">
        <v>285</v>
      </c>
      <c r="D132" s="338">
        <v>106104219</v>
      </c>
      <c r="E132" s="339" t="s">
        <v>96</v>
      </c>
      <c r="F132" s="712">
        <v>1</v>
      </c>
      <c r="G132" s="11"/>
      <c r="J132" s="11"/>
      <c r="K132" s="11"/>
    </row>
    <row r="133" spans="1:11" ht="15" customHeight="1" x14ac:dyDescent="0.25">
      <c r="B133" s="4183" t="s">
        <v>313</v>
      </c>
      <c r="C133" s="340" t="s">
        <v>314</v>
      </c>
      <c r="D133" s="341">
        <v>106104093</v>
      </c>
      <c r="E133" s="342" t="s">
        <v>1057</v>
      </c>
      <c r="F133" s="726">
        <v>1</v>
      </c>
      <c r="G133" s="11"/>
      <c r="J133" s="11"/>
      <c r="K133" s="11"/>
    </row>
    <row r="134" spans="1:11" x14ac:dyDescent="0.25">
      <c r="B134" s="4185"/>
      <c r="C134" s="340" t="s">
        <v>481</v>
      </c>
      <c r="D134" s="341">
        <v>106104218</v>
      </c>
      <c r="E134" s="365" t="s">
        <v>478</v>
      </c>
      <c r="F134" s="726">
        <v>1</v>
      </c>
      <c r="G134" s="11"/>
      <c r="J134" s="11"/>
      <c r="K134" s="11"/>
    </row>
    <row r="135" spans="1:11" ht="15.75" thickBot="1" x14ac:dyDescent="0.3">
      <c r="B135" s="4206"/>
      <c r="C135" s="340" t="s">
        <v>286</v>
      </c>
      <c r="D135" s="341">
        <v>106104229</v>
      </c>
      <c r="E135" s="342" t="s">
        <v>468</v>
      </c>
      <c r="F135" s="726">
        <v>1</v>
      </c>
      <c r="G135" s="11"/>
      <c r="J135" s="11"/>
      <c r="K135" s="11"/>
    </row>
    <row r="136" spans="1:11" ht="15" customHeight="1" x14ac:dyDescent="0.25">
      <c r="B136" s="4183" t="s">
        <v>315</v>
      </c>
      <c r="C136" s="343" t="s">
        <v>21</v>
      </c>
      <c r="D136" s="344">
        <v>106104119</v>
      </c>
      <c r="E136" s="345" t="s">
        <v>152</v>
      </c>
      <c r="F136" s="728">
        <v>1</v>
      </c>
      <c r="G136" s="11"/>
      <c r="J136" s="11"/>
      <c r="K136" s="11"/>
    </row>
    <row r="137" spans="1:11" x14ac:dyDescent="0.25">
      <c r="B137" s="4185"/>
      <c r="C137" s="343" t="s">
        <v>281</v>
      </c>
      <c r="D137" s="344">
        <v>106104084</v>
      </c>
      <c r="E137" s="345" t="s">
        <v>282</v>
      </c>
      <c r="F137" s="728">
        <v>1</v>
      </c>
      <c r="G137" s="11"/>
      <c r="J137" s="11"/>
      <c r="K137" s="11"/>
    </row>
    <row r="138" spans="1:11" x14ac:dyDescent="0.25">
      <c r="A138" s="68"/>
      <c r="B138" s="4185"/>
      <c r="C138" s="343" t="s">
        <v>283</v>
      </c>
      <c r="D138" s="344">
        <v>106100918</v>
      </c>
      <c r="E138" s="345" t="s">
        <v>284</v>
      </c>
      <c r="F138" s="728">
        <v>1</v>
      </c>
      <c r="G138" s="11"/>
      <c r="J138" s="11"/>
      <c r="K138" s="11"/>
    </row>
    <row r="139" spans="1:11" ht="15.75" thickBot="1" x14ac:dyDescent="0.3">
      <c r="A139" s="68"/>
      <c r="B139" s="4206"/>
      <c r="C139" s="1041" t="s">
        <v>64</v>
      </c>
      <c r="D139" s="1042">
        <v>106104128</v>
      </c>
      <c r="E139" s="1043" t="s">
        <v>154</v>
      </c>
      <c r="F139" s="728">
        <v>1</v>
      </c>
      <c r="G139" s="11"/>
      <c r="J139" s="11"/>
      <c r="K139" s="11"/>
    </row>
    <row r="140" spans="1:11" x14ac:dyDescent="0.25">
      <c r="A140" s="68">
        <v>442163</v>
      </c>
      <c r="B140" s="4180"/>
      <c r="C140" s="349" t="s">
        <v>271</v>
      </c>
      <c r="D140" s="156">
        <v>106120457</v>
      </c>
      <c r="E140" s="350" t="s">
        <v>272</v>
      </c>
      <c r="F140" s="1604">
        <v>2</v>
      </c>
      <c r="G140" s="11"/>
      <c r="J140" s="11"/>
      <c r="K140" s="11"/>
    </row>
    <row r="141" spans="1:11" x14ac:dyDescent="0.25">
      <c r="B141" s="4179"/>
      <c r="C141" s="349" t="s">
        <v>287</v>
      </c>
      <c r="D141" s="156">
        <v>106105422</v>
      </c>
      <c r="E141" s="350" t="s">
        <v>288</v>
      </c>
      <c r="F141" s="705">
        <v>3</v>
      </c>
      <c r="G141" s="11"/>
      <c r="J141" s="11"/>
      <c r="K141" s="11"/>
    </row>
    <row r="142" spans="1:11" x14ac:dyDescent="0.25">
      <c r="A142" s="48"/>
      <c r="B142" s="4179"/>
      <c r="C142" s="349"/>
      <c r="D142" s="156">
        <v>106112100</v>
      </c>
      <c r="E142" s="350" t="s">
        <v>319</v>
      </c>
      <c r="F142" s="705">
        <v>1</v>
      </c>
      <c r="G142" s="11"/>
      <c r="J142" s="11"/>
      <c r="K142" s="11"/>
    </row>
    <row r="143" spans="1:11" x14ac:dyDescent="0.25">
      <c r="A143" s="357" t="s">
        <v>470</v>
      </c>
      <c r="B143" s="4179"/>
      <c r="C143" s="349" t="s">
        <v>29</v>
      </c>
      <c r="D143" s="156">
        <v>106105387</v>
      </c>
      <c r="E143" s="350" t="s">
        <v>87</v>
      </c>
      <c r="F143" s="705">
        <v>1</v>
      </c>
      <c r="G143" s="11"/>
      <c r="J143" s="11"/>
      <c r="K143" s="11"/>
    </row>
    <row r="144" spans="1:11" x14ac:dyDescent="0.25">
      <c r="A144" s="358"/>
      <c r="B144" s="4179"/>
      <c r="C144" s="349" t="s">
        <v>469</v>
      </c>
      <c r="D144" s="156">
        <v>106104232</v>
      </c>
      <c r="E144" s="350" t="s">
        <v>273</v>
      </c>
      <c r="F144" s="705">
        <v>1</v>
      </c>
      <c r="G144" s="11"/>
      <c r="J144" s="11"/>
      <c r="K144" s="11"/>
    </row>
    <row r="145" spans="1:11" ht="30" x14ac:dyDescent="0.25">
      <c r="A145" s="357" t="s">
        <v>482</v>
      </c>
      <c r="B145" s="4179"/>
      <c r="C145" s="349" t="s">
        <v>289</v>
      </c>
      <c r="D145" s="156">
        <v>106104397</v>
      </c>
      <c r="E145" s="350" t="s">
        <v>465</v>
      </c>
      <c r="F145" s="705">
        <v>1</v>
      </c>
      <c r="G145" s="11"/>
      <c r="J145" s="11"/>
      <c r="K145" s="11"/>
    </row>
    <row r="146" spans="1:11" x14ac:dyDescent="0.25">
      <c r="B146" s="4179"/>
      <c r="C146" s="349" t="s">
        <v>138</v>
      </c>
      <c r="D146" s="156">
        <v>106104091</v>
      </c>
      <c r="E146" s="350" t="s">
        <v>162</v>
      </c>
      <c r="F146" s="705">
        <v>1</v>
      </c>
      <c r="G146" s="11"/>
      <c r="J146" s="11"/>
      <c r="K146" s="11"/>
    </row>
    <row r="147" spans="1:11" x14ac:dyDescent="0.25">
      <c r="B147" s="4179"/>
      <c r="C147" s="349" t="s">
        <v>298</v>
      </c>
      <c r="D147" s="156">
        <v>106105038</v>
      </c>
      <c r="E147" s="350" t="s">
        <v>299</v>
      </c>
      <c r="F147" s="705">
        <v>3</v>
      </c>
      <c r="G147" s="11"/>
      <c r="J147" s="11"/>
      <c r="K147" s="11"/>
    </row>
    <row r="148" spans="1:11" x14ac:dyDescent="0.25">
      <c r="B148" s="4179"/>
      <c r="C148" s="349" t="s">
        <v>323</v>
      </c>
      <c r="D148" s="156">
        <v>106105852</v>
      </c>
      <c r="E148" s="350" t="s">
        <v>300</v>
      </c>
      <c r="F148" s="705">
        <v>3</v>
      </c>
      <c r="G148" s="11"/>
      <c r="J148" s="11"/>
      <c r="K148" s="11"/>
    </row>
    <row r="149" spans="1:11" ht="15" customHeight="1" x14ac:dyDescent="0.25">
      <c r="B149" s="4179"/>
      <c r="C149" s="2564" t="s">
        <v>41</v>
      </c>
      <c r="D149" s="156">
        <v>106112529</v>
      </c>
      <c r="E149" s="350" t="s">
        <v>483</v>
      </c>
      <c r="F149" s="705">
        <v>1</v>
      </c>
      <c r="G149" s="11"/>
      <c r="J149" s="11"/>
      <c r="K149" s="11"/>
    </row>
    <row r="150" spans="1:11" ht="15.75" customHeight="1" x14ac:dyDescent="0.25">
      <c r="B150" s="4179"/>
      <c r="C150" s="349" t="s">
        <v>484</v>
      </c>
      <c r="D150" s="156">
        <v>106200745</v>
      </c>
      <c r="E150" s="350" t="s">
        <v>485</v>
      </c>
      <c r="F150" s="705">
        <v>1</v>
      </c>
      <c r="G150" s="11"/>
      <c r="J150" s="11"/>
      <c r="K150" s="11"/>
    </row>
    <row r="151" spans="1:11" ht="15.75" customHeight="1" x14ac:dyDescent="0.25">
      <c r="A151" s="503" t="s">
        <v>647</v>
      </c>
      <c r="B151" s="4179"/>
      <c r="C151" s="184"/>
      <c r="D151" s="599">
        <v>106112712</v>
      </c>
      <c r="E151" s="1040" t="s">
        <v>683</v>
      </c>
      <c r="F151" s="575">
        <v>3</v>
      </c>
      <c r="G151" s="11"/>
      <c r="J151" s="11"/>
      <c r="K151" s="11"/>
    </row>
    <row r="152" spans="1:11" ht="15.75" thickBot="1" x14ac:dyDescent="0.3">
      <c r="B152" s="4178"/>
      <c r="C152" s="349" t="s">
        <v>40</v>
      </c>
      <c r="D152" s="156">
        <v>106200771</v>
      </c>
      <c r="E152" s="350" t="s">
        <v>322</v>
      </c>
      <c r="F152" s="705">
        <v>1</v>
      </c>
      <c r="G152" s="11"/>
      <c r="J152" s="11"/>
      <c r="K152" s="11"/>
    </row>
    <row r="153" spans="1:11" x14ac:dyDescent="0.25">
      <c r="B153" s="314"/>
      <c r="C153" s="346" t="s">
        <v>2</v>
      </c>
      <c r="D153" s="347">
        <v>106200591</v>
      </c>
      <c r="E153" s="348" t="s">
        <v>472</v>
      </c>
      <c r="F153" s="1604">
        <v>1</v>
      </c>
      <c r="G153" s="11"/>
      <c r="J153" s="11"/>
      <c r="K153" s="11"/>
    </row>
    <row r="154" spans="1:11" ht="15" customHeight="1" thickBot="1" x14ac:dyDescent="0.3">
      <c r="B154" s="315"/>
      <c r="C154" s="352" t="s">
        <v>270</v>
      </c>
      <c r="D154" s="353">
        <v>106200858</v>
      </c>
      <c r="E154" s="354" t="s">
        <v>467</v>
      </c>
      <c r="F154" s="706">
        <v>1</v>
      </c>
      <c r="G154" s="11"/>
      <c r="J154" s="11"/>
      <c r="K154" s="11"/>
    </row>
    <row r="156" spans="1:11" ht="15.75" thickBot="1" x14ac:dyDescent="0.3"/>
    <row r="157" spans="1:11" ht="15.75" thickBot="1" x14ac:dyDescent="0.3">
      <c r="B157" s="1602" t="s">
        <v>498</v>
      </c>
      <c r="C157" s="1579"/>
      <c r="D157" s="1579"/>
      <c r="E157" s="1579"/>
      <c r="F157" s="1603" t="s">
        <v>1382</v>
      </c>
      <c r="G157" s="11"/>
      <c r="J157" s="11"/>
      <c r="K157" s="11"/>
    </row>
    <row r="158" spans="1:11" ht="30.75" thickBot="1" x14ac:dyDescent="0.3">
      <c r="B158" s="4239" t="s">
        <v>79</v>
      </c>
      <c r="C158" s="4240"/>
      <c r="D158" s="1492" t="s">
        <v>326</v>
      </c>
      <c r="E158" s="1493" t="s">
        <v>250</v>
      </c>
      <c r="F158" s="1511" t="s">
        <v>960</v>
      </c>
      <c r="G158" s="11"/>
      <c r="J158" s="11"/>
      <c r="K158" s="11"/>
    </row>
    <row r="159" spans="1:11" ht="15" customHeight="1" x14ac:dyDescent="0.25">
      <c r="B159" s="4183" t="s">
        <v>263</v>
      </c>
      <c r="C159" s="321" t="s">
        <v>274</v>
      </c>
      <c r="D159" s="322">
        <v>106104164</v>
      </c>
      <c r="E159" s="323" t="s">
        <v>275</v>
      </c>
      <c r="F159" s="707">
        <v>1</v>
      </c>
      <c r="G159" s="11"/>
      <c r="J159" s="86"/>
      <c r="K159" s="11"/>
    </row>
    <row r="160" spans="1:11" x14ac:dyDescent="0.25">
      <c r="B160" s="4185"/>
      <c r="C160" s="324" t="s">
        <v>276</v>
      </c>
      <c r="D160" s="366">
        <v>106104211</v>
      </c>
      <c r="E160" s="325" t="s">
        <v>277</v>
      </c>
      <c r="F160" s="702">
        <v>1</v>
      </c>
      <c r="G160" s="11"/>
      <c r="H160" s="86"/>
      <c r="I160" s="86"/>
      <c r="J160" s="11"/>
      <c r="K160" s="11"/>
    </row>
    <row r="161" spans="2:11" x14ac:dyDescent="0.25">
      <c r="B161" s="4185"/>
      <c r="C161" s="324" t="s">
        <v>279</v>
      </c>
      <c r="D161" s="366">
        <v>106106242</v>
      </c>
      <c r="E161" s="325" t="s">
        <v>280</v>
      </c>
      <c r="F161" s="702">
        <v>1</v>
      </c>
      <c r="G161" s="11"/>
      <c r="J161" s="11"/>
      <c r="K161" s="11"/>
    </row>
    <row r="162" spans="2:11" x14ac:dyDescent="0.25">
      <c r="B162" s="4185"/>
      <c r="C162" s="324" t="s">
        <v>473</v>
      </c>
      <c r="D162" s="152">
        <v>106104096</v>
      </c>
      <c r="E162" s="359" t="s">
        <v>474</v>
      </c>
      <c r="F162" s="702">
        <v>1</v>
      </c>
      <c r="G162" s="11"/>
      <c r="J162" s="11"/>
      <c r="K162" s="11"/>
    </row>
    <row r="163" spans="2:11" ht="15.75" thickBot="1" x14ac:dyDescent="0.3">
      <c r="B163" s="4206"/>
      <c r="C163" s="326" t="s">
        <v>278</v>
      </c>
      <c r="D163" s="367">
        <v>106104214</v>
      </c>
      <c r="E163" s="327" t="s">
        <v>304</v>
      </c>
      <c r="F163" s="708">
        <v>1</v>
      </c>
      <c r="G163" s="11"/>
      <c r="J163" s="11"/>
      <c r="K163" s="11"/>
    </row>
    <row r="164" spans="2:11" ht="15" customHeight="1" x14ac:dyDescent="0.25">
      <c r="B164" s="4183" t="s">
        <v>305</v>
      </c>
      <c r="C164" s="328" t="s">
        <v>301</v>
      </c>
      <c r="D164" s="329">
        <v>106104092</v>
      </c>
      <c r="E164" s="330" t="s">
        <v>302</v>
      </c>
      <c r="F164" s="709">
        <v>1</v>
      </c>
      <c r="G164" s="11"/>
      <c r="J164" s="11"/>
      <c r="K164" s="11"/>
    </row>
    <row r="165" spans="2:11" x14ac:dyDescent="0.25">
      <c r="B165" s="4185"/>
      <c r="C165" s="328" t="s">
        <v>290</v>
      </c>
      <c r="D165" s="329">
        <v>106110473</v>
      </c>
      <c r="E165" s="330" t="s">
        <v>291</v>
      </c>
      <c r="F165" s="709">
        <v>1</v>
      </c>
      <c r="G165" s="11"/>
      <c r="J165" s="11"/>
      <c r="K165" s="11"/>
    </row>
    <row r="166" spans="2:11" x14ac:dyDescent="0.25">
      <c r="B166" s="4185"/>
      <c r="C166" s="328" t="s">
        <v>294</v>
      </c>
      <c r="D166" s="329">
        <v>106111815</v>
      </c>
      <c r="E166" s="330" t="s">
        <v>295</v>
      </c>
      <c r="F166" s="709">
        <v>1</v>
      </c>
      <c r="G166" s="11"/>
      <c r="J166" s="11"/>
      <c r="K166" s="11"/>
    </row>
    <row r="167" spans="2:11" x14ac:dyDescent="0.25">
      <c r="B167" s="4185"/>
      <c r="C167" s="328" t="s">
        <v>296</v>
      </c>
      <c r="D167" s="329">
        <v>106111816</v>
      </c>
      <c r="E167" s="330" t="s">
        <v>297</v>
      </c>
      <c r="F167" s="709">
        <v>1</v>
      </c>
      <c r="G167" s="11"/>
      <c r="J167" s="11"/>
      <c r="K167" s="11"/>
    </row>
    <row r="168" spans="2:11" ht="15.75" thickBot="1" x14ac:dyDescent="0.3">
      <c r="B168" s="4206"/>
      <c r="C168" s="331" t="s">
        <v>292</v>
      </c>
      <c r="D168" s="332">
        <v>106111814</v>
      </c>
      <c r="E168" s="333" t="s">
        <v>293</v>
      </c>
      <c r="F168" s="710">
        <v>1</v>
      </c>
      <c r="G168" s="11"/>
      <c r="J168" s="11"/>
      <c r="K168" s="11"/>
    </row>
    <row r="169" spans="2:11" ht="15" customHeight="1" x14ac:dyDescent="0.25">
      <c r="B169" s="4183" t="s">
        <v>475</v>
      </c>
      <c r="C169" s="360" t="s">
        <v>476</v>
      </c>
      <c r="D169" s="361">
        <v>106104093</v>
      </c>
      <c r="E169" s="362" t="s">
        <v>1057</v>
      </c>
      <c r="F169" s="701">
        <v>1</v>
      </c>
      <c r="G169" s="11"/>
      <c r="J169" s="11"/>
      <c r="K169" s="11"/>
    </row>
    <row r="170" spans="2:11" x14ac:dyDescent="0.25">
      <c r="B170" s="4185"/>
      <c r="C170" s="360" t="s">
        <v>477</v>
      </c>
      <c r="D170" s="361">
        <v>106104218</v>
      </c>
      <c r="E170" s="363" t="s">
        <v>478</v>
      </c>
      <c r="F170" s="701">
        <v>1</v>
      </c>
      <c r="G170" s="11"/>
      <c r="J170" s="11"/>
      <c r="K170" s="11"/>
    </row>
    <row r="171" spans="2:11" ht="15.75" thickBot="1" x14ac:dyDescent="0.3">
      <c r="B171" s="4206"/>
      <c r="C171" s="360" t="s">
        <v>328</v>
      </c>
      <c r="D171" s="361">
        <v>106104229</v>
      </c>
      <c r="E171" s="362" t="s">
        <v>468</v>
      </c>
      <c r="F171" s="701">
        <v>1</v>
      </c>
      <c r="G171" s="11"/>
      <c r="J171" s="11"/>
      <c r="K171" s="11"/>
    </row>
    <row r="172" spans="2:11" ht="15" customHeight="1" x14ac:dyDescent="0.25">
      <c r="B172" s="4183" t="s">
        <v>310</v>
      </c>
      <c r="C172" s="334" t="s">
        <v>67</v>
      </c>
      <c r="D172" s="335">
        <v>106104093</v>
      </c>
      <c r="E172" s="336" t="s">
        <v>1057</v>
      </c>
      <c r="F172" s="711">
        <v>1</v>
      </c>
      <c r="G172" s="11"/>
      <c r="J172" s="11"/>
      <c r="K172" s="11"/>
    </row>
    <row r="173" spans="2:11" x14ac:dyDescent="0.25">
      <c r="B173" s="4185"/>
      <c r="C173" s="334" t="s">
        <v>479</v>
      </c>
      <c r="D173" s="335">
        <v>106104218</v>
      </c>
      <c r="E173" s="364" t="s">
        <v>478</v>
      </c>
      <c r="F173" s="711">
        <v>1</v>
      </c>
      <c r="G173" s="11"/>
      <c r="J173" s="11"/>
      <c r="K173" s="11"/>
    </row>
    <row r="174" spans="2:11" ht="15.75" thickBot="1" x14ac:dyDescent="0.3">
      <c r="B174" s="4206"/>
      <c r="C174" s="334" t="s">
        <v>65</v>
      </c>
      <c r="D174" s="335">
        <v>106101558</v>
      </c>
      <c r="E174" s="336" t="s">
        <v>486</v>
      </c>
      <c r="F174" s="711">
        <v>1</v>
      </c>
      <c r="G174" s="11"/>
      <c r="J174" s="11"/>
      <c r="K174" s="11"/>
    </row>
    <row r="175" spans="2:11" ht="15" customHeight="1" x14ac:dyDescent="0.25">
      <c r="B175" s="4183" t="s">
        <v>311</v>
      </c>
      <c r="C175" s="337" t="s">
        <v>312</v>
      </c>
      <c r="D175" s="338">
        <v>106104093</v>
      </c>
      <c r="E175" s="339" t="s">
        <v>1057</v>
      </c>
      <c r="F175" s="712">
        <v>1</v>
      </c>
      <c r="G175" s="11"/>
      <c r="J175" s="11"/>
      <c r="K175" s="11"/>
    </row>
    <row r="176" spans="2:11" ht="15.75" thickBot="1" x14ac:dyDescent="0.3">
      <c r="B176" s="4206"/>
      <c r="C176" s="337" t="s">
        <v>285</v>
      </c>
      <c r="D176" s="338">
        <v>106104219</v>
      </c>
      <c r="E176" s="339" t="s">
        <v>96</v>
      </c>
      <c r="F176" s="712">
        <v>1</v>
      </c>
      <c r="G176" s="11"/>
      <c r="J176" s="11"/>
      <c r="K176" s="11"/>
    </row>
    <row r="177" spans="1:11" ht="15" customHeight="1" x14ac:dyDescent="0.25">
      <c r="B177" s="4183" t="s">
        <v>313</v>
      </c>
      <c r="C177" s="340" t="s">
        <v>314</v>
      </c>
      <c r="D177" s="341">
        <v>106104093</v>
      </c>
      <c r="E177" s="342" t="s">
        <v>1057</v>
      </c>
      <c r="F177" s="726">
        <v>1</v>
      </c>
      <c r="G177" s="11"/>
      <c r="J177" s="11"/>
      <c r="K177" s="11"/>
    </row>
    <row r="178" spans="1:11" x14ac:dyDescent="0.25">
      <c r="B178" s="4185"/>
      <c r="C178" s="340" t="s">
        <v>481</v>
      </c>
      <c r="D178" s="341">
        <v>106104218</v>
      </c>
      <c r="E178" s="365" t="s">
        <v>478</v>
      </c>
      <c r="F178" s="726">
        <v>1</v>
      </c>
      <c r="G178" s="11"/>
      <c r="J178" s="11"/>
      <c r="K178" s="11"/>
    </row>
    <row r="179" spans="1:11" ht="15.75" thickBot="1" x14ac:dyDescent="0.3">
      <c r="B179" s="4206"/>
      <c r="C179" s="340" t="s">
        <v>286</v>
      </c>
      <c r="D179" s="341">
        <v>106104229</v>
      </c>
      <c r="E179" s="342" t="s">
        <v>468</v>
      </c>
      <c r="F179" s="726">
        <v>1</v>
      </c>
      <c r="G179" s="11"/>
      <c r="J179" s="11"/>
      <c r="K179" s="11"/>
    </row>
    <row r="180" spans="1:11" ht="15" customHeight="1" x14ac:dyDescent="0.25">
      <c r="B180" s="4183" t="s">
        <v>487</v>
      </c>
      <c r="C180" s="324" t="s">
        <v>488</v>
      </c>
      <c r="D180" s="152">
        <v>106104100</v>
      </c>
      <c r="E180" s="325" t="s">
        <v>489</v>
      </c>
      <c r="F180" s="702">
        <v>1</v>
      </c>
      <c r="G180" s="11"/>
      <c r="J180" s="11"/>
      <c r="K180" s="11"/>
    </row>
    <row r="181" spans="1:11" ht="15.75" thickBot="1" x14ac:dyDescent="0.3">
      <c r="B181" s="4206"/>
      <c r="C181" s="324" t="s">
        <v>490</v>
      </c>
      <c r="D181" s="152">
        <v>106104191</v>
      </c>
      <c r="E181" s="325" t="s">
        <v>491</v>
      </c>
      <c r="F181" s="702">
        <v>1</v>
      </c>
      <c r="G181" s="11"/>
      <c r="J181" s="11"/>
      <c r="K181" s="11"/>
    </row>
    <row r="182" spans="1:11" ht="15" customHeight="1" x14ac:dyDescent="0.25">
      <c r="B182" s="4183" t="s">
        <v>315</v>
      </c>
      <c r="C182" s="343" t="s">
        <v>21</v>
      </c>
      <c r="D182" s="344">
        <v>106104119</v>
      </c>
      <c r="E182" s="345" t="s">
        <v>152</v>
      </c>
      <c r="F182" s="728">
        <v>1</v>
      </c>
      <c r="G182" s="11"/>
      <c r="J182" s="11"/>
      <c r="K182" s="11"/>
    </row>
    <row r="183" spans="1:11" x14ac:dyDescent="0.25">
      <c r="B183" s="4185"/>
      <c r="C183" s="343" t="s">
        <v>281</v>
      </c>
      <c r="D183" s="344">
        <v>106104084</v>
      </c>
      <c r="E183" s="345" t="s">
        <v>282</v>
      </c>
      <c r="F183" s="728">
        <v>1</v>
      </c>
      <c r="G183" s="11"/>
      <c r="J183" s="11"/>
      <c r="K183" s="11"/>
    </row>
    <row r="184" spans="1:11" x14ac:dyDescent="0.25">
      <c r="B184" s="4185"/>
      <c r="C184" s="343" t="s">
        <v>283</v>
      </c>
      <c r="D184" s="344">
        <v>106100918</v>
      </c>
      <c r="E184" s="345" t="s">
        <v>284</v>
      </c>
      <c r="F184" s="728">
        <v>1</v>
      </c>
      <c r="G184" s="11"/>
      <c r="J184" s="11"/>
      <c r="K184" s="11"/>
    </row>
    <row r="185" spans="1:11" ht="15.75" thickBot="1" x14ac:dyDescent="0.3">
      <c r="B185" s="4206"/>
      <c r="C185" s="343" t="s">
        <v>64</v>
      </c>
      <c r="D185" s="344">
        <v>106104128</v>
      </c>
      <c r="E185" s="345" t="s">
        <v>154</v>
      </c>
      <c r="F185" s="728">
        <v>1</v>
      </c>
      <c r="G185" s="11"/>
      <c r="J185" s="11"/>
      <c r="K185" s="11"/>
    </row>
    <row r="186" spans="1:11" x14ac:dyDescent="0.25">
      <c r="A186" s="68">
        <v>442263</v>
      </c>
      <c r="B186" s="4150"/>
      <c r="C186" s="349" t="s">
        <v>271</v>
      </c>
      <c r="D186" s="156">
        <v>106120457</v>
      </c>
      <c r="E186" s="350" t="s">
        <v>272</v>
      </c>
      <c r="F186" s="705">
        <v>2</v>
      </c>
      <c r="G186" s="11"/>
      <c r="J186" s="11"/>
      <c r="K186" s="11"/>
    </row>
    <row r="187" spans="1:11" x14ac:dyDescent="0.25">
      <c r="B187" s="4151"/>
      <c r="C187" s="349" t="s">
        <v>287</v>
      </c>
      <c r="D187" s="156">
        <v>106104137</v>
      </c>
      <c r="E187" s="350" t="s">
        <v>492</v>
      </c>
      <c r="F187" s="705">
        <v>3</v>
      </c>
      <c r="G187" s="11"/>
      <c r="J187" s="11"/>
      <c r="K187" s="11"/>
    </row>
    <row r="188" spans="1:11" x14ac:dyDescent="0.25">
      <c r="A188" s="48"/>
      <c r="B188" s="4151"/>
      <c r="C188" s="349"/>
      <c r="D188" s="156">
        <v>106109644</v>
      </c>
      <c r="E188" s="350" t="s">
        <v>493</v>
      </c>
      <c r="F188" s="705">
        <v>1</v>
      </c>
      <c r="G188" s="11"/>
      <c r="J188" s="11"/>
      <c r="K188" s="11"/>
    </row>
    <row r="189" spans="1:11" x14ac:dyDescent="0.25">
      <c r="A189" s="357" t="s">
        <v>470</v>
      </c>
      <c r="B189" s="4151"/>
      <c r="C189" s="349" t="s">
        <v>29</v>
      </c>
      <c r="D189" s="156">
        <v>106105387</v>
      </c>
      <c r="E189" s="350" t="s">
        <v>87</v>
      </c>
      <c r="F189" s="705">
        <v>1</v>
      </c>
      <c r="G189" s="11"/>
      <c r="J189" s="11"/>
      <c r="K189" s="11"/>
    </row>
    <row r="190" spans="1:11" x14ac:dyDescent="0.25">
      <c r="A190" s="358"/>
      <c r="B190" s="4151"/>
      <c r="C190" s="349" t="s">
        <v>469</v>
      </c>
      <c r="D190" s="156">
        <v>106104232</v>
      </c>
      <c r="E190" s="350" t="s">
        <v>273</v>
      </c>
      <c r="F190" s="705">
        <v>1</v>
      </c>
      <c r="G190" s="11"/>
      <c r="J190" s="11"/>
      <c r="K190" s="11"/>
    </row>
    <row r="191" spans="1:11" ht="30" x14ac:dyDescent="0.25">
      <c r="A191" s="357" t="s">
        <v>482</v>
      </c>
      <c r="B191" s="4151"/>
      <c r="C191" s="349" t="s">
        <v>289</v>
      </c>
      <c r="D191" s="156">
        <v>106104397</v>
      </c>
      <c r="E191" s="350" t="s">
        <v>465</v>
      </c>
      <c r="F191" s="705">
        <v>1</v>
      </c>
      <c r="G191" s="11"/>
      <c r="J191" s="11"/>
      <c r="K191" s="11"/>
    </row>
    <row r="192" spans="1:11" x14ac:dyDescent="0.25">
      <c r="B192" s="4151"/>
      <c r="C192" s="349" t="s">
        <v>138</v>
      </c>
      <c r="D192" s="156">
        <v>106104091</v>
      </c>
      <c r="E192" s="350" t="s">
        <v>162</v>
      </c>
      <c r="F192" s="705">
        <v>1</v>
      </c>
      <c r="G192" s="11"/>
      <c r="J192" s="11"/>
      <c r="K192" s="11"/>
    </row>
    <row r="193" spans="1:11" x14ac:dyDescent="0.25">
      <c r="B193" s="4151"/>
      <c r="C193" s="349" t="s">
        <v>298</v>
      </c>
      <c r="D193" s="156">
        <v>106105038</v>
      </c>
      <c r="E193" s="350" t="s">
        <v>299</v>
      </c>
      <c r="F193" s="705">
        <v>3</v>
      </c>
      <c r="G193" s="11"/>
      <c r="J193" s="11"/>
      <c r="K193" s="11"/>
    </row>
    <row r="194" spans="1:11" x14ac:dyDescent="0.25">
      <c r="B194" s="4151"/>
      <c r="C194" s="349" t="s">
        <v>323</v>
      </c>
      <c r="D194" s="156">
        <v>106105852</v>
      </c>
      <c r="E194" s="350" t="s">
        <v>300</v>
      </c>
      <c r="F194" s="705">
        <v>3</v>
      </c>
      <c r="G194" s="11"/>
      <c r="J194" s="11"/>
      <c r="K194" s="11"/>
    </row>
    <row r="195" spans="1:11" ht="15" customHeight="1" x14ac:dyDescent="0.25">
      <c r="B195" s="4151"/>
      <c r="C195" s="2564" t="s">
        <v>41</v>
      </c>
      <c r="D195" s="156">
        <v>106112529</v>
      </c>
      <c r="E195" s="350" t="s">
        <v>483</v>
      </c>
      <c r="F195" s="705">
        <v>1</v>
      </c>
      <c r="G195" s="11"/>
      <c r="J195" s="11"/>
      <c r="K195" s="11"/>
    </row>
    <row r="196" spans="1:11" ht="15.75" customHeight="1" x14ac:dyDescent="0.25">
      <c r="A196" s="503" t="s">
        <v>647</v>
      </c>
      <c r="B196" s="4151"/>
      <c r="C196" s="184"/>
      <c r="D196" s="599">
        <v>106112712</v>
      </c>
      <c r="E196" s="1040" t="s">
        <v>683</v>
      </c>
      <c r="F196" s="575">
        <v>1</v>
      </c>
      <c r="G196" s="11"/>
      <c r="J196" s="11"/>
      <c r="K196" s="11"/>
    </row>
    <row r="197" spans="1:11" ht="15" customHeight="1" thickBot="1" x14ac:dyDescent="0.3">
      <c r="B197" s="4152"/>
      <c r="C197" s="352" t="s">
        <v>484</v>
      </c>
      <c r="D197" s="353">
        <v>106200745</v>
      </c>
      <c r="E197" s="717" t="s">
        <v>485</v>
      </c>
      <c r="F197" s="705">
        <v>1</v>
      </c>
      <c r="G197" s="11"/>
      <c r="J197" s="11"/>
      <c r="K197" s="11"/>
    </row>
    <row r="198" spans="1:11" x14ac:dyDescent="0.25">
      <c r="B198" s="314"/>
      <c r="C198" s="155" t="s">
        <v>2</v>
      </c>
      <c r="D198" s="156">
        <v>106200591</v>
      </c>
      <c r="E198" s="155" t="s">
        <v>472</v>
      </c>
      <c r="F198" s="1604">
        <v>1</v>
      </c>
      <c r="G198" s="11"/>
      <c r="J198" s="11"/>
      <c r="K198" s="11"/>
    </row>
    <row r="199" spans="1:11" ht="15" customHeight="1" thickBot="1" x14ac:dyDescent="0.3">
      <c r="B199" s="315"/>
      <c r="C199" s="354" t="s">
        <v>270</v>
      </c>
      <c r="D199" s="353">
        <v>106200858</v>
      </c>
      <c r="E199" s="354" t="s">
        <v>467</v>
      </c>
      <c r="F199" s="706">
        <v>1</v>
      </c>
      <c r="G199" s="11"/>
      <c r="J199" s="11"/>
      <c r="K199" s="11"/>
    </row>
  </sheetData>
  <mergeCells count="42">
    <mergeCell ref="B54:B55"/>
    <mergeCell ref="B17:B18"/>
    <mergeCell ref="B19:B22"/>
    <mergeCell ref="B3:C3"/>
    <mergeCell ref="B4:B7"/>
    <mergeCell ref="B8:B12"/>
    <mergeCell ref="B13:B14"/>
    <mergeCell ref="B15:B16"/>
    <mergeCell ref="B40:C40"/>
    <mergeCell ref="B41:B44"/>
    <mergeCell ref="B45:B49"/>
    <mergeCell ref="B50:B51"/>
    <mergeCell ref="B52:B53"/>
    <mergeCell ref="B23:B35"/>
    <mergeCell ref="B97:B108"/>
    <mergeCell ref="B82:B86"/>
    <mergeCell ref="B131:B132"/>
    <mergeCell ref="B87:B88"/>
    <mergeCell ref="B89:B90"/>
    <mergeCell ref="B91:B92"/>
    <mergeCell ref="B93:B96"/>
    <mergeCell ref="B114:C114"/>
    <mergeCell ref="B115:B119"/>
    <mergeCell ref="B120:B124"/>
    <mergeCell ref="B125:B127"/>
    <mergeCell ref="B128:B130"/>
    <mergeCell ref="B56:B59"/>
    <mergeCell ref="B77:C77"/>
    <mergeCell ref="B78:B81"/>
    <mergeCell ref="B186:B197"/>
    <mergeCell ref="B133:B135"/>
    <mergeCell ref="B136:B139"/>
    <mergeCell ref="B158:C158"/>
    <mergeCell ref="B159:B163"/>
    <mergeCell ref="B182:B185"/>
    <mergeCell ref="B164:B168"/>
    <mergeCell ref="B169:B171"/>
    <mergeCell ref="B172:B174"/>
    <mergeCell ref="B175:B176"/>
    <mergeCell ref="B177:B179"/>
    <mergeCell ref="B180:B181"/>
    <mergeCell ref="B140:B152"/>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3"/>
  <sheetViews>
    <sheetView workbookViewId="0">
      <selection activeCell="C3" sqref="C3"/>
    </sheetView>
  </sheetViews>
  <sheetFormatPr baseColWidth="10" defaultRowHeight="15" x14ac:dyDescent="0.25"/>
  <cols>
    <col min="2" max="2" width="64" customWidth="1"/>
    <col min="3" max="3" width="15.28515625" style="75" customWidth="1"/>
    <col min="5" max="5" width="14.140625" customWidth="1"/>
  </cols>
  <sheetData>
    <row r="1" spans="1:6" x14ac:dyDescent="0.25">
      <c r="A1" s="1383" t="s">
        <v>1444</v>
      </c>
    </row>
    <row r="2" spans="1:6" x14ac:dyDescent="0.25">
      <c r="B2" s="1532" t="s">
        <v>250</v>
      </c>
      <c r="C2" s="1534" t="s">
        <v>79</v>
      </c>
      <c r="E2" s="1383" t="s">
        <v>1470</v>
      </c>
    </row>
    <row r="3" spans="1:6" x14ac:dyDescent="0.25">
      <c r="B3" s="3679" t="s">
        <v>1445</v>
      </c>
      <c r="C3" s="1538" t="s">
        <v>1446</v>
      </c>
      <c r="D3" s="1383"/>
      <c r="E3" s="410">
        <v>37</v>
      </c>
      <c r="F3">
        <v>106200503</v>
      </c>
    </row>
    <row r="4" spans="1:6" s="1346" customFormat="1" x14ac:dyDescent="0.25">
      <c r="B4" s="1346" t="s">
        <v>1463</v>
      </c>
      <c r="C4" s="1539">
        <v>106200591</v>
      </c>
      <c r="D4" s="1537">
        <v>55.324999999999996</v>
      </c>
    </row>
    <row r="5" spans="1:6" s="1346" customFormat="1" x14ac:dyDescent="0.25">
      <c r="B5" s="1536" t="s">
        <v>162</v>
      </c>
      <c r="C5" s="1539">
        <v>106104091</v>
      </c>
      <c r="D5" s="1537">
        <v>8.1833333333333336</v>
      </c>
    </row>
    <row r="6" spans="1:6" s="1346" customFormat="1" x14ac:dyDescent="0.25">
      <c r="B6" s="1346" t="s">
        <v>1464</v>
      </c>
      <c r="C6" s="1539">
        <v>106200539</v>
      </c>
      <c r="D6" s="1537">
        <v>19.350000000000001</v>
      </c>
    </row>
    <row r="7" spans="1:6" s="1533" customFormat="1" x14ac:dyDescent="0.25">
      <c r="A7" s="1533">
        <v>1</v>
      </c>
      <c r="B7" s="1346" t="s">
        <v>1447</v>
      </c>
      <c r="C7" s="1539">
        <v>106105847</v>
      </c>
      <c r="D7" s="1537">
        <v>96.67</v>
      </c>
      <c r="E7" s="1533">
        <v>58</v>
      </c>
    </row>
    <row r="8" spans="1:6" x14ac:dyDescent="0.25">
      <c r="B8" t="s">
        <v>152</v>
      </c>
      <c r="C8" s="1535" t="s">
        <v>1448</v>
      </c>
      <c r="E8" s="1383"/>
    </row>
    <row r="9" spans="1:6" x14ac:dyDescent="0.25">
      <c r="B9" s="1383" t="s">
        <v>275</v>
      </c>
      <c r="C9" s="1535" t="s">
        <v>1462</v>
      </c>
    </row>
    <row r="10" spans="1:6" x14ac:dyDescent="0.25">
      <c r="B10" s="1383" t="s">
        <v>767</v>
      </c>
      <c r="C10" s="1535" t="s">
        <v>1449</v>
      </c>
    </row>
    <row r="11" spans="1:6" x14ac:dyDescent="0.25">
      <c r="B11" t="s">
        <v>766</v>
      </c>
      <c r="C11" s="1535" t="s">
        <v>1450</v>
      </c>
    </row>
    <row r="12" spans="1:6" x14ac:dyDescent="0.25">
      <c r="B12" t="s">
        <v>765</v>
      </c>
      <c r="C12" s="1535" t="s">
        <v>1451</v>
      </c>
    </row>
    <row r="13" spans="1:6" s="1346" customFormat="1" x14ac:dyDescent="0.25">
      <c r="A13" s="1346">
        <v>3</v>
      </c>
      <c r="B13" s="1346" t="s">
        <v>1452</v>
      </c>
      <c r="C13" s="1539">
        <v>106112525</v>
      </c>
      <c r="D13" s="1537">
        <v>141.13</v>
      </c>
    </row>
    <row r="14" spans="1:6" x14ac:dyDescent="0.25">
      <c r="B14" t="s">
        <v>1453</v>
      </c>
      <c r="C14" s="1535" t="s">
        <v>1454</v>
      </c>
      <c r="D14" s="1537"/>
    </row>
    <row r="15" spans="1:6" s="1346" customFormat="1" x14ac:dyDescent="0.25">
      <c r="B15" s="1346" t="s">
        <v>293</v>
      </c>
      <c r="C15" s="1539">
        <v>106111814</v>
      </c>
      <c r="D15" s="1537">
        <v>65.92</v>
      </c>
    </row>
    <row r="16" spans="1:6" s="1351" customFormat="1" x14ac:dyDescent="0.25">
      <c r="B16" s="1351" t="s">
        <v>1455</v>
      </c>
      <c r="C16" s="1349" t="s">
        <v>1456</v>
      </c>
      <c r="D16" s="1351">
        <v>24335</v>
      </c>
    </row>
    <row r="17" spans="2:4" s="1346" customFormat="1" x14ac:dyDescent="0.25">
      <c r="B17" s="1346" t="s">
        <v>291</v>
      </c>
      <c r="C17" s="1539">
        <v>106110473</v>
      </c>
      <c r="D17" s="1537">
        <v>1313.2166666666667</v>
      </c>
    </row>
    <row r="18" spans="2:4" s="1346" customFormat="1" x14ac:dyDescent="0.25">
      <c r="B18" s="1346" t="s">
        <v>1457</v>
      </c>
      <c r="C18" s="1539">
        <v>106105387</v>
      </c>
      <c r="D18" s="1537">
        <v>879.32</v>
      </c>
    </row>
    <row r="19" spans="2:4" x14ac:dyDescent="0.25">
      <c r="B19" s="1383" t="s">
        <v>1458</v>
      </c>
      <c r="C19" s="1535" t="s">
        <v>1459</v>
      </c>
    </row>
    <row r="20" spans="2:4" x14ac:dyDescent="0.25">
      <c r="B20" s="1383" t="s">
        <v>779</v>
      </c>
      <c r="C20" s="1535" t="s">
        <v>1460</v>
      </c>
    </row>
    <row r="21" spans="2:4" x14ac:dyDescent="0.25">
      <c r="B21" t="s">
        <v>756</v>
      </c>
      <c r="C21" s="1535" t="s">
        <v>1461</v>
      </c>
    </row>
    <row r="22" spans="2:4" x14ac:dyDescent="0.25">
      <c r="B22" s="1346" t="s">
        <v>1465</v>
      </c>
      <c r="C22" s="1539">
        <v>106200857</v>
      </c>
      <c r="D22" s="1537">
        <v>6373.6</v>
      </c>
    </row>
    <row r="23" spans="2:4" x14ac:dyDescent="0.25">
      <c r="C23" s="1539"/>
    </row>
  </sheetData>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9"/>
  <sheetViews>
    <sheetView topLeftCell="C52" zoomScale="90" zoomScaleNormal="90" workbookViewId="0">
      <selection activeCell="D72" sqref="D72"/>
    </sheetView>
  </sheetViews>
  <sheetFormatPr baseColWidth="10" defaultRowHeight="15" x14ac:dyDescent="0.25"/>
  <cols>
    <col min="1" max="1" width="19.7109375" style="11" customWidth="1"/>
    <col min="3" max="3" width="15.28515625" customWidth="1"/>
    <col min="4" max="4" width="12" bestFit="1" customWidth="1"/>
    <col min="5" max="5" width="57.5703125" customWidth="1"/>
    <col min="6" max="8" width="12.42578125" style="219" customWidth="1"/>
    <col min="9" max="9" width="11.42578125" style="219"/>
    <col min="10" max="10" width="12.5703125" style="219" customWidth="1"/>
    <col min="11" max="11" width="14.5703125" style="219" customWidth="1"/>
    <col min="12" max="12" width="13.5703125" style="219" customWidth="1"/>
    <col min="13" max="13" width="11.42578125" style="219"/>
    <col min="15" max="15" width="14.28515625" customWidth="1"/>
  </cols>
  <sheetData>
    <row r="1" spans="2:6" s="11" customFormat="1" ht="15.75" thickBot="1" x14ac:dyDescent="0.3">
      <c r="B1" s="387" t="s">
        <v>1390</v>
      </c>
      <c r="C1" s="1594"/>
      <c r="D1" s="1594"/>
      <c r="E1" s="1594" t="s">
        <v>1388</v>
      </c>
      <c r="F1" s="1603" t="str">
        <f>IF($E$1=$G$32,H32,IF($E$1=$G$33,H33,))</f>
        <v>AAV7003IDG01</v>
      </c>
    </row>
    <row r="2" spans="2:6" s="920" customFormat="1" ht="30.75" customHeight="1" thickBot="1" x14ac:dyDescent="0.3">
      <c r="B2" s="4249" t="s">
        <v>79</v>
      </c>
      <c r="C2" s="4250"/>
      <c r="D2" s="1491" t="s">
        <v>936</v>
      </c>
      <c r="E2" s="1499" t="s">
        <v>1</v>
      </c>
      <c r="F2" s="1499" t="s">
        <v>960</v>
      </c>
    </row>
    <row r="3" spans="2:6" s="11" customFormat="1" x14ac:dyDescent="0.25">
      <c r="B3" s="4258" t="s">
        <v>963</v>
      </c>
      <c r="C3" s="924" t="s">
        <v>24</v>
      </c>
      <c r="D3" s="1479">
        <v>106104947</v>
      </c>
      <c r="E3" s="1472" t="s">
        <v>84</v>
      </c>
      <c r="F3" s="1485">
        <v>1</v>
      </c>
    </row>
    <row r="4" spans="2:6" s="11" customFormat="1" x14ac:dyDescent="0.25">
      <c r="B4" s="4254"/>
      <c r="C4" s="933" t="s">
        <v>328</v>
      </c>
      <c r="D4" s="1480">
        <v>106202886</v>
      </c>
      <c r="E4" s="932" t="s">
        <v>972</v>
      </c>
      <c r="F4" s="1486">
        <v>1</v>
      </c>
    </row>
    <row r="5" spans="2:6" s="11" customFormat="1" x14ac:dyDescent="0.25">
      <c r="B5" s="4254"/>
      <c r="C5" s="933" t="s">
        <v>286</v>
      </c>
      <c r="D5" s="1480">
        <v>106202884</v>
      </c>
      <c r="E5" s="932" t="s">
        <v>973</v>
      </c>
      <c r="F5" s="1486">
        <v>1</v>
      </c>
    </row>
    <row r="6" spans="2:6" s="11" customFormat="1" x14ac:dyDescent="0.25">
      <c r="B6" s="4254"/>
      <c r="C6" s="933" t="s">
        <v>285</v>
      </c>
      <c r="D6" s="1480">
        <v>106202883</v>
      </c>
      <c r="E6" s="932" t="s">
        <v>974</v>
      </c>
      <c r="F6" s="1486">
        <v>1</v>
      </c>
    </row>
    <row r="7" spans="2:6" s="11" customFormat="1" x14ac:dyDescent="0.25">
      <c r="B7" s="4254"/>
      <c r="C7" s="933" t="s">
        <v>21</v>
      </c>
      <c r="D7" s="1480">
        <v>106113580</v>
      </c>
      <c r="E7" s="932" t="s">
        <v>1478</v>
      </c>
      <c r="F7" s="1486">
        <v>1</v>
      </c>
    </row>
    <row r="8" spans="2:6" s="11" customFormat="1" x14ac:dyDescent="0.25">
      <c r="B8" s="4254"/>
      <c r="C8" s="923" t="s">
        <v>106</v>
      </c>
      <c r="D8" s="1480">
        <v>106200539</v>
      </c>
      <c r="E8" s="1473" t="s">
        <v>107</v>
      </c>
      <c r="F8" s="1487">
        <v>1</v>
      </c>
    </row>
    <row r="9" spans="2:6" s="11" customFormat="1" x14ac:dyDescent="0.25">
      <c r="B9" s="4254"/>
      <c r="C9" s="927"/>
      <c r="D9" s="1481">
        <v>106112712</v>
      </c>
      <c r="E9" s="1474" t="s">
        <v>926</v>
      </c>
      <c r="F9" s="1202">
        <v>2</v>
      </c>
    </row>
    <row r="10" spans="2:6" s="11" customFormat="1" x14ac:dyDescent="0.25">
      <c r="B10" s="4254"/>
      <c r="C10" s="933" t="s">
        <v>108</v>
      </c>
      <c r="D10" s="1480">
        <v>106114079</v>
      </c>
      <c r="E10" s="932" t="s">
        <v>156</v>
      </c>
      <c r="F10" s="1486">
        <v>1</v>
      </c>
    </row>
    <row r="11" spans="2:6" s="11" customFormat="1" ht="15.75" thickBot="1" x14ac:dyDescent="0.3">
      <c r="B11" s="4259"/>
      <c r="C11" s="922" t="s">
        <v>40</v>
      </c>
      <c r="D11" s="1476">
        <v>106200771</v>
      </c>
      <c r="E11" s="1475" t="s">
        <v>110</v>
      </c>
      <c r="F11" s="1484">
        <v>1</v>
      </c>
    </row>
    <row r="12" spans="2:6" s="11" customFormat="1" x14ac:dyDescent="0.25">
      <c r="B12" s="4258" t="s">
        <v>113</v>
      </c>
      <c r="C12" s="924" t="s">
        <v>263</v>
      </c>
      <c r="D12" s="1479">
        <v>106104180</v>
      </c>
      <c r="E12" s="1472" t="s">
        <v>157</v>
      </c>
      <c r="F12" s="1485">
        <v>1</v>
      </c>
    </row>
    <row r="13" spans="2:6" s="11" customFormat="1" x14ac:dyDescent="0.25">
      <c r="B13" s="4254"/>
      <c r="C13" s="923" t="s">
        <v>332</v>
      </c>
      <c r="D13" s="1480">
        <v>106104133</v>
      </c>
      <c r="E13" s="1473" t="s">
        <v>158</v>
      </c>
      <c r="F13" s="1487">
        <v>4</v>
      </c>
    </row>
    <row r="14" spans="2:6" s="11" customFormat="1" x14ac:dyDescent="0.25">
      <c r="B14" s="4254"/>
      <c r="C14" s="923" t="s">
        <v>333</v>
      </c>
      <c r="D14" s="1480">
        <v>106106241</v>
      </c>
      <c r="E14" s="1473" t="s">
        <v>190</v>
      </c>
      <c r="F14" s="1487">
        <v>2</v>
      </c>
    </row>
    <row r="15" spans="2:6" s="11" customFormat="1" x14ac:dyDescent="0.25">
      <c r="B15" s="4254"/>
      <c r="C15" s="923" t="s">
        <v>334</v>
      </c>
      <c r="D15" s="1480">
        <v>106104209</v>
      </c>
      <c r="E15" s="1473" t="s">
        <v>191</v>
      </c>
      <c r="F15" s="1487">
        <v>1</v>
      </c>
    </row>
    <row r="16" spans="2:6" s="11" customFormat="1" x14ac:dyDescent="0.25">
      <c r="B16" s="4254"/>
      <c r="C16" s="923" t="s">
        <v>335</v>
      </c>
      <c r="D16" s="1480">
        <v>106104212</v>
      </c>
      <c r="E16" s="1473" t="s">
        <v>193</v>
      </c>
      <c r="F16" s="1487">
        <v>1</v>
      </c>
    </row>
    <row r="17" spans="2:9" s="11" customFormat="1" x14ac:dyDescent="0.25">
      <c r="B17" s="4254"/>
      <c r="C17" s="933" t="s">
        <v>271</v>
      </c>
      <c r="D17" s="1480">
        <v>106105399</v>
      </c>
      <c r="E17" s="932" t="s">
        <v>120</v>
      </c>
      <c r="F17" s="1486">
        <v>2</v>
      </c>
    </row>
    <row r="18" spans="2:9" s="11" customFormat="1" ht="15.75" thickBot="1" x14ac:dyDescent="0.3">
      <c r="B18" s="4259"/>
      <c r="C18" s="935" t="s">
        <v>261</v>
      </c>
      <c r="D18" s="1476">
        <v>106114701</v>
      </c>
      <c r="E18" s="936" t="s">
        <v>123</v>
      </c>
      <c r="F18" s="1488">
        <v>1</v>
      </c>
    </row>
    <row r="19" spans="2:9" s="11" customFormat="1" x14ac:dyDescent="0.25">
      <c r="B19" s="4254" t="s">
        <v>137</v>
      </c>
      <c r="C19" s="933" t="s">
        <v>844</v>
      </c>
      <c r="D19" s="1480">
        <v>106202972</v>
      </c>
      <c r="E19" s="932" t="s">
        <v>962</v>
      </c>
      <c r="F19" s="1486">
        <v>1</v>
      </c>
    </row>
    <row r="20" spans="2:9" s="11" customFormat="1" x14ac:dyDescent="0.25">
      <c r="B20" s="4254"/>
      <c r="C20" s="923" t="s">
        <v>336</v>
      </c>
      <c r="D20" s="1480">
        <v>106105850</v>
      </c>
      <c r="E20" s="1473" t="s">
        <v>145</v>
      </c>
      <c r="F20" s="1487">
        <v>1</v>
      </c>
    </row>
    <row r="21" spans="2:9" s="11" customFormat="1" x14ac:dyDescent="0.25">
      <c r="B21" s="4254"/>
      <c r="C21" s="933" t="s">
        <v>337</v>
      </c>
      <c r="D21" s="1480">
        <v>106112525</v>
      </c>
      <c r="E21" s="932" t="s">
        <v>975</v>
      </c>
      <c r="F21" s="1486">
        <v>2</v>
      </c>
    </row>
    <row r="22" spans="2:9" s="11" customFormat="1" x14ac:dyDescent="0.25">
      <c r="B22" s="4254"/>
      <c r="C22" s="933" t="s">
        <v>339</v>
      </c>
      <c r="D22" s="1480">
        <v>106114697</v>
      </c>
      <c r="E22" s="932" t="s">
        <v>299</v>
      </c>
      <c r="F22" s="1486">
        <v>2</v>
      </c>
    </row>
    <row r="23" spans="2:9" s="11" customFormat="1" ht="15.75" thickBot="1" x14ac:dyDescent="0.3">
      <c r="B23" s="4259"/>
      <c r="C23" s="923" t="s">
        <v>196</v>
      </c>
      <c r="D23" s="1480">
        <v>106201346</v>
      </c>
      <c r="E23" s="1473" t="s">
        <v>197</v>
      </c>
      <c r="F23" s="1487">
        <v>1</v>
      </c>
    </row>
    <row r="24" spans="2:9" s="11" customFormat="1" x14ac:dyDescent="0.25">
      <c r="B24" s="4266" t="s">
        <v>124</v>
      </c>
      <c r="C24" s="937" t="s">
        <v>287</v>
      </c>
      <c r="D24" s="1479">
        <v>106105422</v>
      </c>
      <c r="E24" s="938" t="s">
        <v>126</v>
      </c>
      <c r="F24" s="1489">
        <v>3</v>
      </c>
    </row>
    <row r="25" spans="2:9" s="11" customFormat="1" x14ac:dyDescent="0.25">
      <c r="B25" s="4267"/>
      <c r="C25" s="933" t="s">
        <v>71</v>
      </c>
      <c r="D25" s="1480">
        <v>106113624</v>
      </c>
      <c r="E25" s="932" t="s">
        <v>1370</v>
      </c>
      <c r="F25" s="1486">
        <v>1</v>
      </c>
    </row>
    <row r="26" spans="2:9" s="11" customFormat="1" ht="15.75" thickBot="1" x14ac:dyDescent="0.3">
      <c r="B26" s="4268"/>
      <c r="C26" s="923" t="s">
        <v>341</v>
      </c>
      <c r="D26" s="1480">
        <v>106104397</v>
      </c>
      <c r="E26" s="1473" t="s">
        <v>135</v>
      </c>
      <c r="F26" s="1487">
        <v>1</v>
      </c>
    </row>
    <row r="27" spans="2:9" s="11" customFormat="1" x14ac:dyDescent="0.25">
      <c r="B27" s="4263" t="s">
        <v>11</v>
      </c>
      <c r="C27" s="925"/>
      <c r="D27" s="1482">
        <v>106112878</v>
      </c>
      <c r="E27" s="938" t="s">
        <v>689</v>
      </c>
      <c r="F27" s="1490">
        <v>5</v>
      </c>
    </row>
    <row r="28" spans="2:9" s="11" customFormat="1" x14ac:dyDescent="0.25">
      <c r="B28" s="4264"/>
      <c r="C28" s="926"/>
      <c r="D28" s="1483">
        <v>106107580</v>
      </c>
      <c r="E28" s="349" t="s">
        <v>1277</v>
      </c>
      <c r="F28" s="1217">
        <v>3</v>
      </c>
    </row>
    <row r="29" spans="2:9" s="11" customFormat="1" ht="15.75" thickBot="1" x14ac:dyDescent="0.3">
      <c r="B29" s="4265"/>
      <c r="C29" s="1506"/>
      <c r="D29" s="1481">
        <v>106112712</v>
      </c>
      <c r="E29" s="1473" t="s">
        <v>683</v>
      </c>
      <c r="F29" s="1217">
        <v>1</v>
      </c>
    </row>
    <row r="30" spans="2:9" s="11" customFormat="1" ht="15.75" thickBot="1" x14ac:dyDescent="0.3">
      <c r="B30" s="1505"/>
      <c r="C30" s="1507" t="str">
        <f>IF($E$1=$G$32,C32,IF($E$1=$G$33,C33,))</f>
        <v>AAV7101</v>
      </c>
      <c r="D30" s="1508">
        <f>IF($E$1=$G$32,D32,IF($E$1=$G$33,D33,))</f>
        <v>106201457</v>
      </c>
      <c r="E30" s="1508" t="str">
        <f>IF($E$1=$G$32,E32,IF($E$1=$G$33,E33,))</f>
        <v>VARIADOR DIG INGCONSUN TRIF 125kW</v>
      </c>
      <c r="F30" s="1504">
        <v>1</v>
      </c>
    </row>
    <row r="31" spans="2:9" s="1383" customFormat="1" ht="15.75" thickBot="1" x14ac:dyDescent="0.3">
      <c r="B31" s="1236"/>
      <c r="C31" s="931"/>
      <c r="D31" s="1473"/>
      <c r="E31" s="1473"/>
      <c r="F31" s="267"/>
      <c r="G31" s="1500"/>
      <c r="H31" s="934"/>
      <c r="I31" s="374"/>
    </row>
    <row r="32" spans="2:9" s="1383" customFormat="1" ht="15.75" thickBot="1" x14ac:dyDescent="0.3">
      <c r="B32" s="921"/>
      <c r="C32" s="1501" t="s">
        <v>187</v>
      </c>
      <c r="D32" s="1502">
        <v>106201457</v>
      </c>
      <c r="E32" s="1503" t="s">
        <v>188</v>
      </c>
      <c r="F32" s="1504">
        <v>1</v>
      </c>
      <c r="G32" s="1383" t="s">
        <v>1388</v>
      </c>
      <c r="H32" s="1383" t="s">
        <v>1386</v>
      </c>
    </row>
    <row r="33" spans="1:13" s="1383" customFormat="1" ht="15.75" thickBot="1" x14ac:dyDescent="0.3">
      <c r="B33" s="921"/>
      <c r="C33" s="922" t="s">
        <v>240</v>
      </c>
      <c r="D33" s="1476">
        <v>106202625</v>
      </c>
      <c r="E33" s="1475" t="s">
        <v>1387</v>
      </c>
      <c r="F33" s="1484">
        <v>1</v>
      </c>
      <c r="G33" s="1383" t="s">
        <v>1389</v>
      </c>
      <c r="H33" s="1383" t="s">
        <v>1391</v>
      </c>
    </row>
    <row r="34" spans="1:13" ht="15.75" thickBot="1" x14ac:dyDescent="0.3"/>
    <row r="35" spans="1:13" ht="15.75" customHeight="1" thickBot="1" x14ac:dyDescent="0.3">
      <c r="A35" s="454"/>
      <c r="B35" s="387" t="s">
        <v>503</v>
      </c>
      <c r="C35" s="1629"/>
      <c r="D35" s="1629"/>
      <c r="E35" s="1629"/>
      <c r="F35" s="1603" t="s">
        <v>1386</v>
      </c>
      <c r="G35" s="175"/>
      <c r="H35" s="175"/>
      <c r="I35" s="175"/>
      <c r="J35"/>
      <c r="K35"/>
      <c r="L35"/>
      <c r="M35"/>
    </row>
    <row r="36" spans="1:13" s="398" customFormat="1" ht="34.5" customHeight="1" thickBot="1" x14ac:dyDescent="0.3">
      <c r="A36" s="396"/>
      <c r="B36" s="4249" t="s">
        <v>79</v>
      </c>
      <c r="C36" s="4250"/>
      <c r="D36" s="1491" t="s">
        <v>936</v>
      </c>
      <c r="E36" s="1499" t="s">
        <v>1</v>
      </c>
      <c r="F36" s="1499" t="s">
        <v>960</v>
      </c>
    </row>
    <row r="37" spans="1:13" ht="15" customHeight="1" x14ac:dyDescent="0.25">
      <c r="A37" s="509"/>
      <c r="B37" s="4255" t="s">
        <v>82</v>
      </c>
      <c r="C37" s="442" t="s">
        <v>24</v>
      </c>
      <c r="D37" s="1607">
        <v>106104947</v>
      </c>
      <c r="E37" s="1608" t="s">
        <v>84</v>
      </c>
      <c r="F37" s="1609">
        <v>1</v>
      </c>
      <c r="G37"/>
      <c r="H37"/>
      <c r="I37"/>
      <c r="J37"/>
      <c r="K37"/>
      <c r="L37"/>
      <c r="M37"/>
    </row>
    <row r="38" spans="1:13" x14ac:dyDescent="0.25">
      <c r="A38" s="418"/>
      <c r="B38" s="4256"/>
      <c r="C38" s="443" t="s">
        <v>327</v>
      </c>
      <c r="D38" s="1610">
        <v>106104093</v>
      </c>
      <c r="E38" s="1611" t="s">
        <v>1057</v>
      </c>
      <c r="F38" s="1612">
        <v>3</v>
      </c>
      <c r="G38"/>
      <c r="H38"/>
      <c r="I38"/>
      <c r="J38"/>
      <c r="K38"/>
      <c r="L38"/>
      <c r="M38"/>
    </row>
    <row r="39" spans="1:13" x14ac:dyDescent="0.25">
      <c r="A39" s="418"/>
      <c r="B39" s="4256"/>
      <c r="C39" s="443" t="s">
        <v>328</v>
      </c>
      <c r="D39" s="1610">
        <v>106104223</v>
      </c>
      <c r="E39" s="1611" t="s">
        <v>92</v>
      </c>
      <c r="F39" s="1612">
        <v>1</v>
      </c>
      <c r="G39"/>
      <c r="H39"/>
      <c r="I39"/>
      <c r="J39"/>
      <c r="K39"/>
      <c r="L39"/>
      <c r="M39"/>
    </row>
    <row r="40" spans="1:13" x14ac:dyDescent="0.25">
      <c r="A40" s="418"/>
      <c r="B40" s="4256"/>
      <c r="C40" s="443" t="s">
        <v>286</v>
      </c>
      <c r="D40" s="1610">
        <v>106104221</v>
      </c>
      <c r="E40" s="1611" t="s">
        <v>151</v>
      </c>
      <c r="F40" s="1612">
        <v>1</v>
      </c>
      <c r="G40"/>
      <c r="H40"/>
      <c r="I40"/>
      <c r="J40"/>
      <c r="K40"/>
      <c r="L40"/>
      <c r="M40"/>
    </row>
    <row r="41" spans="1:13" x14ac:dyDescent="0.25">
      <c r="A41" s="418"/>
      <c r="B41" s="4256"/>
      <c r="C41" s="443" t="s">
        <v>285</v>
      </c>
      <c r="D41" s="1610">
        <v>106104219</v>
      </c>
      <c r="E41" s="1611" t="s">
        <v>96</v>
      </c>
      <c r="F41" s="1612">
        <v>1</v>
      </c>
      <c r="G41"/>
      <c r="H41"/>
      <c r="I41"/>
      <c r="J41"/>
      <c r="K41"/>
      <c r="L41"/>
      <c r="M41"/>
    </row>
    <row r="42" spans="1:13" x14ac:dyDescent="0.25">
      <c r="A42" s="418"/>
      <c r="B42" s="4256"/>
      <c r="C42" s="443" t="s">
        <v>21</v>
      </c>
      <c r="D42" s="1610">
        <v>106104119</v>
      </c>
      <c r="E42" s="1613" t="s">
        <v>152</v>
      </c>
      <c r="F42" s="1612">
        <v>1</v>
      </c>
      <c r="G42"/>
      <c r="H42"/>
      <c r="I42"/>
      <c r="J42"/>
      <c r="K42"/>
      <c r="L42"/>
      <c r="M42"/>
    </row>
    <row r="43" spans="1:13" x14ac:dyDescent="0.25">
      <c r="A43" s="418"/>
      <c r="B43" s="4256"/>
      <c r="C43" s="443" t="s">
        <v>329</v>
      </c>
      <c r="D43" s="1610">
        <v>106104084</v>
      </c>
      <c r="E43" s="1613" t="s">
        <v>153</v>
      </c>
      <c r="F43" s="1612">
        <v>1</v>
      </c>
      <c r="G43"/>
      <c r="H43"/>
      <c r="I43"/>
      <c r="J43"/>
      <c r="K43"/>
      <c r="L43"/>
      <c r="M43"/>
    </row>
    <row r="44" spans="1:13" x14ac:dyDescent="0.25">
      <c r="A44" s="418"/>
      <c r="B44" s="4256"/>
      <c r="C44" s="443" t="s">
        <v>330</v>
      </c>
      <c r="D44" s="1610">
        <v>106104126</v>
      </c>
      <c r="E44" s="1613" t="s">
        <v>154</v>
      </c>
      <c r="F44" s="1612">
        <v>1</v>
      </c>
      <c r="G44"/>
      <c r="H44"/>
      <c r="I44"/>
      <c r="J44"/>
      <c r="K44"/>
      <c r="L44"/>
      <c r="M44"/>
    </row>
    <row r="45" spans="1:13" x14ac:dyDescent="0.25">
      <c r="A45" s="418"/>
      <c r="B45" s="4256"/>
      <c r="C45" s="443" t="s">
        <v>331</v>
      </c>
      <c r="D45" s="1610">
        <v>106104094</v>
      </c>
      <c r="E45" s="1613" t="s">
        <v>155</v>
      </c>
      <c r="F45" s="1612">
        <v>1</v>
      </c>
      <c r="G45"/>
      <c r="H45"/>
      <c r="I45"/>
      <c r="J45"/>
      <c r="K45"/>
      <c r="L45"/>
      <c r="M45"/>
    </row>
    <row r="46" spans="1:13" x14ac:dyDescent="0.25">
      <c r="A46" s="418"/>
      <c r="B46" s="4256"/>
      <c r="C46" s="443" t="s">
        <v>106</v>
      </c>
      <c r="D46" s="1610">
        <v>106200539</v>
      </c>
      <c r="E46" s="1611" t="s">
        <v>107</v>
      </c>
      <c r="F46" s="1612">
        <v>1</v>
      </c>
      <c r="G46"/>
      <c r="H46"/>
      <c r="I46"/>
      <c r="J46"/>
      <c r="K46"/>
      <c r="L46"/>
      <c r="M46"/>
    </row>
    <row r="47" spans="1:13" s="11" customFormat="1" ht="15.75" customHeight="1" x14ac:dyDescent="0.25">
      <c r="A47" s="503" t="s">
        <v>647</v>
      </c>
      <c r="B47" s="4256"/>
      <c r="C47" s="184"/>
      <c r="D47" s="1614">
        <v>106112712</v>
      </c>
      <c r="E47" s="1615" t="s">
        <v>926</v>
      </c>
      <c r="F47" s="1599">
        <v>2</v>
      </c>
    </row>
    <row r="48" spans="1:13" s="173" customFormat="1" x14ac:dyDescent="0.25">
      <c r="A48" s="418"/>
      <c r="B48" s="4256"/>
      <c r="C48" s="444" t="s">
        <v>108</v>
      </c>
      <c r="D48" s="1616">
        <v>106104330</v>
      </c>
      <c r="E48" s="1617" t="s">
        <v>156</v>
      </c>
      <c r="F48" s="1618">
        <v>1</v>
      </c>
    </row>
    <row r="49" spans="1:13" ht="15.75" thickBot="1" x14ac:dyDescent="0.3">
      <c r="A49" s="418"/>
      <c r="B49" s="4257"/>
      <c r="C49" s="445" t="s">
        <v>40</v>
      </c>
      <c r="D49" s="1469">
        <v>106200771</v>
      </c>
      <c r="E49" s="453" t="s">
        <v>110</v>
      </c>
      <c r="F49" s="1619">
        <v>1</v>
      </c>
      <c r="G49"/>
      <c r="H49"/>
      <c r="I49"/>
      <c r="J49"/>
      <c r="K49"/>
      <c r="L49"/>
      <c r="M49"/>
    </row>
    <row r="50" spans="1:13" x14ac:dyDescent="0.25">
      <c r="A50" s="417"/>
      <c r="B50" s="4254" t="s">
        <v>113</v>
      </c>
      <c r="C50" s="442" t="s">
        <v>263</v>
      </c>
      <c r="D50" s="1607">
        <v>106104180</v>
      </c>
      <c r="E50" s="1620" t="s">
        <v>157</v>
      </c>
      <c r="F50" s="1609">
        <v>1</v>
      </c>
      <c r="G50"/>
      <c r="H50"/>
      <c r="I50"/>
      <c r="J50"/>
      <c r="K50"/>
      <c r="L50"/>
      <c r="M50"/>
    </row>
    <row r="51" spans="1:13" x14ac:dyDescent="0.25">
      <c r="A51" s="418"/>
      <c r="B51" s="4254"/>
      <c r="C51" s="443" t="s">
        <v>332</v>
      </c>
      <c r="D51" s="1610">
        <v>106104133</v>
      </c>
      <c r="E51" s="1468" t="s">
        <v>158</v>
      </c>
      <c r="F51" s="1612">
        <v>4</v>
      </c>
      <c r="G51"/>
      <c r="H51"/>
      <c r="I51"/>
      <c r="J51"/>
      <c r="K51"/>
      <c r="L51"/>
      <c r="M51"/>
    </row>
    <row r="52" spans="1:13" x14ac:dyDescent="0.25">
      <c r="A52" s="418"/>
      <c r="B52" s="4254"/>
      <c r="C52" s="443" t="s">
        <v>333</v>
      </c>
      <c r="D52" s="1610">
        <v>106106241</v>
      </c>
      <c r="E52" s="1468" t="s">
        <v>190</v>
      </c>
      <c r="F52" s="1612">
        <v>2</v>
      </c>
      <c r="G52"/>
      <c r="H52"/>
      <c r="I52"/>
      <c r="J52"/>
      <c r="K52"/>
      <c r="L52"/>
      <c r="M52"/>
    </row>
    <row r="53" spans="1:13" x14ac:dyDescent="0.25">
      <c r="A53" s="890" t="s">
        <v>907</v>
      </c>
      <c r="B53" s="4254"/>
      <c r="C53" s="443" t="s">
        <v>334</v>
      </c>
      <c r="D53" s="1610">
        <v>106104209</v>
      </c>
      <c r="E53" s="1468" t="s">
        <v>191</v>
      </c>
      <c r="F53" s="1612">
        <v>1</v>
      </c>
      <c r="G53"/>
      <c r="H53"/>
      <c r="I53"/>
      <c r="J53"/>
      <c r="K53"/>
      <c r="L53"/>
      <c r="M53"/>
    </row>
    <row r="54" spans="1:13" x14ac:dyDescent="0.25">
      <c r="A54" s="418"/>
      <c r="B54" s="4254"/>
      <c r="C54" s="443" t="s">
        <v>335</v>
      </c>
      <c r="D54" s="1610">
        <v>106104212</v>
      </c>
      <c r="E54" s="1468" t="s">
        <v>193</v>
      </c>
      <c r="F54" s="1612">
        <v>1</v>
      </c>
      <c r="G54"/>
      <c r="H54"/>
      <c r="I54"/>
      <c r="J54"/>
      <c r="K54"/>
      <c r="L54"/>
      <c r="M54"/>
    </row>
    <row r="55" spans="1:13" x14ac:dyDescent="0.25">
      <c r="A55" s="418"/>
      <c r="B55" s="4254"/>
      <c r="C55" s="443" t="s">
        <v>271</v>
      </c>
      <c r="D55" s="1610">
        <v>106112169</v>
      </c>
      <c r="E55" s="1465" t="s">
        <v>120</v>
      </c>
      <c r="F55" s="1612">
        <v>2</v>
      </c>
      <c r="G55"/>
      <c r="H55"/>
      <c r="I55"/>
      <c r="J55"/>
      <c r="K55"/>
      <c r="L55"/>
      <c r="M55"/>
    </row>
    <row r="56" spans="1:13" ht="15.75" thickBot="1" x14ac:dyDescent="0.3">
      <c r="A56" s="418"/>
      <c r="B56" s="4254"/>
      <c r="C56" s="445" t="s">
        <v>261</v>
      </c>
      <c r="D56" s="1477">
        <v>106110278</v>
      </c>
      <c r="E56" s="1478" t="s">
        <v>123</v>
      </c>
      <c r="F56" s="1619">
        <v>1</v>
      </c>
      <c r="G56"/>
      <c r="H56"/>
      <c r="I56"/>
      <c r="J56"/>
      <c r="K56"/>
      <c r="L56"/>
      <c r="M56"/>
    </row>
    <row r="57" spans="1:13" x14ac:dyDescent="0.25">
      <c r="A57" s="418"/>
      <c r="B57" s="4258" t="s">
        <v>137</v>
      </c>
      <c r="C57" s="443" t="s">
        <v>138</v>
      </c>
      <c r="D57" s="1467">
        <v>106104101</v>
      </c>
      <c r="E57" s="1465" t="s">
        <v>162</v>
      </c>
      <c r="F57" s="1612">
        <v>1</v>
      </c>
      <c r="G57"/>
      <c r="H57"/>
      <c r="I57"/>
      <c r="J57"/>
      <c r="K57"/>
      <c r="L57"/>
      <c r="M57"/>
    </row>
    <row r="58" spans="1:13" x14ac:dyDescent="0.25">
      <c r="A58" s="418"/>
      <c r="B58" s="4254"/>
      <c r="C58" s="443" t="s">
        <v>194</v>
      </c>
      <c r="D58" s="1467">
        <v>106104408</v>
      </c>
      <c r="E58" s="1465" t="s">
        <v>195</v>
      </c>
      <c r="F58" s="1612">
        <v>1</v>
      </c>
      <c r="G58"/>
      <c r="H58"/>
      <c r="I58"/>
      <c r="J58"/>
      <c r="K58"/>
      <c r="L58"/>
      <c r="M58"/>
    </row>
    <row r="59" spans="1:13" x14ac:dyDescent="0.25">
      <c r="A59" s="418"/>
      <c r="B59" s="4254"/>
      <c r="C59" s="443" t="s">
        <v>336</v>
      </c>
      <c r="D59" s="1467">
        <v>106105850</v>
      </c>
      <c r="E59" s="1465" t="s">
        <v>145</v>
      </c>
      <c r="F59" s="1612">
        <v>1</v>
      </c>
      <c r="G59"/>
      <c r="H59"/>
      <c r="I59"/>
      <c r="J59"/>
      <c r="K59"/>
      <c r="L59"/>
      <c r="M59"/>
    </row>
    <row r="60" spans="1:13" s="174" customFormat="1" ht="17.25" customHeight="1" x14ac:dyDescent="0.25">
      <c r="A60" s="510"/>
      <c r="B60" s="4254"/>
      <c r="C60" s="443" t="s">
        <v>337</v>
      </c>
      <c r="D60" s="1467">
        <v>106105852</v>
      </c>
      <c r="E60" s="1465" t="s">
        <v>338</v>
      </c>
      <c r="F60" s="1612">
        <v>2</v>
      </c>
    </row>
    <row r="61" spans="1:13" x14ac:dyDescent="0.25">
      <c r="A61" s="510"/>
      <c r="B61" s="4254"/>
      <c r="C61" s="443" t="s">
        <v>339</v>
      </c>
      <c r="D61" s="1467">
        <v>106105038</v>
      </c>
      <c r="E61" s="1465" t="s">
        <v>299</v>
      </c>
      <c r="F61" s="1612">
        <v>2</v>
      </c>
      <c r="G61"/>
      <c r="H61"/>
      <c r="I61"/>
      <c r="J61"/>
      <c r="K61"/>
      <c r="L61"/>
      <c r="M61"/>
    </row>
    <row r="62" spans="1:13" ht="15.75" thickBot="1" x14ac:dyDescent="0.3">
      <c r="A62" s="418"/>
      <c r="B62" s="4259"/>
      <c r="C62" s="443" t="s">
        <v>196</v>
      </c>
      <c r="D62" s="1467">
        <v>106201346</v>
      </c>
      <c r="E62" s="1468" t="s">
        <v>197</v>
      </c>
      <c r="F62" s="1612">
        <v>1</v>
      </c>
      <c r="G62"/>
      <c r="H62"/>
      <c r="I62"/>
      <c r="J62"/>
      <c r="K62"/>
      <c r="L62"/>
      <c r="M62"/>
    </row>
    <row r="63" spans="1:13" x14ac:dyDescent="0.25">
      <c r="A63" s="511"/>
      <c r="B63" s="4260" t="s">
        <v>124</v>
      </c>
      <c r="C63" s="442" t="s">
        <v>287</v>
      </c>
      <c r="D63" s="1621">
        <v>106105422</v>
      </c>
      <c r="E63" s="1608" t="s">
        <v>126</v>
      </c>
      <c r="F63" s="1622">
        <v>3</v>
      </c>
      <c r="G63"/>
      <c r="H63"/>
      <c r="I63"/>
      <c r="J63"/>
      <c r="K63"/>
      <c r="L63"/>
      <c r="M63"/>
    </row>
    <row r="64" spans="1:13" ht="15.75" customHeight="1" x14ac:dyDescent="0.25">
      <c r="A64" s="512"/>
      <c r="B64" s="4261"/>
      <c r="C64" s="443" t="s">
        <v>71</v>
      </c>
      <c r="D64" s="1467">
        <v>106110473</v>
      </c>
      <c r="E64" s="1610" t="s">
        <v>648</v>
      </c>
      <c r="F64" s="1623">
        <v>1</v>
      </c>
      <c r="G64"/>
      <c r="H64"/>
      <c r="I64"/>
      <c r="J64"/>
      <c r="K64"/>
      <c r="L64"/>
      <c r="M64"/>
    </row>
    <row r="65" spans="1:13" x14ac:dyDescent="0.25">
      <c r="A65" s="512"/>
      <c r="B65" s="4261"/>
      <c r="C65" s="443" t="s">
        <v>340</v>
      </c>
      <c r="D65" s="1467">
        <v>106104092</v>
      </c>
      <c r="E65" s="1613" t="s">
        <v>161</v>
      </c>
      <c r="F65" s="1623">
        <v>1</v>
      </c>
      <c r="G65"/>
      <c r="H65"/>
      <c r="I65"/>
      <c r="J65"/>
      <c r="K65"/>
      <c r="L65"/>
      <c r="M65"/>
    </row>
    <row r="66" spans="1:13" ht="15.75" thickBot="1" x14ac:dyDescent="0.3">
      <c r="A66" s="513"/>
      <c r="B66" s="4262"/>
      <c r="C66" s="445" t="s">
        <v>341</v>
      </c>
      <c r="D66" s="1470">
        <v>106104397</v>
      </c>
      <c r="E66" s="453" t="s">
        <v>135</v>
      </c>
      <c r="F66" s="1624">
        <v>1</v>
      </c>
      <c r="G66"/>
      <c r="H66"/>
      <c r="I66"/>
      <c r="J66"/>
      <c r="K66"/>
      <c r="L66"/>
      <c r="M66"/>
    </row>
    <row r="67" spans="1:13" s="614" customFormat="1" x14ac:dyDescent="0.2">
      <c r="A67" s="520"/>
      <c r="B67" s="4251" t="s">
        <v>11</v>
      </c>
      <c r="C67" s="418"/>
      <c r="D67" s="1625">
        <v>106112878</v>
      </c>
      <c r="E67" s="1626" t="s">
        <v>689</v>
      </c>
      <c r="F67" s="1592">
        <v>5</v>
      </c>
    </row>
    <row r="68" spans="1:13" s="614" customFormat="1" x14ac:dyDescent="0.25">
      <c r="A68" s="613"/>
      <c r="B68" s="4252"/>
      <c r="C68" s="418"/>
      <c r="D68" s="1625">
        <v>106107580</v>
      </c>
      <c r="E68" s="349" t="s">
        <v>1277</v>
      </c>
      <c r="F68" s="1592">
        <v>3</v>
      </c>
    </row>
    <row r="69" spans="1:13" s="411" customFormat="1" ht="15.75" customHeight="1" thickBot="1" x14ac:dyDescent="0.25">
      <c r="A69" s="605" t="s">
        <v>647</v>
      </c>
      <c r="B69" s="4253"/>
      <c r="C69" s="621"/>
      <c r="D69" s="1471">
        <v>106112712</v>
      </c>
      <c r="E69" s="1466" t="s">
        <v>683</v>
      </c>
      <c r="F69" s="1627">
        <v>1</v>
      </c>
    </row>
    <row r="70" spans="1:13" s="11" customFormat="1" ht="15.75" thickBot="1" x14ac:dyDescent="0.3">
      <c r="A70" s="412"/>
      <c r="B70" s="430"/>
      <c r="C70" s="447" t="s">
        <v>187</v>
      </c>
      <c r="D70" s="1470">
        <v>106201457</v>
      </c>
      <c r="E70" s="453" t="s">
        <v>188</v>
      </c>
      <c r="F70" s="1619">
        <v>1</v>
      </c>
    </row>
    <row r="71" spans="1:13" ht="15.75" thickBot="1" x14ac:dyDescent="0.3">
      <c r="B71" s="157"/>
      <c r="C71" s="450"/>
      <c r="D71" s="451"/>
      <c r="E71" s="451"/>
      <c r="F71" s="272"/>
      <c r="G71" s="273"/>
      <c r="H71" s="273"/>
      <c r="I71" s="374"/>
      <c r="J71" s="266"/>
      <c r="K71" s="265"/>
      <c r="L71" s="271"/>
      <c r="M71" s="266"/>
    </row>
    <row r="72" spans="1:13" ht="15.75" thickBot="1" x14ac:dyDescent="0.3">
      <c r="A72" s="514"/>
      <c r="B72" s="3"/>
      <c r="C72" s="447" t="s">
        <v>187</v>
      </c>
      <c r="D72" s="448">
        <v>106201457</v>
      </c>
      <c r="E72" s="449" t="s">
        <v>188</v>
      </c>
      <c r="F72" s="1628">
        <v>1</v>
      </c>
      <c r="G72"/>
      <c r="H72"/>
      <c r="I72"/>
      <c r="J72"/>
      <c r="K72"/>
      <c r="L72"/>
      <c r="M72"/>
    </row>
    <row r="73" spans="1:13" s="11" customFormat="1" ht="15.75" thickBot="1" x14ac:dyDescent="0.3">
      <c r="A73" s="412"/>
      <c r="B73" s="430" t="s">
        <v>255</v>
      </c>
      <c r="C73" s="452" t="s">
        <v>440</v>
      </c>
      <c r="D73" s="446">
        <v>106111457</v>
      </c>
      <c r="E73" s="453" t="s">
        <v>441</v>
      </c>
      <c r="F73" s="1619">
        <v>1</v>
      </c>
    </row>
    <row r="74" spans="1:13" x14ac:dyDescent="0.25">
      <c r="K74" s="267"/>
      <c r="L74" s="40"/>
    </row>
    <row r="75" spans="1:13" x14ac:dyDescent="0.25">
      <c r="K75" s="268"/>
      <c r="L75" s="40"/>
    </row>
    <row r="76" spans="1:13" x14ac:dyDescent="0.25">
      <c r="K76" s="268"/>
      <c r="L76" s="40"/>
    </row>
    <row r="77" spans="1:13" x14ac:dyDescent="0.25">
      <c r="K77" s="269"/>
      <c r="L77" s="40"/>
    </row>
    <row r="78" spans="1:13" x14ac:dyDescent="0.25">
      <c r="K78" s="274"/>
      <c r="L78" s="275"/>
    </row>
    <row r="79" spans="1:13" x14ac:dyDescent="0.25">
      <c r="K79" s="270"/>
      <c r="L79" s="40"/>
    </row>
  </sheetData>
  <mergeCells count="12">
    <mergeCell ref="B27:B29"/>
    <mergeCell ref="B2:C2"/>
    <mergeCell ref="B3:B11"/>
    <mergeCell ref="B12:B18"/>
    <mergeCell ref="B19:B23"/>
    <mergeCell ref="B24:B26"/>
    <mergeCell ref="B36:C36"/>
    <mergeCell ref="B67:B69"/>
    <mergeCell ref="B50:B56"/>
    <mergeCell ref="B37:B49"/>
    <mergeCell ref="B57:B62"/>
    <mergeCell ref="B63:B66"/>
  </mergeCells>
  <dataValidations count="1">
    <dataValidation type="list" allowBlank="1" showInputMessage="1" showErrorMessage="1" sqref="E1">
      <formula1>$G$32:$G$33</formula1>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59"/>
  <sheetViews>
    <sheetView zoomScale="80" zoomScaleNormal="80" workbookViewId="0">
      <selection activeCell="C25" sqref="C25"/>
    </sheetView>
  </sheetViews>
  <sheetFormatPr baseColWidth="10" defaultRowHeight="19.5" customHeight="1" x14ac:dyDescent="0.25"/>
  <cols>
    <col min="1" max="1" width="11.42578125" style="1342"/>
    <col min="2" max="2" width="12.85546875" style="1343" bestFit="1" customWidth="1"/>
    <col min="3" max="3" width="11.42578125" style="1342"/>
    <col min="4" max="4" width="50" style="1342" customWidth="1"/>
    <col min="5" max="5" width="43.42578125" style="1342" customWidth="1"/>
    <col min="6" max="6" width="8" style="1342" bestFit="1" customWidth="1"/>
    <col min="7" max="7" width="6" style="1342" bestFit="1" customWidth="1"/>
    <col min="8" max="8" width="6" style="1342" customWidth="1"/>
    <col min="9" max="9" width="11.42578125" style="1342" customWidth="1"/>
    <col min="10" max="10" width="11.42578125" style="1342"/>
    <col min="11" max="11" width="15.5703125" style="1342" customWidth="1"/>
    <col min="12" max="12" width="11.42578125" style="1342"/>
    <col min="13" max="13" width="48.85546875" style="1342" customWidth="1"/>
    <col min="14" max="14" width="42" style="1342" customWidth="1"/>
    <col min="15" max="16" width="11.42578125" style="1342"/>
    <col min="17" max="17" width="6" style="1342" customWidth="1"/>
    <col min="18" max="18" width="11.42578125" style="1343"/>
    <col min="19" max="19" width="11.42578125" style="1342"/>
    <col min="20" max="20" width="12.85546875" style="1342" bestFit="1" customWidth="1"/>
    <col min="21" max="21" width="11.42578125" style="1342"/>
    <col min="22" max="22" width="42.85546875" style="1342" bestFit="1" customWidth="1"/>
    <col min="23" max="23" width="42" style="1342" customWidth="1"/>
    <col min="24" max="25" width="11.42578125" style="1342"/>
    <col min="26" max="26" width="6" style="1342" customWidth="1"/>
    <col min="27" max="27" width="11.42578125" style="1343"/>
    <col min="28" max="16384" width="11.42578125" style="1342"/>
  </cols>
  <sheetData>
    <row r="1" spans="1:27" ht="19.5" customHeight="1" thickBot="1" x14ac:dyDescent="0.3">
      <c r="A1" s="1389" t="s">
        <v>2376</v>
      </c>
      <c r="B1" s="79"/>
      <c r="C1" s="1384"/>
      <c r="D1" s="1384"/>
      <c r="E1" s="1384"/>
      <c r="F1" s="4289" t="s">
        <v>2405</v>
      </c>
      <c r="G1" s="4289"/>
      <c r="H1" s="4290"/>
      <c r="J1" s="1389" t="s">
        <v>2375</v>
      </c>
      <c r="K1" s="1384"/>
      <c r="L1" s="1384"/>
      <c r="M1" s="2127"/>
      <c r="N1" s="2127"/>
      <c r="O1" s="4289" t="s">
        <v>2404</v>
      </c>
      <c r="P1" s="4289"/>
      <c r="Q1" s="4290"/>
      <c r="S1" s="1389" t="s">
        <v>2388</v>
      </c>
      <c r="T1" s="1384"/>
      <c r="U1" s="1384"/>
      <c r="V1" s="2127"/>
      <c r="W1" s="2127"/>
      <c r="X1" s="4289" t="s">
        <v>2403</v>
      </c>
      <c r="Y1" s="4289"/>
      <c r="Z1" s="4290"/>
    </row>
    <row r="2" spans="1:27" ht="19.5" customHeight="1" thickBot="1" x14ac:dyDescent="0.3">
      <c r="A2" s="1572"/>
      <c r="B2" s="3296" t="s">
        <v>1577</v>
      </c>
      <c r="C2" s="2189" t="s">
        <v>1578</v>
      </c>
      <c r="D2" s="2123" t="s">
        <v>250</v>
      </c>
      <c r="E2" s="2124"/>
      <c r="F2" s="2125" t="s">
        <v>1606</v>
      </c>
      <c r="G2" s="3351" t="s">
        <v>1281</v>
      </c>
      <c r="H2" s="3351" t="s">
        <v>1282</v>
      </c>
      <c r="I2" s="1332"/>
      <c r="J2" s="2126"/>
      <c r="K2" s="3296" t="s">
        <v>1577</v>
      </c>
      <c r="L2" s="2189" t="s">
        <v>1578</v>
      </c>
      <c r="M2" s="4291" t="s">
        <v>250</v>
      </c>
      <c r="N2" s="4292"/>
      <c r="O2" s="3351" t="s">
        <v>1606</v>
      </c>
      <c r="P2" s="3351" t="s">
        <v>1281</v>
      </c>
      <c r="Q2" s="3351" t="s">
        <v>1282</v>
      </c>
      <c r="S2" s="2126"/>
      <c r="T2" s="3296" t="s">
        <v>1577</v>
      </c>
      <c r="U2" s="2189" t="s">
        <v>1578</v>
      </c>
      <c r="V2" s="4293" t="s">
        <v>250</v>
      </c>
      <c r="W2" s="4294"/>
      <c r="X2" s="2189" t="s">
        <v>1606</v>
      </c>
      <c r="Y2" s="3351" t="s">
        <v>1281</v>
      </c>
      <c r="Z2" s="3351" t="s">
        <v>1282</v>
      </c>
    </row>
    <row r="3" spans="1:27" s="1574" customFormat="1" ht="19.5" customHeight="1" x14ac:dyDescent="0.25">
      <c r="A3" s="4286" t="s">
        <v>1579</v>
      </c>
      <c r="B3" s="3092" t="s">
        <v>1143</v>
      </c>
      <c r="C3" s="2496">
        <v>106204234</v>
      </c>
      <c r="D3" s="2175" t="s">
        <v>1608</v>
      </c>
      <c r="E3" s="2176" t="s">
        <v>1609</v>
      </c>
      <c r="F3" s="2134">
        <v>3</v>
      </c>
      <c r="G3" s="2134" t="s">
        <v>649</v>
      </c>
      <c r="H3" s="2135"/>
      <c r="I3" s="892"/>
      <c r="J3" s="4284" t="s">
        <v>1579</v>
      </c>
      <c r="K3" s="3092" t="s">
        <v>1143</v>
      </c>
      <c r="L3" s="2496">
        <v>106204234</v>
      </c>
      <c r="M3" s="2175" t="s">
        <v>1608</v>
      </c>
      <c r="N3" s="2176" t="s">
        <v>1609</v>
      </c>
      <c r="O3" s="2134">
        <v>3</v>
      </c>
      <c r="P3" s="2134" t="s">
        <v>649</v>
      </c>
      <c r="Q3" s="2135"/>
      <c r="R3" s="3353"/>
      <c r="S3" s="4284" t="s">
        <v>1579</v>
      </c>
      <c r="T3" s="3092" t="s">
        <v>1143</v>
      </c>
      <c r="U3" s="2496">
        <v>106204234</v>
      </c>
      <c r="V3" s="2175" t="s">
        <v>1608</v>
      </c>
      <c r="W3" s="2176" t="s">
        <v>1609</v>
      </c>
      <c r="X3" s="2134">
        <v>3</v>
      </c>
      <c r="Y3" s="2149" t="s">
        <v>649</v>
      </c>
      <c r="Z3" s="2135"/>
      <c r="AA3" s="3353"/>
    </row>
    <row r="4" spans="1:27" ht="19.5" customHeight="1" x14ac:dyDescent="0.25">
      <c r="A4" s="4287"/>
      <c r="B4" s="2142" t="s">
        <v>328</v>
      </c>
      <c r="C4" s="2763">
        <v>106205209</v>
      </c>
      <c r="D4" s="3273" t="s">
        <v>1615</v>
      </c>
      <c r="E4" s="3274" t="s">
        <v>1616</v>
      </c>
      <c r="F4" s="3058">
        <v>1</v>
      </c>
      <c r="G4" s="3058">
        <v>1</v>
      </c>
      <c r="H4" s="2136"/>
      <c r="I4" s="892"/>
      <c r="J4" s="4276"/>
      <c r="K4" s="3297" t="s">
        <v>328</v>
      </c>
      <c r="L4" s="2763">
        <v>106205209</v>
      </c>
      <c r="M4" s="3398" t="s">
        <v>1615</v>
      </c>
      <c r="N4" s="3399" t="s">
        <v>1616</v>
      </c>
      <c r="O4" s="3058">
        <v>1</v>
      </c>
      <c r="P4" s="3058">
        <v>1</v>
      </c>
      <c r="Q4" s="2136"/>
      <c r="R4" s="2633"/>
      <c r="S4" s="4276"/>
      <c r="T4" s="3297" t="s">
        <v>328</v>
      </c>
      <c r="U4" s="2763">
        <v>106205209</v>
      </c>
      <c r="V4" s="3398" t="s">
        <v>1615</v>
      </c>
      <c r="W4" s="3399" t="s">
        <v>1616</v>
      </c>
      <c r="X4" s="3400">
        <v>1</v>
      </c>
      <c r="Y4" s="3400">
        <v>1</v>
      </c>
      <c r="Z4" s="2136"/>
      <c r="AA4" s="3353"/>
    </row>
    <row r="5" spans="1:27" ht="19.5" customHeight="1" thickBot="1" x14ac:dyDescent="0.3">
      <c r="A5" s="4288"/>
      <c r="B5" s="3291" t="s">
        <v>298</v>
      </c>
      <c r="C5" s="2484">
        <v>106205211</v>
      </c>
      <c r="D5" s="2112" t="s">
        <v>2973</v>
      </c>
      <c r="E5" s="2615" t="s">
        <v>2974</v>
      </c>
      <c r="F5" s="2138">
        <v>3</v>
      </c>
      <c r="G5" s="2138" t="s">
        <v>649</v>
      </c>
      <c r="H5" s="2144"/>
      <c r="I5" s="892"/>
      <c r="J5" s="4276"/>
      <c r="K5" s="3297" t="s">
        <v>298</v>
      </c>
      <c r="L5" s="2763">
        <v>106205211</v>
      </c>
      <c r="M5" s="2748" t="s">
        <v>2973</v>
      </c>
      <c r="N5" s="2831" t="s">
        <v>2974</v>
      </c>
      <c r="O5" s="3058">
        <v>3</v>
      </c>
      <c r="P5" s="3058" t="s">
        <v>649</v>
      </c>
      <c r="Q5" s="2136"/>
      <c r="R5" s="2633"/>
      <c r="S5" s="4276"/>
      <c r="T5" s="3297" t="s">
        <v>298</v>
      </c>
      <c r="U5" s="2763">
        <v>106205211</v>
      </c>
      <c r="V5" s="2748" t="s">
        <v>2973</v>
      </c>
      <c r="W5" s="2831" t="s">
        <v>2974</v>
      </c>
      <c r="X5" s="3058">
        <v>3</v>
      </c>
      <c r="Y5" s="3400" t="s">
        <v>649</v>
      </c>
      <c r="Z5" s="2136"/>
      <c r="AA5" s="3353"/>
    </row>
    <row r="6" spans="1:27" ht="19.5" customHeight="1" thickBot="1" x14ac:dyDescent="0.3">
      <c r="A6" s="4284" t="s">
        <v>1580</v>
      </c>
      <c r="B6" s="3173" t="s">
        <v>1581</v>
      </c>
      <c r="C6" s="2496">
        <v>106121018</v>
      </c>
      <c r="D6" s="2130" t="s">
        <v>2381</v>
      </c>
      <c r="E6" s="2139" t="s">
        <v>2219</v>
      </c>
      <c r="F6" s="2140">
        <v>4</v>
      </c>
      <c r="G6" s="2140" t="s">
        <v>649</v>
      </c>
      <c r="H6" s="2141"/>
      <c r="I6" s="1383"/>
      <c r="J6" s="4277"/>
      <c r="K6" s="3175" t="s">
        <v>29</v>
      </c>
      <c r="L6" s="2484">
        <v>106120233</v>
      </c>
      <c r="M6" s="2133" t="s">
        <v>2379</v>
      </c>
      <c r="N6" s="2146" t="s">
        <v>2380</v>
      </c>
      <c r="O6" s="2166">
        <v>1</v>
      </c>
      <c r="P6" s="2180"/>
      <c r="Q6" s="2181"/>
      <c r="R6" s="1093"/>
      <c r="S6" s="4277"/>
      <c r="T6" s="3175" t="s">
        <v>29</v>
      </c>
      <c r="U6" s="2484">
        <v>106120235</v>
      </c>
      <c r="V6" s="2174" t="s">
        <v>2379</v>
      </c>
      <c r="W6" s="2170" t="s">
        <v>2380</v>
      </c>
      <c r="X6" s="2166">
        <v>1</v>
      </c>
      <c r="Y6" s="2180"/>
      <c r="Z6" s="2169"/>
      <c r="AA6" s="3353"/>
    </row>
    <row r="7" spans="1:27" ht="19.5" customHeight="1" thickTop="1" x14ac:dyDescent="0.25">
      <c r="A7" s="4276"/>
      <c r="B7" s="3292"/>
      <c r="C7" s="2763">
        <v>106120229</v>
      </c>
      <c r="D7" s="3056" t="s">
        <v>1583</v>
      </c>
      <c r="E7" s="3057" t="s">
        <v>1584</v>
      </c>
      <c r="F7" s="3058">
        <v>1</v>
      </c>
      <c r="G7" s="3401"/>
      <c r="H7" s="2177"/>
      <c r="I7" s="1337"/>
      <c r="J7" s="4275" t="s">
        <v>1580</v>
      </c>
      <c r="K7" s="3092" t="s">
        <v>1581</v>
      </c>
      <c r="L7" s="2496">
        <v>106121018</v>
      </c>
      <c r="M7" s="2132" t="s">
        <v>2381</v>
      </c>
      <c r="N7" s="2143" t="s">
        <v>2219</v>
      </c>
      <c r="O7" s="2134">
        <v>4</v>
      </c>
      <c r="P7" s="2134" t="s">
        <v>649</v>
      </c>
      <c r="Q7" s="2135"/>
      <c r="R7" s="2633"/>
      <c r="S7" s="4278" t="s">
        <v>1580</v>
      </c>
      <c r="T7" s="3302" t="s">
        <v>1581</v>
      </c>
      <c r="U7" s="2496">
        <v>106121018</v>
      </c>
      <c r="V7" s="2132" t="s">
        <v>2381</v>
      </c>
      <c r="W7" s="2143" t="s">
        <v>2219</v>
      </c>
      <c r="X7" s="2134">
        <v>4</v>
      </c>
      <c r="Y7" s="2149" t="s">
        <v>649</v>
      </c>
      <c r="Z7" s="2135"/>
      <c r="AA7" s="3353"/>
    </row>
    <row r="8" spans="1:27" ht="19.5" customHeight="1" x14ac:dyDescent="0.25">
      <c r="A8" s="4276"/>
      <c r="B8" s="2142" t="s">
        <v>1585</v>
      </c>
      <c r="C8" s="2763">
        <v>106118389</v>
      </c>
      <c r="D8" s="3056" t="s">
        <v>2222</v>
      </c>
      <c r="E8" s="3057" t="s">
        <v>2223</v>
      </c>
      <c r="F8" s="3058">
        <v>3</v>
      </c>
      <c r="G8" s="3058" t="s">
        <v>649</v>
      </c>
      <c r="H8" s="2136"/>
      <c r="I8" s="1337"/>
      <c r="J8" s="4276"/>
      <c r="K8" s="3292"/>
      <c r="L8" s="2763">
        <v>106120229</v>
      </c>
      <c r="M8" s="3056" t="s">
        <v>1583</v>
      </c>
      <c r="N8" s="3057" t="s">
        <v>1584</v>
      </c>
      <c r="O8" s="3058">
        <v>1</v>
      </c>
      <c r="P8" s="3401"/>
      <c r="Q8" s="2136"/>
      <c r="R8" s="2633"/>
      <c r="S8" s="4279"/>
      <c r="T8" s="3303"/>
      <c r="U8" s="2763">
        <v>106120229</v>
      </c>
      <c r="V8" s="3056" t="s">
        <v>1583</v>
      </c>
      <c r="W8" s="3057" t="s">
        <v>1584</v>
      </c>
      <c r="X8" s="3058">
        <v>1</v>
      </c>
      <c r="Y8" s="3401"/>
      <c r="Z8" s="2136"/>
      <c r="AA8" s="3353"/>
    </row>
    <row r="9" spans="1:27" ht="19.5" customHeight="1" x14ac:dyDescent="0.25">
      <c r="A9" s="4276"/>
      <c r="B9" s="2142" t="s">
        <v>3046</v>
      </c>
      <c r="C9" s="2763">
        <v>106118392</v>
      </c>
      <c r="D9" s="3056" t="s">
        <v>3059</v>
      </c>
      <c r="E9" s="2403" t="s">
        <v>3060</v>
      </c>
      <c r="F9" s="3058">
        <v>1</v>
      </c>
      <c r="G9" s="2481"/>
      <c r="H9" s="2136"/>
      <c r="I9" s="1337"/>
      <c r="J9" s="4276"/>
      <c r="K9" s="2142" t="s">
        <v>1585</v>
      </c>
      <c r="L9" s="2763">
        <v>106118389</v>
      </c>
      <c r="M9" s="3056" t="s">
        <v>2222</v>
      </c>
      <c r="N9" s="3057" t="s">
        <v>2223</v>
      </c>
      <c r="O9" s="3058">
        <v>3</v>
      </c>
      <c r="P9" s="3058" t="s">
        <v>649</v>
      </c>
      <c r="Q9" s="2136"/>
      <c r="R9" s="2633"/>
      <c r="S9" s="4279"/>
      <c r="T9" s="3304" t="s">
        <v>1585</v>
      </c>
      <c r="U9" s="2763">
        <v>106118389</v>
      </c>
      <c r="V9" s="3056" t="s">
        <v>2222</v>
      </c>
      <c r="W9" s="3057" t="s">
        <v>2223</v>
      </c>
      <c r="X9" s="3058">
        <v>3</v>
      </c>
      <c r="Y9" s="3400" t="s">
        <v>649</v>
      </c>
      <c r="Z9" s="2136"/>
      <c r="AA9" s="3353"/>
    </row>
    <row r="10" spans="1:27" ht="19.5" customHeight="1" x14ac:dyDescent="0.25">
      <c r="A10" s="4276"/>
      <c r="B10" s="2142" t="s">
        <v>1591</v>
      </c>
      <c r="C10" s="2763">
        <v>106121020</v>
      </c>
      <c r="D10" s="2131" t="s">
        <v>2224</v>
      </c>
      <c r="E10" s="3057" t="s">
        <v>2225</v>
      </c>
      <c r="F10" s="3058">
        <v>2</v>
      </c>
      <c r="G10" s="3058" t="s">
        <v>649</v>
      </c>
      <c r="H10" s="2136"/>
      <c r="I10" s="892"/>
      <c r="J10" s="4276"/>
      <c r="K10" s="2142" t="s">
        <v>3061</v>
      </c>
      <c r="L10" s="2763">
        <v>106118392</v>
      </c>
      <c r="M10" s="3056" t="s">
        <v>2369</v>
      </c>
      <c r="N10" s="3057" t="s">
        <v>2370</v>
      </c>
      <c r="O10" s="3058">
        <v>3</v>
      </c>
      <c r="P10" s="3400" t="s">
        <v>649</v>
      </c>
      <c r="Q10" s="2136"/>
      <c r="R10" s="2633"/>
      <c r="S10" s="4279"/>
      <c r="T10" s="3304" t="s">
        <v>3062</v>
      </c>
      <c r="U10" s="2763">
        <v>106118392</v>
      </c>
      <c r="V10" s="3056" t="s">
        <v>2369</v>
      </c>
      <c r="W10" s="3057" t="s">
        <v>2370</v>
      </c>
      <c r="X10" s="3058">
        <v>3</v>
      </c>
      <c r="Y10" s="3400" t="s">
        <v>649</v>
      </c>
      <c r="Z10" s="2136"/>
      <c r="AA10" s="3353"/>
    </row>
    <row r="11" spans="1:27" ht="19.5" customHeight="1" x14ac:dyDescent="0.25">
      <c r="A11" s="4276"/>
      <c r="B11" s="2142" t="s">
        <v>1586</v>
      </c>
      <c r="C11" s="2763">
        <v>106111785</v>
      </c>
      <c r="D11" s="3056" t="s">
        <v>2590</v>
      </c>
      <c r="E11" s="3057" t="s">
        <v>2591</v>
      </c>
      <c r="F11" s="3058">
        <v>1</v>
      </c>
      <c r="G11" s="3058"/>
      <c r="H11" s="2136"/>
      <c r="I11" s="1383"/>
      <c r="J11" s="4276"/>
      <c r="K11" s="2142" t="s">
        <v>1586</v>
      </c>
      <c r="L11" s="2763">
        <v>106111785</v>
      </c>
      <c r="M11" s="3056" t="s">
        <v>2590</v>
      </c>
      <c r="N11" s="3057" t="s">
        <v>2591</v>
      </c>
      <c r="O11" s="3058">
        <v>1</v>
      </c>
      <c r="P11" s="3400">
        <v>1</v>
      </c>
      <c r="Q11" s="2136"/>
      <c r="S11" s="4279"/>
      <c r="T11" s="3304" t="s">
        <v>2387</v>
      </c>
      <c r="U11" s="2763">
        <v>106111785</v>
      </c>
      <c r="V11" s="3056" t="s">
        <v>2226</v>
      </c>
      <c r="W11" s="3057" t="s">
        <v>2227</v>
      </c>
      <c r="X11" s="3058">
        <v>1</v>
      </c>
      <c r="Y11" s="3400">
        <v>1</v>
      </c>
      <c r="Z11" s="2136"/>
      <c r="AA11" s="3353"/>
    </row>
    <row r="12" spans="1:27" ht="19.5" customHeight="1" thickBot="1" x14ac:dyDescent="0.3">
      <c r="A12" s="4276"/>
      <c r="B12" s="3175" t="s">
        <v>261</v>
      </c>
      <c r="C12" s="2484">
        <v>106114701</v>
      </c>
      <c r="D12" s="2182" t="s">
        <v>1243</v>
      </c>
      <c r="E12" s="2183" t="s">
        <v>1244</v>
      </c>
      <c r="F12" s="2166">
        <v>1</v>
      </c>
      <c r="G12" s="2166" t="s">
        <v>649</v>
      </c>
      <c r="H12" s="2169"/>
      <c r="I12" s="1383"/>
      <c r="J12" s="4276"/>
      <c r="K12" s="3175" t="s">
        <v>261</v>
      </c>
      <c r="L12" s="2484">
        <v>106114701</v>
      </c>
      <c r="M12" s="2182" t="s">
        <v>1243</v>
      </c>
      <c r="N12" s="2183" t="s">
        <v>1244</v>
      </c>
      <c r="O12" s="2166">
        <v>1</v>
      </c>
      <c r="P12" s="2168" t="s">
        <v>649</v>
      </c>
      <c r="Q12" s="2169"/>
      <c r="R12" s="2633"/>
      <c r="S12" s="4279"/>
      <c r="T12" s="3305" t="s">
        <v>261</v>
      </c>
      <c r="U12" s="2484">
        <v>106114701</v>
      </c>
      <c r="V12" s="2182" t="s">
        <v>1243</v>
      </c>
      <c r="W12" s="2183" t="s">
        <v>1244</v>
      </c>
      <c r="X12" s="2166">
        <v>1</v>
      </c>
      <c r="Y12" s="2168" t="s">
        <v>649</v>
      </c>
      <c r="Z12" s="2169"/>
      <c r="AA12" s="3353"/>
    </row>
    <row r="13" spans="1:27" ht="19.5" customHeight="1" x14ac:dyDescent="0.25">
      <c r="A13" s="4276"/>
      <c r="B13" s="3092" t="s">
        <v>263</v>
      </c>
      <c r="C13" s="2496">
        <v>106205172</v>
      </c>
      <c r="D13" s="2132" t="s">
        <v>2233</v>
      </c>
      <c r="E13" s="2143" t="s">
        <v>2234</v>
      </c>
      <c r="F13" s="2134">
        <v>1</v>
      </c>
      <c r="G13" s="2134">
        <v>1</v>
      </c>
      <c r="H13" s="2135"/>
      <c r="I13" s="1280"/>
      <c r="J13" s="4276"/>
      <c r="K13" s="3092" t="s">
        <v>263</v>
      </c>
      <c r="L13" s="2496">
        <v>106205172</v>
      </c>
      <c r="M13" s="2132" t="s">
        <v>2233</v>
      </c>
      <c r="N13" s="2143" t="s">
        <v>2234</v>
      </c>
      <c r="O13" s="2134">
        <v>1</v>
      </c>
      <c r="P13" s="2134">
        <v>1</v>
      </c>
      <c r="Q13" s="2135"/>
      <c r="R13" s="2633"/>
      <c r="S13" s="4279"/>
      <c r="T13" s="3302" t="s">
        <v>263</v>
      </c>
      <c r="U13" s="2496">
        <v>106205172</v>
      </c>
      <c r="V13" s="2132" t="s">
        <v>2233</v>
      </c>
      <c r="W13" s="2143" t="s">
        <v>2234</v>
      </c>
      <c r="X13" s="2149">
        <v>1</v>
      </c>
      <c r="Y13" s="2149">
        <v>1</v>
      </c>
      <c r="Z13" s="2135"/>
      <c r="AA13" s="3353"/>
    </row>
    <row r="14" spans="1:27" ht="19.5" customHeight="1" x14ac:dyDescent="0.25">
      <c r="A14" s="4276"/>
      <c r="B14" s="2142"/>
      <c r="C14" s="2763">
        <v>106120328</v>
      </c>
      <c r="D14" s="3056" t="s">
        <v>2231</v>
      </c>
      <c r="E14" s="3057" t="s">
        <v>2232</v>
      </c>
      <c r="F14" s="3058">
        <v>1</v>
      </c>
      <c r="G14" s="3058">
        <v>2</v>
      </c>
      <c r="H14" s="2136"/>
      <c r="I14" s="892"/>
      <c r="J14" s="4276"/>
      <c r="K14" s="2142"/>
      <c r="L14" s="2763">
        <v>106120328</v>
      </c>
      <c r="M14" s="3056" t="s">
        <v>2231</v>
      </c>
      <c r="N14" s="3057" t="s">
        <v>2232</v>
      </c>
      <c r="O14" s="3058">
        <v>1</v>
      </c>
      <c r="P14" s="3058">
        <v>2</v>
      </c>
      <c r="Q14" s="2136"/>
      <c r="R14" s="2633"/>
      <c r="S14" s="4279"/>
      <c r="T14" s="3303"/>
      <c r="U14" s="2763">
        <v>106120328</v>
      </c>
      <c r="V14" s="3056" t="s">
        <v>2231</v>
      </c>
      <c r="W14" s="3057" t="s">
        <v>2232</v>
      </c>
      <c r="X14" s="3400">
        <v>1</v>
      </c>
      <c r="Y14" s="3400">
        <v>2</v>
      </c>
      <c r="Z14" s="2136"/>
      <c r="AA14" s="3353"/>
    </row>
    <row r="15" spans="1:27" ht="19.5" customHeight="1" x14ac:dyDescent="0.25">
      <c r="A15" s="4276"/>
      <c r="B15" s="2142"/>
      <c r="C15" s="2763">
        <v>106112785</v>
      </c>
      <c r="D15" s="3056" t="s">
        <v>2228</v>
      </c>
      <c r="E15" s="3057" t="s">
        <v>2229</v>
      </c>
      <c r="F15" s="3058">
        <v>1</v>
      </c>
      <c r="G15" s="3058">
        <v>2</v>
      </c>
      <c r="H15" s="2136"/>
      <c r="I15" s="892"/>
      <c r="J15" s="4276"/>
      <c r="K15" s="2142"/>
      <c r="L15" s="2763">
        <v>106112785</v>
      </c>
      <c r="M15" s="3056" t="s">
        <v>2228</v>
      </c>
      <c r="N15" s="3057" t="s">
        <v>2229</v>
      </c>
      <c r="O15" s="3058">
        <v>1</v>
      </c>
      <c r="P15" s="3058">
        <v>2</v>
      </c>
      <c r="Q15" s="2136"/>
      <c r="R15" s="2633"/>
      <c r="S15" s="4279"/>
      <c r="T15" s="3303"/>
      <c r="U15" s="2763">
        <v>106112785</v>
      </c>
      <c r="V15" s="3056" t="s">
        <v>2228</v>
      </c>
      <c r="W15" s="3057" t="s">
        <v>2229</v>
      </c>
      <c r="X15" s="3400">
        <v>1</v>
      </c>
      <c r="Y15" s="3400">
        <v>2</v>
      </c>
      <c r="Z15" s="2136"/>
      <c r="AA15" s="3353"/>
    </row>
    <row r="16" spans="1:27" ht="19.5" customHeight="1" x14ac:dyDescent="0.25">
      <c r="A16" s="4276"/>
      <c r="B16" s="2142"/>
      <c r="C16" s="2763">
        <v>106112784</v>
      </c>
      <c r="D16" s="3056" t="s">
        <v>2371</v>
      </c>
      <c r="E16" s="3057" t="s">
        <v>2230</v>
      </c>
      <c r="F16" s="3058">
        <v>1</v>
      </c>
      <c r="G16" s="3058">
        <v>2</v>
      </c>
      <c r="H16" s="2136"/>
      <c r="I16" s="2191"/>
      <c r="J16" s="4276"/>
      <c r="K16" s="2142"/>
      <c r="L16" s="2763">
        <v>106112784</v>
      </c>
      <c r="M16" s="3056" t="s">
        <v>2371</v>
      </c>
      <c r="N16" s="3057" t="s">
        <v>2230</v>
      </c>
      <c r="O16" s="3058">
        <v>1</v>
      </c>
      <c r="P16" s="3058">
        <v>2</v>
      </c>
      <c r="Q16" s="2136"/>
      <c r="R16" s="2633"/>
      <c r="S16" s="4279"/>
      <c r="T16" s="3303"/>
      <c r="U16" s="2763">
        <v>106112784</v>
      </c>
      <c r="V16" s="3056" t="s">
        <v>2371</v>
      </c>
      <c r="W16" s="3057" t="s">
        <v>2230</v>
      </c>
      <c r="X16" s="3400">
        <v>1</v>
      </c>
      <c r="Y16" s="3400">
        <v>2</v>
      </c>
      <c r="Z16" s="2136"/>
      <c r="AA16" s="3353"/>
    </row>
    <row r="17" spans="1:27" ht="19.5" customHeight="1" thickBot="1" x14ac:dyDescent="0.3">
      <c r="A17" s="4276"/>
      <c r="B17" s="3291" t="s">
        <v>2372</v>
      </c>
      <c r="C17" s="2484">
        <v>106120332</v>
      </c>
      <c r="D17" s="2150" t="s">
        <v>2373</v>
      </c>
      <c r="E17" s="2137" t="s">
        <v>2374</v>
      </c>
      <c r="F17" s="2167">
        <v>2</v>
      </c>
      <c r="G17" s="2167">
        <v>2</v>
      </c>
      <c r="H17" s="2144"/>
      <c r="I17" s="1287"/>
      <c r="J17" s="4276"/>
      <c r="K17" s="3291" t="s">
        <v>2372</v>
      </c>
      <c r="L17" s="2484">
        <v>106120332</v>
      </c>
      <c r="M17" s="2129" t="s">
        <v>2373</v>
      </c>
      <c r="N17" s="2137" t="s">
        <v>2374</v>
      </c>
      <c r="O17" s="2167">
        <v>2</v>
      </c>
      <c r="P17" s="2167">
        <v>2</v>
      </c>
      <c r="Q17" s="2144"/>
      <c r="R17" s="2633"/>
      <c r="S17" s="4279"/>
      <c r="T17" s="3306" t="s">
        <v>2372</v>
      </c>
      <c r="U17" s="2484">
        <v>106120332</v>
      </c>
      <c r="V17" s="2129" t="s">
        <v>2373</v>
      </c>
      <c r="W17" s="2137" t="s">
        <v>2374</v>
      </c>
      <c r="X17" s="2167">
        <v>2</v>
      </c>
      <c r="Y17" s="2167">
        <v>2</v>
      </c>
      <c r="Z17" s="2144"/>
      <c r="AA17" s="3353"/>
    </row>
    <row r="18" spans="1:27" ht="19.5" customHeight="1" x14ac:dyDescent="0.25">
      <c r="A18" s="4276"/>
      <c r="B18" s="3173" t="s">
        <v>263</v>
      </c>
      <c r="C18" s="2763">
        <v>106205029</v>
      </c>
      <c r="D18" s="2130" t="s">
        <v>2237</v>
      </c>
      <c r="E18" s="2139" t="s">
        <v>2238</v>
      </c>
      <c r="F18" s="2140">
        <v>1</v>
      </c>
      <c r="G18" s="2140">
        <v>1</v>
      </c>
      <c r="H18" s="2141"/>
      <c r="I18" s="892"/>
      <c r="J18" s="4276"/>
      <c r="K18" s="3173" t="s">
        <v>263</v>
      </c>
      <c r="L18" s="2763">
        <v>106205029</v>
      </c>
      <c r="M18" s="2130" t="s">
        <v>2237</v>
      </c>
      <c r="N18" s="2139" t="s">
        <v>2238</v>
      </c>
      <c r="O18" s="2140">
        <v>1</v>
      </c>
      <c r="P18" s="2140">
        <v>1</v>
      </c>
      <c r="Q18" s="2141"/>
      <c r="R18" s="2633"/>
      <c r="S18" s="4279"/>
      <c r="T18" s="3307" t="s">
        <v>263</v>
      </c>
      <c r="U18" s="2763">
        <v>106205029</v>
      </c>
      <c r="V18" s="2130" t="s">
        <v>2237</v>
      </c>
      <c r="W18" s="2139" t="s">
        <v>2238</v>
      </c>
      <c r="X18" s="2140">
        <v>1</v>
      </c>
      <c r="Y18" s="2171">
        <v>1</v>
      </c>
      <c r="Z18" s="2141"/>
      <c r="AA18" s="3353"/>
    </row>
    <row r="19" spans="1:27" ht="19.5" customHeight="1" x14ac:dyDescent="0.25">
      <c r="A19" s="4276"/>
      <c r="B19" s="2142"/>
      <c r="C19" s="3688">
        <v>106118336</v>
      </c>
      <c r="D19" s="3056" t="s">
        <v>2235</v>
      </c>
      <c r="E19" s="3057" t="s">
        <v>2236</v>
      </c>
      <c r="F19" s="3058">
        <v>1</v>
      </c>
      <c r="G19" s="3058">
        <v>2</v>
      </c>
      <c r="H19" s="2136"/>
      <c r="I19" s="892"/>
      <c r="J19" s="4276"/>
      <c r="K19" s="2142"/>
      <c r="L19" s="3688">
        <v>106118336</v>
      </c>
      <c r="M19" s="3056" t="s">
        <v>2235</v>
      </c>
      <c r="N19" s="3057" t="s">
        <v>2236</v>
      </c>
      <c r="O19" s="3058">
        <v>1</v>
      </c>
      <c r="P19" s="3058">
        <v>2</v>
      </c>
      <c r="Q19" s="2136"/>
      <c r="R19" s="2633"/>
      <c r="S19" s="4279"/>
      <c r="T19" s="3303"/>
      <c r="U19" s="3688">
        <v>106118336</v>
      </c>
      <c r="V19" s="3056" t="s">
        <v>2235</v>
      </c>
      <c r="W19" s="3057" t="s">
        <v>2236</v>
      </c>
      <c r="X19" s="3400">
        <v>1</v>
      </c>
      <c r="Y19" s="3400">
        <v>2</v>
      </c>
      <c r="Z19" s="2136"/>
      <c r="AA19" s="3353"/>
    </row>
    <row r="20" spans="1:27" ht="19.5" customHeight="1" x14ac:dyDescent="0.25">
      <c r="A20" s="4276"/>
      <c r="B20" s="2142"/>
      <c r="C20" s="2763">
        <v>106118986</v>
      </c>
      <c r="D20" s="3056" t="s">
        <v>2239</v>
      </c>
      <c r="E20" s="3057" t="s">
        <v>2240</v>
      </c>
      <c r="F20" s="3058">
        <v>1</v>
      </c>
      <c r="G20" s="3058">
        <v>2</v>
      </c>
      <c r="H20" s="2136"/>
      <c r="I20" s="892"/>
      <c r="J20" s="4276"/>
      <c r="K20" s="2142"/>
      <c r="L20" s="2763">
        <v>106118986</v>
      </c>
      <c r="M20" s="3056" t="s">
        <v>2239</v>
      </c>
      <c r="N20" s="3057" t="s">
        <v>2240</v>
      </c>
      <c r="O20" s="3058">
        <v>1</v>
      </c>
      <c r="P20" s="3058">
        <v>2</v>
      </c>
      <c r="Q20" s="2136"/>
      <c r="R20" s="2633"/>
      <c r="S20" s="4279"/>
      <c r="T20" s="3303"/>
      <c r="U20" s="2763">
        <v>106118986</v>
      </c>
      <c r="V20" s="3056" t="s">
        <v>2239</v>
      </c>
      <c r="W20" s="3057" t="s">
        <v>2240</v>
      </c>
      <c r="X20" s="3400">
        <v>1</v>
      </c>
      <c r="Y20" s="3400">
        <v>2</v>
      </c>
      <c r="Z20" s="2136"/>
      <c r="AA20" s="3353"/>
    </row>
    <row r="21" spans="1:27" ht="19.5" customHeight="1" thickBot="1" x14ac:dyDescent="0.3">
      <c r="A21" s="4276"/>
      <c r="B21" s="3291" t="s">
        <v>1587</v>
      </c>
      <c r="C21" s="2484">
        <v>106120336</v>
      </c>
      <c r="D21" s="2129" t="s">
        <v>1588</v>
      </c>
      <c r="E21" s="2137" t="s">
        <v>1589</v>
      </c>
      <c r="F21" s="2138">
        <v>2</v>
      </c>
      <c r="G21" s="2138">
        <v>2</v>
      </c>
      <c r="H21" s="2144"/>
      <c r="J21" s="4276"/>
      <c r="K21" s="3175" t="s">
        <v>1587</v>
      </c>
      <c r="L21" s="2484">
        <v>106120336</v>
      </c>
      <c r="M21" s="2174" t="s">
        <v>1588</v>
      </c>
      <c r="N21" s="2170" t="s">
        <v>1589</v>
      </c>
      <c r="O21" s="2166">
        <v>2</v>
      </c>
      <c r="P21" s="2166">
        <v>2</v>
      </c>
      <c r="Q21" s="2169"/>
      <c r="R21" s="2633"/>
      <c r="S21" s="4279"/>
      <c r="T21" s="3305" t="s">
        <v>1587</v>
      </c>
      <c r="U21" s="2484">
        <v>106120336</v>
      </c>
      <c r="V21" s="2174" t="s">
        <v>1588</v>
      </c>
      <c r="W21" s="2170" t="s">
        <v>1589</v>
      </c>
      <c r="X21" s="2166">
        <v>2</v>
      </c>
      <c r="Y21" s="2168">
        <v>2</v>
      </c>
      <c r="Z21" s="2169"/>
      <c r="AA21" s="3353"/>
    </row>
    <row r="22" spans="1:27" ht="19.5" customHeight="1" x14ac:dyDescent="0.25">
      <c r="A22" s="4276"/>
      <c r="B22" s="3173" t="s">
        <v>127</v>
      </c>
      <c r="C22" s="2763">
        <v>106205032</v>
      </c>
      <c r="D22" s="2130" t="s">
        <v>2321</v>
      </c>
      <c r="E22" s="2139" t="s">
        <v>2322</v>
      </c>
      <c r="F22" s="2140">
        <v>1</v>
      </c>
      <c r="G22" s="2140">
        <v>1</v>
      </c>
      <c r="H22" s="2141"/>
      <c r="I22" s="892"/>
      <c r="J22" s="4276"/>
      <c r="K22" s="3298" t="s">
        <v>127</v>
      </c>
      <c r="L22" s="2763">
        <v>106205032</v>
      </c>
      <c r="M22" s="2132" t="s">
        <v>2321</v>
      </c>
      <c r="N22" s="2143" t="s">
        <v>2322</v>
      </c>
      <c r="O22" s="2134">
        <v>1</v>
      </c>
      <c r="P22" s="2149">
        <v>1</v>
      </c>
      <c r="Q22" s="2135"/>
      <c r="R22" s="2633"/>
      <c r="S22" s="4279"/>
      <c r="T22" s="3308" t="s">
        <v>127</v>
      </c>
      <c r="U22" s="2763">
        <v>106205032</v>
      </c>
      <c r="V22" s="2132" t="s">
        <v>2321</v>
      </c>
      <c r="W22" s="2143" t="s">
        <v>2322</v>
      </c>
      <c r="X22" s="2134">
        <v>1</v>
      </c>
      <c r="Y22" s="2149">
        <v>1</v>
      </c>
      <c r="Z22" s="2135"/>
      <c r="AA22" s="3353"/>
    </row>
    <row r="23" spans="1:27" ht="19.5" customHeight="1" thickBot="1" x14ac:dyDescent="0.3">
      <c r="A23" s="4276"/>
      <c r="B23" s="3175" t="s">
        <v>285</v>
      </c>
      <c r="C23" s="2484">
        <v>106205033</v>
      </c>
      <c r="D23" s="2174" t="s">
        <v>2323</v>
      </c>
      <c r="E23" s="2170" t="s">
        <v>2324</v>
      </c>
      <c r="F23" s="2166">
        <v>1</v>
      </c>
      <c r="G23" s="2166">
        <v>1</v>
      </c>
      <c r="H23" s="2169"/>
      <c r="I23" s="892"/>
      <c r="J23" s="4276"/>
      <c r="K23" s="3299" t="s">
        <v>285</v>
      </c>
      <c r="L23" s="2484">
        <v>106205033</v>
      </c>
      <c r="M23" s="2174" t="s">
        <v>2323</v>
      </c>
      <c r="N23" s="2170" t="s">
        <v>2324</v>
      </c>
      <c r="O23" s="2168">
        <v>1</v>
      </c>
      <c r="P23" s="2168">
        <v>1</v>
      </c>
      <c r="Q23" s="2169"/>
      <c r="R23" s="2633"/>
      <c r="S23" s="4279"/>
      <c r="T23" s="3309" t="s">
        <v>285</v>
      </c>
      <c r="U23" s="2484">
        <v>106205033</v>
      </c>
      <c r="V23" s="2174" t="s">
        <v>2323</v>
      </c>
      <c r="W23" s="2170" t="s">
        <v>2324</v>
      </c>
      <c r="X23" s="2168">
        <v>1</v>
      </c>
      <c r="Y23" s="2168">
        <v>1</v>
      </c>
      <c r="Z23" s="2169"/>
      <c r="AA23" s="3353"/>
    </row>
    <row r="24" spans="1:27" ht="19.5" customHeight="1" thickBot="1" x14ac:dyDescent="0.3">
      <c r="A24" s="4276"/>
      <c r="B24" s="3293" t="s">
        <v>1590</v>
      </c>
      <c r="C24" s="2757">
        <v>106118326</v>
      </c>
      <c r="D24" s="3402" t="s">
        <v>2313</v>
      </c>
      <c r="E24" s="3403" t="s">
        <v>2314</v>
      </c>
      <c r="F24" s="3404">
        <v>1</v>
      </c>
      <c r="G24" s="3404"/>
      <c r="H24" s="2145"/>
      <c r="I24" s="892"/>
      <c r="J24" s="4276"/>
      <c r="K24" s="3293" t="s">
        <v>1590</v>
      </c>
      <c r="L24" s="2757">
        <v>106118341</v>
      </c>
      <c r="M24" s="3402" t="s">
        <v>2397</v>
      </c>
      <c r="N24" s="3403" t="s">
        <v>2398</v>
      </c>
      <c r="O24" s="3404">
        <v>1</v>
      </c>
      <c r="P24" s="3405">
        <v>1</v>
      </c>
      <c r="Q24" s="2145"/>
      <c r="R24" s="2633"/>
      <c r="S24" s="4279"/>
      <c r="T24" s="3293" t="s">
        <v>1590</v>
      </c>
      <c r="U24" s="2757">
        <v>106118326</v>
      </c>
      <c r="V24" s="3402" t="s">
        <v>2313</v>
      </c>
      <c r="W24" s="3403" t="s">
        <v>2314</v>
      </c>
      <c r="X24" s="3404">
        <v>1</v>
      </c>
      <c r="Y24" s="3404"/>
      <c r="Z24" s="2145"/>
      <c r="AA24" s="3353"/>
    </row>
    <row r="25" spans="1:27" ht="19.5" customHeight="1" thickBot="1" x14ac:dyDescent="0.3">
      <c r="A25" s="4276"/>
      <c r="B25" s="3294" t="s">
        <v>341</v>
      </c>
      <c r="C25" s="2757">
        <v>106113993</v>
      </c>
      <c r="D25" s="2133" t="s">
        <v>2315</v>
      </c>
      <c r="E25" s="2146" t="s">
        <v>2316</v>
      </c>
      <c r="F25" s="2147">
        <v>1</v>
      </c>
      <c r="G25" s="2147"/>
      <c r="H25" s="2148"/>
      <c r="I25" s="1383"/>
      <c r="J25" s="4276"/>
      <c r="K25" s="3294" t="s">
        <v>341</v>
      </c>
      <c r="L25" s="2757">
        <v>106120234</v>
      </c>
      <c r="M25" s="2133" t="s">
        <v>2393</v>
      </c>
      <c r="N25" s="2146" t="s">
        <v>2394</v>
      </c>
      <c r="O25" s="2147">
        <v>1</v>
      </c>
      <c r="P25" s="2173">
        <v>1</v>
      </c>
      <c r="Q25" s="2148"/>
      <c r="R25" s="305"/>
      <c r="S25" s="4279"/>
      <c r="T25" s="3305" t="s">
        <v>341</v>
      </c>
      <c r="U25" s="2757">
        <v>106120236</v>
      </c>
      <c r="V25" s="2133" t="s">
        <v>2395</v>
      </c>
      <c r="W25" s="2146" t="s">
        <v>2396</v>
      </c>
      <c r="X25" s="2166">
        <v>1</v>
      </c>
      <c r="Y25" s="2168">
        <v>1</v>
      </c>
      <c r="Z25" s="2181"/>
      <c r="AA25" s="2633"/>
    </row>
    <row r="26" spans="1:27" ht="19.5" customHeight="1" x14ac:dyDescent="0.25">
      <c r="A26" s="4276"/>
      <c r="B26" s="3092" t="s">
        <v>290</v>
      </c>
      <c r="C26" s="2496">
        <v>106205036</v>
      </c>
      <c r="D26" s="2132" t="s">
        <v>2319</v>
      </c>
      <c r="E26" s="2143" t="s">
        <v>2320</v>
      </c>
      <c r="F26" s="2134">
        <v>1</v>
      </c>
      <c r="G26" s="2134">
        <v>1</v>
      </c>
      <c r="H26" s="2135"/>
      <c r="J26" s="4276"/>
      <c r="K26" s="3298" t="s">
        <v>290</v>
      </c>
      <c r="L26" s="2496">
        <v>106205035</v>
      </c>
      <c r="M26" s="2132" t="s">
        <v>2382</v>
      </c>
      <c r="N26" s="2143" t="s">
        <v>2383</v>
      </c>
      <c r="O26" s="2134">
        <v>1</v>
      </c>
      <c r="P26" s="2149">
        <v>1</v>
      </c>
      <c r="Q26" s="2135"/>
      <c r="R26" s="305"/>
      <c r="S26" s="4279"/>
      <c r="T26" s="3308" t="s">
        <v>290</v>
      </c>
      <c r="U26" s="2496">
        <v>106205036</v>
      </c>
      <c r="V26" s="2132" t="s">
        <v>2319</v>
      </c>
      <c r="W26" s="2143" t="s">
        <v>2320</v>
      </c>
      <c r="X26" s="2134">
        <v>1</v>
      </c>
      <c r="Y26" s="2149">
        <v>1</v>
      </c>
      <c r="Z26" s="2187"/>
      <c r="AA26" s="2633"/>
    </row>
    <row r="27" spans="1:27" ht="19.5" customHeight="1" x14ac:dyDescent="0.25">
      <c r="A27" s="4276"/>
      <c r="B27" s="2142" t="s">
        <v>290</v>
      </c>
      <c r="C27" s="2763">
        <v>106118327</v>
      </c>
      <c r="D27" s="3056" t="s">
        <v>2317</v>
      </c>
      <c r="E27" s="3057" t="s">
        <v>2318</v>
      </c>
      <c r="F27" s="3058">
        <v>1</v>
      </c>
      <c r="G27" s="3058">
        <v>2</v>
      </c>
      <c r="H27" s="2136"/>
      <c r="I27" s="892"/>
      <c r="J27" s="4276"/>
      <c r="K27" s="3297" t="s">
        <v>290</v>
      </c>
      <c r="L27" s="2763">
        <v>106118338</v>
      </c>
      <c r="M27" s="3056" t="s">
        <v>2384</v>
      </c>
      <c r="N27" s="3057" t="s">
        <v>2385</v>
      </c>
      <c r="O27" s="3400">
        <v>1</v>
      </c>
      <c r="P27" s="3400">
        <v>2</v>
      </c>
      <c r="Q27" s="2136"/>
      <c r="R27" s="305"/>
      <c r="S27" s="4279"/>
      <c r="T27" s="3310" t="s">
        <v>290</v>
      </c>
      <c r="U27" s="2763">
        <v>106118327</v>
      </c>
      <c r="V27" s="3056" t="s">
        <v>2317</v>
      </c>
      <c r="W27" s="3057" t="s">
        <v>2318</v>
      </c>
      <c r="X27" s="3400">
        <v>1</v>
      </c>
      <c r="Y27" s="3400">
        <v>2</v>
      </c>
      <c r="Z27" s="2188"/>
      <c r="AA27" s="2633"/>
    </row>
    <row r="28" spans="1:27" ht="19.5" customHeight="1" x14ac:dyDescent="0.25">
      <c r="A28" s="4276"/>
      <c r="B28" s="2142" t="s">
        <v>301</v>
      </c>
      <c r="C28" s="2763">
        <v>106118330</v>
      </c>
      <c r="D28" s="3056" t="s">
        <v>1706</v>
      </c>
      <c r="E28" s="3057" t="s">
        <v>2325</v>
      </c>
      <c r="F28" s="3058">
        <v>1</v>
      </c>
      <c r="G28" s="3058">
        <v>2</v>
      </c>
      <c r="H28" s="2136"/>
      <c r="I28" s="892"/>
      <c r="J28" s="4276"/>
      <c r="K28" s="3297" t="s">
        <v>301</v>
      </c>
      <c r="L28" s="2763">
        <v>106118330</v>
      </c>
      <c r="M28" s="3056" t="s">
        <v>1706</v>
      </c>
      <c r="N28" s="3057" t="s">
        <v>2325</v>
      </c>
      <c r="O28" s="3400">
        <v>1</v>
      </c>
      <c r="P28" s="3400">
        <v>2</v>
      </c>
      <c r="Q28" s="2136"/>
      <c r="R28" s="892"/>
      <c r="S28" s="4279"/>
      <c r="T28" s="3310" t="s">
        <v>301</v>
      </c>
      <c r="U28" s="2763">
        <v>106118330</v>
      </c>
      <c r="V28" s="3056" t="s">
        <v>1706</v>
      </c>
      <c r="W28" s="3057" t="s">
        <v>2325</v>
      </c>
      <c r="X28" s="3400">
        <v>1</v>
      </c>
      <c r="Y28" s="3400">
        <v>2</v>
      </c>
      <c r="Z28" s="2177"/>
      <c r="AA28" s="2633"/>
    </row>
    <row r="29" spans="1:27" ht="19.5" customHeight="1" x14ac:dyDescent="0.25">
      <c r="A29" s="4276"/>
      <c r="B29" s="2142"/>
      <c r="C29" s="2763">
        <v>106101461</v>
      </c>
      <c r="D29" s="3056" t="s">
        <v>2326</v>
      </c>
      <c r="E29" s="3057" t="s">
        <v>2327</v>
      </c>
      <c r="F29" s="3058">
        <v>1</v>
      </c>
      <c r="G29" s="3058">
        <v>2</v>
      </c>
      <c r="H29" s="2136"/>
      <c r="I29" s="892"/>
      <c r="J29" s="4276"/>
      <c r="K29" s="3292"/>
      <c r="L29" s="2763">
        <v>106111993</v>
      </c>
      <c r="M29" s="3056" t="s">
        <v>2326</v>
      </c>
      <c r="N29" s="3057" t="s">
        <v>2327</v>
      </c>
      <c r="O29" s="3058">
        <v>1</v>
      </c>
      <c r="P29" s="3400">
        <v>2</v>
      </c>
      <c r="Q29" s="2184"/>
      <c r="R29" s="142"/>
      <c r="S29" s="4279"/>
      <c r="T29" s="3303"/>
      <c r="U29" s="2763">
        <v>106101461</v>
      </c>
      <c r="V29" s="3056" t="s">
        <v>2326</v>
      </c>
      <c r="W29" s="3057" t="s">
        <v>2327</v>
      </c>
      <c r="X29" s="3058">
        <v>1</v>
      </c>
      <c r="Y29" s="3400">
        <v>2</v>
      </c>
      <c r="Z29" s="2177"/>
      <c r="AA29" s="2633"/>
    </row>
    <row r="30" spans="1:27" s="1351" customFormat="1" ht="19.5" customHeight="1" thickBot="1" x14ac:dyDescent="0.3">
      <c r="A30" s="4276"/>
      <c r="B30" s="3291"/>
      <c r="C30" s="2484">
        <v>106103437</v>
      </c>
      <c r="D30" s="2129" t="s">
        <v>2386</v>
      </c>
      <c r="E30" s="2137" t="s">
        <v>2328</v>
      </c>
      <c r="F30" s="2138">
        <v>1</v>
      </c>
      <c r="G30" s="2138">
        <v>2</v>
      </c>
      <c r="H30" s="2144"/>
      <c r="I30" s="1342"/>
      <c r="J30" s="4276"/>
      <c r="K30" s="3300"/>
      <c r="L30" s="2484">
        <v>106111992</v>
      </c>
      <c r="M30" s="2174" t="s">
        <v>2386</v>
      </c>
      <c r="N30" s="2170" t="s">
        <v>2328</v>
      </c>
      <c r="O30" s="2166">
        <v>1</v>
      </c>
      <c r="P30" s="2168">
        <v>2</v>
      </c>
      <c r="Q30" s="2181"/>
      <c r="R30" s="892"/>
      <c r="S30" s="4279"/>
      <c r="T30" s="3311"/>
      <c r="U30" s="2484">
        <v>106103437</v>
      </c>
      <c r="V30" s="2174" t="s">
        <v>2386</v>
      </c>
      <c r="W30" s="2170" t="s">
        <v>2328</v>
      </c>
      <c r="X30" s="2166">
        <v>1</v>
      </c>
      <c r="Y30" s="2168">
        <v>2</v>
      </c>
      <c r="Z30" s="2181"/>
      <c r="AA30" s="142"/>
    </row>
    <row r="31" spans="1:27" ht="19.5" customHeight="1" thickBot="1" x14ac:dyDescent="0.3">
      <c r="A31" s="4285"/>
      <c r="B31" s="3295" t="s">
        <v>1507</v>
      </c>
      <c r="C31" s="2757">
        <v>106203799</v>
      </c>
      <c r="D31" s="2873" t="s">
        <v>2957</v>
      </c>
      <c r="E31" s="2749" t="s">
        <v>2958</v>
      </c>
      <c r="F31" s="3406">
        <v>1</v>
      </c>
      <c r="G31" s="3407" t="s">
        <v>649</v>
      </c>
      <c r="H31" s="2178"/>
      <c r="I31" s="1351"/>
      <c r="J31" s="4277"/>
      <c r="K31" s="3301" t="s">
        <v>2400</v>
      </c>
      <c r="L31" s="2757">
        <v>106204289</v>
      </c>
      <c r="M31" s="3402" t="s">
        <v>2959</v>
      </c>
      <c r="N31" s="3403" t="s">
        <v>2960</v>
      </c>
      <c r="O31" s="3404">
        <v>1</v>
      </c>
      <c r="P31" s="3405">
        <v>1</v>
      </c>
      <c r="Q31" s="2185"/>
      <c r="R31" s="892"/>
      <c r="S31" s="4280"/>
      <c r="T31" s="3301" t="s">
        <v>2400</v>
      </c>
      <c r="U31" s="2757">
        <v>106204289</v>
      </c>
      <c r="V31" s="3402" t="s">
        <v>2959</v>
      </c>
      <c r="W31" s="3403" t="s">
        <v>2960</v>
      </c>
      <c r="X31" s="3404">
        <v>1</v>
      </c>
      <c r="Y31" s="3405">
        <v>1</v>
      </c>
      <c r="Z31" s="2185"/>
      <c r="AA31" s="2633"/>
    </row>
    <row r="32" spans="1:27" s="1346" customFormat="1" ht="19.5" customHeight="1" thickTop="1" x14ac:dyDescent="0.25">
      <c r="A32" s="4284" t="s">
        <v>1592</v>
      </c>
      <c r="B32" s="3092" t="s">
        <v>1593</v>
      </c>
      <c r="C32" s="2496">
        <v>106101089</v>
      </c>
      <c r="D32" s="2132" t="s">
        <v>1594</v>
      </c>
      <c r="E32" s="2143" t="s">
        <v>1595</v>
      </c>
      <c r="F32" s="2134">
        <v>1</v>
      </c>
      <c r="G32" s="2134"/>
      <c r="H32" s="2135"/>
      <c r="I32" s="2633"/>
      <c r="J32" s="4275" t="s">
        <v>1592</v>
      </c>
      <c r="K32" s="3173" t="s">
        <v>1593</v>
      </c>
      <c r="L32" s="2496">
        <v>106101089</v>
      </c>
      <c r="M32" s="2130" t="s">
        <v>1594</v>
      </c>
      <c r="N32" s="2139" t="s">
        <v>1595</v>
      </c>
      <c r="O32" s="2140">
        <v>1</v>
      </c>
      <c r="P32" s="2140"/>
      <c r="Q32" s="2186"/>
      <c r="R32" s="2633"/>
      <c r="S32" s="4275" t="s">
        <v>1592</v>
      </c>
      <c r="T32" s="3092" t="s">
        <v>1593</v>
      </c>
      <c r="U32" s="2496">
        <v>106101089</v>
      </c>
      <c r="V32" s="2132" t="s">
        <v>1594</v>
      </c>
      <c r="W32" s="2143" t="s">
        <v>1595</v>
      </c>
      <c r="X32" s="2134">
        <v>1</v>
      </c>
      <c r="Y32" s="2134"/>
      <c r="Z32" s="2187"/>
      <c r="AA32" s="142"/>
    </row>
    <row r="33" spans="1:27" ht="19.5" customHeight="1" x14ac:dyDescent="0.25">
      <c r="A33" s="4276"/>
      <c r="B33" s="2142" t="s">
        <v>1596</v>
      </c>
      <c r="C33" s="2763">
        <v>106120231</v>
      </c>
      <c r="D33" s="3056" t="s">
        <v>2329</v>
      </c>
      <c r="E33" s="3057" t="s">
        <v>2330</v>
      </c>
      <c r="F33" s="3058">
        <v>2</v>
      </c>
      <c r="G33" s="3058"/>
      <c r="H33" s="2136"/>
      <c r="I33" s="892"/>
      <c r="J33" s="4276"/>
      <c r="K33" s="2142" t="s">
        <v>1596</v>
      </c>
      <c r="L33" s="2763">
        <v>106120231</v>
      </c>
      <c r="M33" s="3056" t="s">
        <v>2329</v>
      </c>
      <c r="N33" s="3057" t="s">
        <v>2330</v>
      </c>
      <c r="O33" s="3058">
        <v>2</v>
      </c>
      <c r="P33" s="3058"/>
      <c r="Q33" s="2177"/>
      <c r="R33" s="2633"/>
      <c r="S33" s="4276"/>
      <c r="T33" s="2142" t="s">
        <v>1596</v>
      </c>
      <c r="U33" s="2763">
        <v>106120231</v>
      </c>
      <c r="V33" s="3056" t="s">
        <v>2329</v>
      </c>
      <c r="W33" s="3057" t="s">
        <v>2330</v>
      </c>
      <c r="X33" s="3058">
        <v>2</v>
      </c>
      <c r="Y33" s="3058"/>
      <c r="Z33" s="2177"/>
      <c r="AA33" s="2633"/>
    </row>
    <row r="34" spans="1:27" s="1351" customFormat="1" ht="19.5" customHeight="1" x14ac:dyDescent="0.25">
      <c r="A34" s="4276"/>
      <c r="B34" s="2142" t="s">
        <v>196</v>
      </c>
      <c r="C34" s="2763">
        <v>106201346</v>
      </c>
      <c r="D34" s="3408" t="s">
        <v>1525</v>
      </c>
      <c r="E34" s="3409" t="s">
        <v>1526</v>
      </c>
      <c r="F34" s="3058">
        <v>1</v>
      </c>
      <c r="G34" s="3058"/>
      <c r="H34" s="2136"/>
      <c r="I34" s="892"/>
      <c r="J34" s="4276"/>
      <c r="K34" s="2142" t="s">
        <v>196</v>
      </c>
      <c r="L34" s="2763">
        <v>106201346</v>
      </c>
      <c r="M34" s="3408" t="s">
        <v>1525</v>
      </c>
      <c r="N34" s="3409" t="s">
        <v>1526</v>
      </c>
      <c r="O34" s="3058">
        <v>1</v>
      </c>
      <c r="P34" s="3058"/>
      <c r="Q34" s="2177"/>
      <c r="R34" s="142"/>
      <c r="S34" s="4276"/>
      <c r="T34" s="2142" t="s">
        <v>196</v>
      </c>
      <c r="U34" s="2763">
        <v>106201346</v>
      </c>
      <c r="V34" s="3408" t="s">
        <v>1525</v>
      </c>
      <c r="W34" s="3409" t="s">
        <v>1526</v>
      </c>
      <c r="X34" s="3058">
        <v>1</v>
      </c>
      <c r="Y34" s="3058"/>
      <c r="Z34" s="2177"/>
      <c r="AA34" s="2633"/>
    </row>
    <row r="35" spans="1:27" ht="19.5" customHeight="1" thickBot="1" x14ac:dyDescent="0.3">
      <c r="A35" s="4285"/>
      <c r="B35" s="3175" t="s">
        <v>1598</v>
      </c>
      <c r="C35" s="2484">
        <v>106205206</v>
      </c>
      <c r="D35" s="2174" t="s">
        <v>1599</v>
      </c>
      <c r="E35" s="2170" t="s">
        <v>1600</v>
      </c>
      <c r="F35" s="2166">
        <v>1</v>
      </c>
      <c r="G35" s="2166"/>
      <c r="H35" s="2169"/>
      <c r="I35" s="142"/>
      <c r="J35" s="4277"/>
      <c r="K35" s="3299" t="s">
        <v>1598</v>
      </c>
      <c r="L35" s="2484">
        <v>106205206</v>
      </c>
      <c r="M35" s="2174" t="s">
        <v>1599</v>
      </c>
      <c r="N35" s="2170" t="s">
        <v>1600</v>
      </c>
      <c r="O35" s="2168">
        <v>1</v>
      </c>
      <c r="P35" s="2168"/>
      <c r="Q35" s="2181"/>
      <c r="R35" s="2633"/>
      <c r="S35" s="4277"/>
      <c r="T35" s="3299" t="s">
        <v>1598</v>
      </c>
      <c r="U35" s="2484">
        <v>106205206</v>
      </c>
      <c r="V35" s="2174" t="s">
        <v>1599</v>
      </c>
      <c r="W35" s="2170" t="s">
        <v>1600</v>
      </c>
      <c r="X35" s="2168">
        <v>1</v>
      </c>
      <c r="Y35" s="2168"/>
      <c r="Z35" s="2181"/>
      <c r="AA35" s="2633"/>
    </row>
    <row r="36" spans="1:27" ht="19.5" customHeight="1" thickBot="1" x14ac:dyDescent="0.3">
      <c r="A36" s="4286" t="s">
        <v>1601</v>
      </c>
      <c r="B36" s="3092" t="s">
        <v>1610</v>
      </c>
      <c r="C36" s="2496">
        <v>106204720</v>
      </c>
      <c r="D36" s="2132" t="s">
        <v>2331</v>
      </c>
      <c r="E36" s="2143" t="s">
        <v>2332</v>
      </c>
      <c r="F36" s="2134">
        <v>1</v>
      </c>
      <c r="G36" s="2134">
        <v>3</v>
      </c>
      <c r="H36" s="2135"/>
      <c r="I36" s="892"/>
      <c r="J36" s="2172" t="s">
        <v>1601</v>
      </c>
      <c r="K36" s="3293" t="s">
        <v>2401</v>
      </c>
      <c r="L36" s="2757">
        <v>106204718</v>
      </c>
      <c r="M36" s="3402" t="s">
        <v>2389</v>
      </c>
      <c r="N36" s="3403" t="s">
        <v>2390</v>
      </c>
      <c r="O36" s="3404">
        <v>1</v>
      </c>
      <c r="P36" s="3405"/>
      <c r="Q36" s="2185"/>
      <c r="R36" s="2633"/>
      <c r="S36" s="2172" t="s">
        <v>1601</v>
      </c>
      <c r="T36" s="3293" t="s">
        <v>2402</v>
      </c>
      <c r="U36" s="2757">
        <v>106204729</v>
      </c>
      <c r="V36" s="3402" t="s">
        <v>2391</v>
      </c>
      <c r="W36" s="3403" t="s">
        <v>2392</v>
      </c>
      <c r="X36" s="3404">
        <v>1</v>
      </c>
      <c r="Y36" s="3405"/>
      <c r="Z36" s="2185"/>
      <c r="AA36" s="2633"/>
    </row>
    <row r="37" spans="1:27" ht="19.5" customHeight="1" thickBot="1" x14ac:dyDescent="0.3">
      <c r="A37" s="4287"/>
      <c r="B37" s="2142" t="s">
        <v>1611</v>
      </c>
      <c r="C37" s="2763">
        <v>106204721</v>
      </c>
      <c r="D37" s="3056" t="s">
        <v>2333</v>
      </c>
      <c r="E37" s="3057" t="s">
        <v>2334</v>
      </c>
      <c r="F37" s="3058">
        <v>1</v>
      </c>
      <c r="G37" s="3058">
        <v>3</v>
      </c>
      <c r="H37" s="2136"/>
      <c r="I37" s="892"/>
      <c r="J37" s="1573" t="s">
        <v>1287</v>
      </c>
      <c r="K37" s="1573"/>
      <c r="L37" s="1573"/>
      <c r="M37" s="1575"/>
      <c r="N37" s="1573"/>
      <c r="O37" s="1573"/>
      <c r="P37" s="1573"/>
      <c r="Q37" s="1573"/>
      <c r="R37" s="2196"/>
      <c r="S37" s="1573" t="s">
        <v>1287</v>
      </c>
      <c r="T37" s="1573"/>
      <c r="U37" s="1573"/>
      <c r="V37" s="1575"/>
      <c r="W37" s="1573"/>
      <c r="X37" s="1573"/>
      <c r="Y37" s="1573"/>
      <c r="Z37" s="1573"/>
      <c r="AA37" s="2195"/>
    </row>
    <row r="38" spans="1:27" ht="19.5" customHeight="1" x14ac:dyDescent="0.25">
      <c r="A38" s="4287"/>
      <c r="B38" s="2142" t="s">
        <v>1612</v>
      </c>
      <c r="C38" s="2763">
        <v>106204722</v>
      </c>
      <c r="D38" s="3056" t="s">
        <v>2335</v>
      </c>
      <c r="E38" s="3057" t="s">
        <v>2336</v>
      </c>
      <c r="F38" s="3058">
        <v>1</v>
      </c>
      <c r="G38" s="3058">
        <v>3</v>
      </c>
      <c r="H38" s="2136"/>
      <c r="I38" s="892"/>
      <c r="J38" s="4281" t="s">
        <v>1602</v>
      </c>
      <c r="K38" s="4282"/>
      <c r="L38" s="4282"/>
      <c r="M38" s="4282"/>
      <c r="N38" s="4282"/>
      <c r="O38" s="4282"/>
      <c r="P38" s="4282"/>
      <c r="Q38" s="4283"/>
      <c r="S38" s="4281" t="s">
        <v>1602</v>
      </c>
      <c r="T38" s="4282"/>
      <c r="U38" s="4282"/>
      <c r="V38" s="4282"/>
      <c r="W38" s="4282"/>
      <c r="X38" s="4282"/>
      <c r="Y38" s="4282"/>
      <c r="Z38" s="4283"/>
    </row>
    <row r="39" spans="1:27" ht="23.25" customHeight="1" thickBot="1" x14ac:dyDescent="0.3">
      <c r="A39" s="4288"/>
      <c r="B39" s="3291" t="s">
        <v>1613</v>
      </c>
      <c r="C39" s="2484">
        <v>106204727</v>
      </c>
      <c r="D39" s="2129" t="s">
        <v>2337</v>
      </c>
      <c r="E39" s="2137" t="s">
        <v>2338</v>
      </c>
      <c r="F39" s="2138">
        <v>1</v>
      </c>
      <c r="G39" s="2138">
        <v>3</v>
      </c>
      <c r="H39" s="2144"/>
      <c r="I39" s="892"/>
      <c r="J39" s="4269" t="s">
        <v>1603</v>
      </c>
      <c r="K39" s="4270"/>
      <c r="L39" s="4270"/>
      <c r="M39" s="4270"/>
      <c r="N39" s="4270"/>
      <c r="O39" s="4270"/>
      <c r="P39" s="4270"/>
      <c r="Q39" s="4271"/>
      <c r="S39" s="4269" t="s">
        <v>1603</v>
      </c>
      <c r="T39" s="4270"/>
      <c r="U39" s="4270"/>
      <c r="V39" s="4270"/>
      <c r="W39" s="4270"/>
      <c r="X39" s="4270"/>
      <c r="Y39" s="4270"/>
      <c r="Z39" s="4271"/>
    </row>
    <row r="40" spans="1:27" ht="27" customHeight="1" thickBot="1" x14ac:dyDescent="0.3">
      <c r="A40" s="1573" t="s">
        <v>1287</v>
      </c>
      <c r="B40" s="2179"/>
      <c r="C40" s="1573"/>
      <c r="D40" s="1575"/>
      <c r="E40" s="1573"/>
      <c r="F40" s="1573"/>
      <c r="G40" s="1573"/>
      <c r="H40" s="1573"/>
      <c r="I40" s="892"/>
      <c r="J40" s="4269" t="s">
        <v>1604</v>
      </c>
      <c r="K40" s="4270"/>
      <c r="L40" s="4270"/>
      <c r="M40" s="4270"/>
      <c r="N40" s="4270"/>
      <c r="O40" s="4270"/>
      <c r="P40" s="4270"/>
      <c r="Q40" s="4271"/>
      <c r="S40" s="4269" t="s">
        <v>1604</v>
      </c>
      <c r="T40" s="4270"/>
      <c r="U40" s="4270"/>
      <c r="V40" s="4270"/>
      <c r="W40" s="4270"/>
      <c r="X40" s="4270"/>
      <c r="Y40" s="4270"/>
      <c r="Z40" s="4271"/>
    </row>
    <row r="41" spans="1:27" ht="19.5" customHeight="1" thickBot="1" x14ac:dyDescent="0.3">
      <c r="A41" s="4281" t="s">
        <v>1602</v>
      </c>
      <c r="B41" s="4282"/>
      <c r="C41" s="4282"/>
      <c r="D41" s="4282"/>
      <c r="E41" s="4282"/>
      <c r="F41" s="4282"/>
      <c r="G41" s="4282"/>
      <c r="H41" s="4283"/>
      <c r="J41" s="4272" t="s">
        <v>1605</v>
      </c>
      <c r="K41" s="4273"/>
      <c r="L41" s="4273"/>
      <c r="M41" s="4273"/>
      <c r="N41" s="4273"/>
      <c r="O41" s="4273"/>
      <c r="P41" s="4273"/>
      <c r="Q41" s="4274"/>
      <c r="S41" s="4272" t="s">
        <v>1605</v>
      </c>
      <c r="T41" s="4273"/>
      <c r="U41" s="4273"/>
      <c r="V41" s="4273"/>
      <c r="W41" s="4273"/>
      <c r="X41" s="4273"/>
      <c r="Y41" s="4273"/>
      <c r="Z41" s="4274"/>
    </row>
    <row r="42" spans="1:27" ht="26.25" customHeight="1" x14ac:dyDescent="0.25">
      <c r="A42" s="4269" t="s">
        <v>1603</v>
      </c>
      <c r="B42" s="4270"/>
      <c r="C42" s="4270"/>
      <c r="D42" s="4270"/>
      <c r="E42" s="4270"/>
      <c r="F42" s="4270"/>
      <c r="G42" s="4270"/>
      <c r="H42" s="4271"/>
    </row>
    <row r="43" spans="1:27" ht="24.75" customHeight="1" x14ac:dyDescent="0.25">
      <c r="A43" s="4269" t="s">
        <v>1604</v>
      </c>
      <c r="B43" s="4270"/>
      <c r="C43" s="4270"/>
      <c r="D43" s="4270"/>
      <c r="E43" s="4270"/>
      <c r="F43" s="4270"/>
      <c r="G43" s="4270"/>
      <c r="H43" s="4271"/>
    </row>
    <row r="44" spans="1:27" ht="25.5" customHeight="1" thickBot="1" x14ac:dyDescent="0.3">
      <c r="A44" s="4272" t="s">
        <v>1605</v>
      </c>
      <c r="B44" s="4273"/>
      <c r="C44" s="4273"/>
      <c r="D44" s="4273"/>
      <c r="E44" s="4273"/>
      <c r="F44" s="4273"/>
      <c r="G44" s="4273"/>
      <c r="H44" s="4274"/>
    </row>
    <row r="45" spans="1:27" ht="25.5" customHeight="1" x14ac:dyDescent="0.25">
      <c r="A45" s="3352"/>
      <c r="B45" s="3354"/>
      <c r="C45" s="3352"/>
      <c r="D45" s="3352"/>
      <c r="E45" s="3352"/>
      <c r="F45" s="3352"/>
      <c r="G45" s="3352"/>
      <c r="H45" s="3352"/>
    </row>
    <row r="46" spans="1:27" ht="30.75" customHeight="1" x14ac:dyDescent="0.25">
      <c r="A46" s="1383"/>
      <c r="B46" s="2633"/>
      <c r="C46" s="1383"/>
      <c r="D46" s="2116"/>
      <c r="E46" s="2117"/>
      <c r="F46" s="1383"/>
      <c r="G46" s="1383"/>
      <c r="H46" s="1383"/>
    </row>
    <row r="47" spans="1:27" ht="26.25" customHeight="1" x14ac:dyDescent="0.25">
      <c r="A47" s="1345"/>
    </row>
    <row r="48" spans="1:27" ht="30" customHeight="1" x14ac:dyDescent="0.25">
      <c r="A48" s="1345"/>
    </row>
    <row r="49" spans="1:1" ht="19.5" customHeight="1" x14ac:dyDescent="0.25">
      <c r="A49" s="1345"/>
    </row>
    <row r="51" spans="1:1" ht="38.25" customHeight="1" x14ac:dyDescent="0.25"/>
    <row r="52" spans="1:1" ht="31.5" customHeight="1" x14ac:dyDescent="0.25"/>
    <row r="53" spans="1:1" ht="29.25" customHeight="1" x14ac:dyDescent="0.25"/>
    <row r="54" spans="1:1" ht="30" customHeight="1" x14ac:dyDescent="0.25"/>
    <row r="55" spans="1:1" ht="24" customHeight="1" x14ac:dyDescent="0.25"/>
    <row r="56" spans="1:1" ht="24" customHeight="1" x14ac:dyDescent="0.25"/>
    <row r="57" spans="1:1" ht="27.75" customHeight="1" x14ac:dyDescent="0.25"/>
    <row r="59" spans="1:1" ht="25.5" customHeight="1" x14ac:dyDescent="0.25"/>
  </sheetData>
  <mergeCells count="27">
    <mergeCell ref="A3:A5"/>
    <mergeCell ref="J3:J6"/>
    <mergeCell ref="S3:S6"/>
    <mergeCell ref="A6:A31"/>
    <mergeCell ref="J38:Q38"/>
    <mergeCell ref="S38:Z38"/>
    <mergeCell ref="F1:H1"/>
    <mergeCell ref="O1:Q1"/>
    <mergeCell ref="X1:Z1"/>
    <mergeCell ref="M2:N2"/>
    <mergeCell ref="V2:W2"/>
    <mergeCell ref="A43:H43"/>
    <mergeCell ref="A44:H44"/>
    <mergeCell ref="J7:J31"/>
    <mergeCell ref="S7:S31"/>
    <mergeCell ref="J39:Q39"/>
    <mergeCell ref="S39:Z39"/>
    <mergeCell ref="A41:H41"/>
    <mergeCell ref="J40:Q40"/>
    <mergeCell ref="S40:Z40"/>
    <mergeCell ref="A42:H42"/>
    <mergeCell ref="J41:Q41"/>
    <mergeCell ref="S41:Z41"/>
    <mergeCell ref="A32:A35"/>
    <mergeCell ref="J32:J35"/>
    <mergeCell ref="S32:S35"/>
    <mergeCell ref="A36:A39"/>
  </mergeCells>
  <pageMargins left="0.70866141732283472" right="0.70866141732283472" top="0.74803149606299213" bottom="0.74803149606299213" header="0.31496062992125984" footer="0.31496062992125984"/>
  <pageSetup paperSize="9" scale="14" orientation="portrait" horizontalDpi="200" verticalDpi="200"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70"/>
  <sheetViews>
    <sheetView zoomScale="80" zoomScaleNormal="80" zoomScaleSheetLayoutView="85" workbookViewId="0">
      <selection activeCell="C26" sqref="C26"/>
    </sheetView>
  </sheetViews>
  <sheetFormatPr baseColWidth="10" defaultRowHeight="15" x14ac:dyDescent="0.25"/>
  <cols>
    <col min="1" max="1" width="7" style="1342" customWidth="1"/>
    <col min="2" max="2" width="19.28515625" style="1342" customWidth="1"/>
    <col min="3" max="3" width="13" style="1343" bestFit="1" customWidth="1"/>
    <col min="4" max="4" width="63.28515625" style="2383" customWidth="1"/>
    <col min="5" max="5" width="53.140625" style="1342" customWidth="1"/>
    <col min="6" max="6" width="12.7109375" style="3215" customWidth="1"/>
    <col min="7" max="7" width="9.42578125" style="1342" bestFit="1" customWidth="1"/>
    <col min="8" max="8" width="9.28515625" style="1574" customWidth="1"/>
    <col min="9" max="9" width="4.7109375" style="1343" customWidth="1"/>
    <col min="10" max="10" width="15.28515625" style="1342" customWidth="1"/>
    <col min="11" max="11" width="16.85546875" style="751" customWidth="1"/>
    <col min="12" max="12" width="10.28515625" style="1574" customWidth="1"/>
    <col min="13" max="13" width="11.42578125" style="3215"/>
    <col min="14" max="14" width="15.7109375" style="3215" bestFit="1" customWidth="1"/>
    <col min="15" max="16384" width="11.42578125" style="1342"/>
  </cols>
  <sheetData>
    <row r="1" spans="1:19" ht="15.75" thickBot="1" x14ac:dyDescent="0.3">
      <c r="N1" s="3391"/>
    </row>
    <row r="2" spans="1:19" ht="16.5" customHeight="1" thickBot="1" x14ac:dyDescent="0.3">
      <c r="A2" s="1389" t="s">
        <v>3040</v>
      </c>
      <c r="B2" s="79"/>
      <c r="C2" s="1384"/>
      <c r="D2" s="1384"/>
      <c r="E2" s="1384"/>
      <c r="F2" s="79"/>
      <c r="G2" s="4289" t="s">
        <v>3196</v>
      </c>
      <c r="H2" s="4289"/>
      <c r="I2" s="4290"/>
    </row>
    <row r="3" spans="1:19" s="3048" customFormat="1" ht="31.5" customHeight="1" thickBot="1" x14ac:dyDescent="0.3">
      <c r="A3" s="3049"/>
      <c r="B3" s="3049" t="s">
        <v>79</v>
      </c>
      <c r="C3" s="3050" t="s">
        <v>326</v>
      </c>
      <c r="D3" s="3051" t="s">
        <v>250</v>
      </c>
      <c r="E3" s="3052"/>
      <c r="F3" s="3053" t="s">
        <v>2481</v>
      </c>
      <c r="G3" s="3054" t="s">
        <v>2482</v>
      </c>
      <c r="H3" s="3054" t="s">
        <v>1281</v>
      </c>
      <c r="I3" s="3049" t="s">
        <v>1282</v>
      </c>
      <c r="J3" s="3392" t="s">
        <v>3359</v>
      </c>
      <c r="K3" s="3389" t="s">
        <v>745</v>
      </c>
      <c r="L3" s="3393" t="s">
        <v>344</v>
      </c>
      <c r="M3" s="3393" t="s">
        <v>2997</v>
      </c>
      <c r="N3" s="3393" t="s">
        <v>2998</v>
      </c>
      <c r="P3" s="3219"/>
      <c r="Q3" s="3220"/>
      <c r="R3" s="3221"/>
      <c r="S3" s="2358"/>
    </row>
    <row r="4" spans="1:19" ht="19.5" customHeight="1" thickBot="1" x14ac:dyDescent="0.3">
      <c r="A4" s="4298" t="s">
        <v>3072</v>
      </c>
      <c r="B4" s="4301" t="s">
        <v>263</v>
      </c>
      <c r="C4" s="2757">
        <v>106204784</v>
      </c>
      <c r="D4" s="2744" t="s">
        <v>2938</v>
      </c>
      <c r="E4" s="2745" t="s">
        <v>2939</v>
      </c>
      <c r="F4" s="2829"/>
      <c r="G4" s="2829">
        <v>1</v>
      </c>
      <c r="H4" s="2980">
        <v>1</v>
      </c>
      <c r="I4" s="2395"/>
      <c r="J4" s="3216"/>
      <c r="K4" s="2641"/>
      <c r="L4" s="2641"/>
      <c r="P4" s="3219"/>
      <c r="Q4" s="3222"/>
      <c r="R4" s="3223"/>
      <c r="S4" s="2358"/>
    </row>
    <row r="5" spans="1:19" ht="19.5" customHeight="1" x14ac:dyDescent="0.25">
      <c r="A5" s="4299"/>
      <c r="B5" s="4302"/>
      <c r="C5" s="3169">
        <v>106118132</v>
      </c>
      <c r="D5" s="3072" t="s">
        <v>2975</v>
      </c>
      <c r="E5" s="2108" t="s">
        <v>2976</v>
      </c>
      <c r="F5" s="2469"/>
      <c r="G5" s="2469">
        <v>1</v>
      </c>
      <c r="H5" s="2473"/>
      <c r="I5" s="2474"/>
      <c r="J5" s="794"/>
      <c r="K5" s="1574"/>
      <c r="M5" s="1574"/>
      <c r="N5" s="1574"/>
      <c r="P5" s="3219"/>
      <c r="Q5" s="3224"/>
      <c r="R5" s="3225"/>
      <c r="S5" s="2358"/>
    </row>
    <row r="6" spans="1:19" ht="19.5" customHeight="1" x14ac:dyDescent="0.25">
      <c r="A6" s="4299"/>
      <c r="B6" s="4302"/>
      <c r="C6" s="3562">
        <v>106119671</v>
      </c>
      <c r="D6" s="3072" t="s">
        <v>2977</v>
      </c>
      <c r="E6" s="2108" t="s">
        <v>2978</v>
      </c>
      <c r="F6" s="2469"/>
      <c r="G6" s="2469">
        <v>1</v>
      </c>
      <c r="H6" s="2473"/>
      <c r="I6" s="2474"/>
      <c r="J6" s="794"/>
      <c r="K6" s="1574"/>
      <c r="M6" s="1574"/>
      <c r="N6" s="1574"/>
      <c r="P6" s="3219"/>
      <c r="Q6" s="3224"/>
      <c r="R6" s="3225"/>
      <c r="S6" s="2358"/>
    </row>
    <row r="7" spans="1:19" ht="19.5" customHeight="1" x14ac:dyDescent="0.25">
      <c r="A7" s="4299"/>
      <c r="B7" s="4303"/>
      <c r="C7" s="3562">
        <v>106119673</v>
      </c>
      <c r="D7" s="2832" t="s">
        <v>2807</v>
      </c>
      <c r="E7" s="2749" t="s">
        <v>2808</v>
      </c>
      <c r="F7" s="2729"/>
      <c r="G7" s="2729">
        <v>1</v>
      </c>
      <c r="H7" s="2731"/>
      <c r="I7" s="2452"/>
      <c r="J7" s="1574"/>
      <c r="N7" s="3391"/>
      <c r="P7" s="3219"/>
      <c r="Q7" s="3224"/>
      <c r="R7" s="3225"/>
      <c r="S7" s="2358"/>
    </row>
    <row r="8" spans="1:19" ht="19.5" customHeight="1" thickBot="1" x14ac:dyDescent="0.3">
      <c r="A8" s="4299"/>
      <c r="B8" s="4304"/>
      <c r="C8" s="3659">
        <v>106120955</v>
      </c>
      <c r="D8" s="2864" t="s">
        <v>2809</v>
      </c>
      <c r="E8" s="2403" t="s">
        <v>2810</v>
      </c>
      <c r="F8" s="2477"/>
      <c r="G8" s="2477">
        <v>1</v>
      </c>
      <c r="H8" s="2404"/>
      <c r="I8" s="2479"/>
      <c r="J8" s="3216"/>
      <c r="K8" s="2641"/>
      <c r="L8" s="2641"/>
      <c r="P8" s="3219"/>
      <c r="Q8" s="3224"/>
      <c r="R8" s="3225"/>
      <c r="S8" s="2358"/>
    </row>
    <row r="9" spans="1:19" ht="19.5" customHeight="1" x14ac:dyDescent="0.25">
      <c r="A9" s="4299"/>
      <c r="B9" s="1461" t="s">
        <v>261</v>
      </c>
      <c r="C9" s="2447">
        <v>106114701</v>
      </c>
      <c r="D9" s="1396" t="s">
        <v>1243</v>
      </c>
      <c r="E9" s="1397" t="s">
        <v>1244</v>
      </c>
      <c r="F9" s="2449"/>
      <c r="G9" s="2449">
        <v>1</v>
      </c>
      <c r="H9" s="2397" t="s">
        <v>649</v>
      </c>
      <c r="I9" s="2398"/>
      <c r="J9" s="1574"/>
      <c r="N9" s="3391"/>
      <c r="P9" s="3219"/>
      <c r="Q9" s="3224"/>
      <c r="R9" s="3225"/>
      <c r="S9" s="2358"/>
    </row>
    <row r="10" spans="1:19" ht="19.5" customHeight="1" x14ac:dyDescent="0.25">
      <c r="A10" s="4299"/>
      <c r="B10" s="3390" t="s">
        <v>2891</v>
      </c>
      <c r="C10" s="2763">
        <v>106105692</v>
      </c>
      <c r="D10" s="2724" t="s">
        <v>3210</v>
      </c>
      <c r="E10" s="2749" t="s">
        <v>3211</v>
      </c>
      <c r="F10" s="2729"/>
      <c r="G10" s="2729">
        <v>1</v>
      </c>
      <c r="H10" s="2731"/>
      <c r="I10" s="2452"/>
      <c r="J10" s="3216"/>
      <c r="K10" s="2641"/>
      <c r="L10" s="2641"/>
      <c r="P10" s="3219"/>
      <c r="Q10" s="3224"/>
      <c r="R10" s="3225"/>
      <c r="S10" s="2358"/>
    </row>
    <row r="11" spans="1:19" ht="19.5" customHeight="1" x14ac:dyDescent="0.25">
      <c r="A11" s="4299"/>
      <c r="B11" s="3145" t="s">
        <v>2803</v>
      </c>
      <c r="C11" s="2763">
        <v>106116452</v>
      </c>
      <c r="D11" s="2724" t="s">
        <v>2814</v>
      </c>
      <c r="E11" s="2733" t="s">
        <v>2813</v>
      </c>
      <c r="F11" s="3143"/>
      <c r="G11" s="3143">
        <v>1</v>
      </c>
      <c r="H11" s="2763" t="s">
        <v>649</v>
      </c>
      <c r="I11" s="3074"/>
      <c r="J11" s="3216"/>
      <c r="K11" s="2641"/>
      <c r="L11" s="2641"/>
      <c r="P11" s="3219"/>
      <c r="Q11" s="3224"/>
      <c r="R11" s="3225"/>
      <c r="S11" s="2358"/>
    </row>
    <row r="12" spans="1:19" ht="19.5" customHeight="1" x14ac:dyDescent="0.25">
      <c r="A12" s="4299"/>
      <c r="B12" s="2880" t="s">
        <v>3055</v>
      </c>
      <c r="C12" s="3558">
        <v>106111785</v>
      </c>
      <c r="D12" s="2724" t="s">
        <v>2590</v>
      </c>
      <c r="E12" s="2749" t="s">
        <v>2591</v>
      </c>
      <c r="F12" s="2729"/>
      <c r="G12" s="2728">
        <v>1</v>
      </c>
      <c r="H12" s="2731"/>
      <c r="I12" s="2452"/>
      <c r="J12" s="1574"/>
      <c r="N12" s="3391"/>
      <c r="P12" s="3219"/>
      <c r="Q12" s="3224"/>
      <c r="R12" s="3225"/>
      <c r="S12" s="2358"/>
    </row>
    <row r="13" spans="1:19" ht="19.5" customHeight="1" x14ac:dyDescent="0.25">
      <c r="A13" s="4299"/>
      <c r="B13" s="2142" t="s">
        <v>2892</v>
      </c>
      <c r="C13" s="2763">
        <v>106205032</v>
      </c>
      <c r="D13" s="3056" t="s">
        <v>2321</v>
      </c>
      <c r="E13" s="3057" t="s">
        <v>2322</v>
      </c>
      <c r="F13" s="3058"/>
      <c r="G13" s="3058">
        <v>1</v>
      </c>
      <c r="H13" s="3058">
        <v>1</v>
      </c>
      <c r="I13" s="3074"/>
      <c r="J13" s="1574"/>
      <c r="N13" s="3391"/>
      <c r="P13" s="3219"/>
      <c r="Q13" s="3224"/>
      <c r="R13" s="3225"/>
      <c r="S13" s="2358"/>
    </row>
    <row r="14" spans="1:19" ht="19.5" customHeight="1" x14ac:dyDescent="0.25">
      <c r="A14" s="4299"/>
      <c r="B14" s="3145" t="s">
        <v>127</v>
      </c>
      <c r="C14" s="2763">
        <v>106205936</v>
      </c>
      <c r="D14" s="2748" t="s">
        <v>2904</v>
      </c>
      <c r="E14" s="2749" t="s">
        <v>2905</v>
      </c>
      <c r="F14" s="3058"/>
      <c r="G14" s="3058">
        <v>1</v>
      </c>
      <c r="H14" s="3058">
        <v>1</v>
      </c>
      <c r="I14" s="3074"/>
      <c r="J14" s="1574"/>
      <c r="N14" s="3391"/>
      <c r="P14" s="3219"/>
      <c r="Q14" s="3224"/>
      <c r="R14" s="3225"/>
      <c r="S14" s="2358"/>
    </row>
    <row r="15" spans="1:19" s="1351" customFormat="1" ht="19.5" customHeight="1" x14ac:dyDescent="0.25">
      <c r="A15" s="4299"/>
      <c r="B15" s="3145" t="s">
        <v>1507</v>
      </c>
      <c r="C15" s="3558">
        <v>106203799</v>
      </c>
      <c r="D15" s="2724" t="s">
        <v>2957</v>
      </c>
      <c r="E15" s="2831" t="s">
        <v>2958</v>
      </c>
      <c r="F15" s="3093"/>
      <c r="G15" s="3093">
        <v>1</v>
      </c>
      <c r="H15" s="3093"/>
      <c r="I15" s="3074"/>
      <c r="J15" s="2227"/>
      <c r="K15" s="751"/>
      <c r="L15" s="2227"/>
      <c r="M15" s="751"/>
      <c r="N15" s="751"/>
      <c r="P15" s="3219"/>
      <c r="Q15" s="3224"/>
      <c r="R15" s="3225"/>
      <c r="S15" s="2358"/>
    </row>
    <row r="16" spans="1:19" ht="19.5" customHeight="1" x14ac:dyDescent="0.25">
      <c r="A16" s="4299"/>
      <c r="B16" s="2880" t="s">
        <v>2893</v>
      </c>
      <c r="C16" s="2763">
        <v>106118389</v>
      </c>
      <c r="D16" s="3056" t="s">
        <v>2222</v>
      </c>
      <c r="E16" s="3057" t="s">
        <v>2223</v>
      </c>
      <c r="F16" s="2729"/>
      <c r="G16" s="2728">
        <v>3</v>
      </c>
      <c r="H16" s="2731"/>
      <c r="I16" s="2452"/>
      <c r="J16" s="1574"/>
      <c r="N16" s="3391"/>
      <c r="P16" s="3219"/>
      <c r="Q16" s="3224"/>
      <c r="R16" s="3225"/>
      <c r="S16" s="2358"/>
    </row>
    <row r="17" spans="1:19" ht="19.5" customHeight="1" x14ac:dyDescent="0.25">
      <c r="A17" s="4299"/>
      <c r="B17" s="3390" t="s">
        <v>2801</v>
      </c>
      <c r="C17" s="2763">
        <v>106205250</v>
      </c>
      <c r="D17" s="2724" t="s">
        <v>2820</v>
      </c>
      <c r="E17" s="2749" t="s">
        <v>2821</v>
      </c>
      <c r="F17" s="2846"/>
      <c r="G17" s="2845">
        <v>1</v>
      </c>
      <c r="H17" s="3144"/>
      <c r="I17" s="2603"/>
      <c r="J17" s="1574"/>
      <c r="K17" s="2641"/>
      <c r="L17" s="2641"/>
      <c r="P17" s="3219"/>
      <c r="Q17" s="3224"/>
      <c r="R17" s="3225"/>
      <c r="S17" s="2358"/>
    </row>
    <row r="18" spans="1:19" ht="19.5" customHeight="1" x14ac:dyDescent="0.25">
      <c r="A18" s="4299"/>
      <c r="B18" s="2400" t="s">
        <v>3043</v>
      </c>
      <c r="C18" s="2763">
        <v>106122040</v>
      </c>
      <c r="D18" s="3105" t="s">
        <v>3044</v>
      </c>
      <c r="E18" s="2403" t="s">
        <v>3045</v>
      </c>
      <c r="F18" s="3288"/>
      <c r="G18" s="2481">
        <v>1</v>
      </c>
      <c r="H18" s="3289"/>
      <c r="I18" s="3290"/>
      <c r="J18" s="1574"/>
      <c r="K18" s="2641"/>
      <c r="L18" s="2641"/>
      <c r="P18" s="3219"/>
      <c r="Q18" s="3224"/>
      <c r="R18" s="3225"/>
      <c r="S18" s="2358"/>
    </row>
    <row r="19" spans="1:19" ht="19.5" customHeight="1" thickBot="1" x14ac:dyDescent="0.3">
      <c r="A19" s="4300"/>
      <c r="B19" s="3146" t="s">
        <v>2894</v>
      </c>
      <c r="C19" s="3090">
        <v>106121020</v>
      </c>
      <c r="D19" s="3075" t="s">
        <v>2224</v>
      </c>
      <c r="E19" s="2137" t="s">
        <v>2225</v>
      </c>
      <c r="F19" s="2394"/>
      <c r="G19" s="2106">
        <v>2</v>
      </c>
      <c r="H19" s="2453" t="s">
        <v>649</v>
      </c>
      <c r="I19" s="2595"/>
      <c r="J19" s="1574"/>
      <c r="N19" s="3391"/>
      <c r="P19" s="3219"/>
      <c r="Q19" s="3224"/>
      <c r="R19" s="3225"/>
      <c r="S19" s="2358"/>
    </row>
    <row r="20" spans="1:19" ht="19.5" customHeight="1" thickBot="1" x14ac:dyDescent="0.3">
      <c r="A20" s="4295" t="s">
        <v>3071</v>
      </c>
      <c r="B20" s="4307" t="s">
        <v>71</v>
      </c>
      <c r="C20" s="2756">
        <v>106206437</v>
      </c>
      <c r="D20" s="3140" t="s">
        <v>2907</v>
      </c>
      <c r="E20" s="3141" t="s">
        <v>2908</v>
      </c>
      <c r="F20" s="2387"/>
      <c r="G20" s="3142">
        <v>1</v>
      </c>
      <c r="H20" s="2381">
        <v>1.7</v>
      </c>
      <c r="I20" s="2389"/>
      <c r="J20" s="2227"/>
      <c r="K20" s="2641"/>
      <c r="L20" s="2641"/>
      <c r="P20" s="3219"/>
      <c r="Q20" s="3224"/>
      <c r="R20" s="3225"/>
      <c r="S20" s="2358"/>
    </row>
    <row r="21" spans="1:19" ht="19.5" customHeight="1" x14ac:dyDescent="0.25">
      <c r="A21" s="4305"/>
      <c r="B21" s="4307"/>
      <c r="C21" s="2763">
        <v>106119673</v>
      </c>
      <c r="D21" s="2832" t="s">
        <v>2807</v>
      </c>
      <c r="E21" s="2749" t="s">
        <v>2808</v>
      </c>
      <c r="F21" s="2729"/>
      <c r="G21" s="2729">
        <v>1</v>
      </c>
      <c r="H21" s="2731"/>
      <c r="I21" s="2452"/>
      <c r="J21" s="3216"/>
      <c r="K21" s="2641"/>
      <c r="L21" s="2641"/>
      <c r="P21" s="3219"/>
      <c r="Q21" s="3224"/>
      <c r="R21" s="3225"/>
      <c r="S21" s="2358"/>
    </row>
    <row r="22" spans="1:19" ht="19.5" customHeight="1" thickBot="1" x14ac:dyDescent="0.3">
      <c r="A22" s="4305"/>
      <c r="B22" s="4307"/>
      <c r="C22" s="2726">
        <v>106122926</v>
      </c>
      <c r="D22" s="2486" t="s">
        <v>2932</v>
      </c>
      <c r="E22" s="2137" t="s">
        <v>2933</v>
      </c>
      <c r="F22" s="2726"/>
      <c r="G22" s="2477">
        <v>1</v>
      </c>
      <c r="H22" s="2486"/>
      <c r="I22" s="3147"/>
      <c r="J22" s="3216"/>
      <c r="K22" s="2641"/>
      <c r="L22" s="2641"/>
      <c r="P22" s="3219"/>
      <c r="Q22" s="3224"/>
      <c r="R22" s="3225"/>
      <c r="S22" s="2358"/>
    </row>
    <row r="23" spans="1:19" ht="19.5" customHeight="1" x14ac:dyDescent="0.25">
      <c r="A23" s="4305"/>
      <c r="B23" s="1461" t="s">
        <v>285</v>
      </c>
      <c r="C23" s="2447">
        <v>106205033</v>
      </c>
      <c r="D23" s="2132" t="s">
        <v>2323</v>
      </c>
      <c r="E23" s="2143" t="s">
        <v>2324</v>
      </c>
      <c r="F23" s="2447"/>
      <c r="G23" s="2449">
        <v>1</v>
      </c>
      <c r="H23" s="2447">
        <v>1</v>
      </c>
      <c r="I23" s="3148"/>
      <c r="J23" s="1574"/>
      <c r="N23" s="3391"/>
      <c r="P23" s="3219"/>
      <c r="Q23" s="3224"/>
      <c r="R23" s="3225"/>
      <c r="S23" s="2358"/>
    </row>
    <row r="24" spans="1:19" ht="19.5" customHeight="1" x14ac:dyDescent="0.25">
      <c r="A24" s="4305"/>
      <c r="B24" s="2878" t="s">
        <v>341</v>
      </c>
      <c r="C24" s="2763">
        <v>106113993</v>
      </c>
      <c r="D24" s="3056" t="s">
        <v>2315</v>
      </c>
      <c r="E24" s="3057" t="s">
        <v>2316</v>
      </c>
      <c r="F24" s="2763"/>
      <c r="G24" s="2729">
        <v>1</v>
      </c>
      <c r="H24" s="2763"/>
      <c r="I24" s="3149"/>
      <c r="J24" s="1574"/>
      <c r="N24" s="3391"/>
      <c r="P24" s="3219"/>
      <c r="Q24" s="3224"/>
      <c r="R24" s="3225"/>
      <c r="S24" s="2358"/>
    </row>
    <row r="25" spans="1:19" ht="19.5" customHeight="1" thickBot="1" x14ac:dyDescent="0.3">
      <c r="A25" s="4306"/>
      <c r="B25" s="3150" t="s">
        <v>2895</v>
      </c>
      <c r="C25" s="2484">
        <v>106108526</v>
      </c>
      <c r="D25" s="2129" t="s">
        <v>2971</v>
      </c>
      <c r="E25" s="2137" t="s">
        <v>2972</v>
      </c>
      <c r="F25" s="2484"/>
      <c r="G25" s="2394">
        <v>4</v>
      </c>
      <c r="H25" s="2484">
        <v>9</v>
      </c>
      <c r="I25" s="3073"/>
      <c r="J25" s="794"/>
      <c r="N25" s="3391"/>
      <c r="P25" s="3219"/>
      <c r="Q25" s="3224"/>
      <c r="R25" s="3225"/>
      <c r="S25" s="3226"/>
    </row>
    <row r="26" spans="1:19" ht="19.5" customHeight="1" thickBot="1" x14ac:dyDescent="0.3">
      <c r="A26" s="4295" t="s">
        <v>3070</v>
      </c>
      <c r="B26" s="3102" t="s">
        <v>2930</v>
      </c>
      <c r="C26" s="2868">
        <v>106122954</v>
      </c>
      <c r="D26" s="2133" t="s">
        <v>2773</v>
      </c>
      <c r="E26" s="2146" t="s">
        <v>2774</v>
      </c>
      <c r="F26" s="2868">
        <v>3</v>
      </c>
      <c r="G26" s="3060"/>
      <c r="H26" s="2868"/>
      <c r="I26" s="3103"/>
      <c r="J26" s="3216"/>
      <c r="K26" s="2641"/>
      <c r="L26" s="2641"/>
      <c r="P26" s="3219"/>
      <c r="Q26" s="3224"/>
      <c r="R26" s="3225"/>
      <c r="S26" s="2358"/>
    </row>
    <row r="27" spans="1:19" s="1360" customFormat="1" ht="19.5" customHeight="1" x14ac:dyDescent="0.25">
      <c r="A27" s="4296"/>
      <c r="B27" s="4232" t="s">
        <v>3029</v>
      </c>
      <c r="C27" s="2718">
        <v>106205211</v>
      </c>
      <c r="D27" s="1411" t="s">
        <v>2973</v>
      </c>
      <c r="E27" s="1441" t="s">
        <v>2974</v>
      </c>
      <c r="F27" s="2447">
        <v>3</v>
      </c>
      <c r="G27" s="2721"/>
      <c r="H27" s="2447"/>
      <c r="I27" s="3101"/>
      <c r="J27" s="3267"/>
      <c r="K27" s="224"/>
      <c r="L27" s="2488"/>
      <c r="M27" s="224"/>
      <c r="N27" s="224"/>
      <c r="P27" s="3219"/>
      <c r="Q27" s="3224"/>
      <c r="R27" s="3225"/>
      <c r="S27" s="2358"/>
    </row>
    <row r="28" spans="1:19" s="1360" customFormat="1" ht="19.5" customHeight="1" thickBot="1" x14ac:dyDescent="0.3">
      <c r="A28" s="4296"/>
      <c r="B28" s="4234"/>
      <c r="C28" s="3090">
        <v>106204234</v>
      </c>
      <c r="D28" s="2112" t="s">
        <v>1608</v>
      </c>
      <c r="E28" s="2615" t="s">
        <v>1609</v>
      </c>
      <c r="F28" s="2484">
        <v>3</v>
      </c>
      <c r="G28" s="2489"/>
      <c r="H28" s="2484" t="s">
        <v>649</v>
      </c>
      <c r="I28" s="3272"/>
      <c r="J28" s="3267"/>
      <c r="K28" s="224"/>
      <c r="L28" s="2488"/>
      <c r="M28" s="224"/>
      <c r="N28" s="224"/>
      <c r="P28" s="3219"/>
      <c r="Q28" s="3224"/>
      <c r="R28" s="3225"/>
      <c r="S28" s="2358"/>
    </row>
    <row r="29" spans="1:19" ht="19.5" customHeight="1" x14ac:dyDescent="0.25">
      <c r="A29" s="4296"/>
      <c r="B29" s="3268" t="s">
        <v>2896</v>
      </c>
      <c r="C29" s="2496">
        <v>106205209</v>
      </c>
      <c r="D29" s="3269" t="s">
        <v>1615</v>
      </c>
      <c r="E29" s="3270" t="s">
        <v>1616</v>
      </c>
      <c r="F29" s="2496">
        <v>1</v>
      </c>
      <c r="G29" s="2469"/>
      <c r="H29" s="2496">
        <v>1</v>
      </c>
      <c r="I29" s="3271"/>
      <c r="J29" s="1574"/>
      <c r="N29" s="3391"/>
      <c r="P29" s="3219"/>
      <c r="Q29" s="3224"/>
      <c r="R29" s="3225"/>
      <c r="S29" s="2358"/>
    </row>
    <row r="30" spans="1:19" ht="19.5" customHeight="1" x14ac:dyDescent="0.25">
      <c r="A30" s="4296"/>
      <c r="B30" s="2878" t="s">
        <v>2897</v>
      </c>
      <c r="C30" s="2763">
        <v>106118326</v>
      </c>
      <c r="D30" s="3056" t="s">
        <v>2313</v>
      </c>
      <c r="E30" s="3057" t="s">
        <v>2314</v>
      </c>
      <c r="F30" s="2763">
        <v>1</v>
      </c>
      <c r="G30" s="2729"/>
      <c r="H30" s="2763"/>
      <c r="I30" s="3149"/>
      <c r="J30" s="1574"/>
      <c r="N30" s="3391"/>
      <c r="P30" s="3219"/>
      <c r="Q30" s="3224"/>
      <c r="R30" s="3225"/>
      <c r="S30" s="2358"/>
    </row>
    <row r="31" spans="1:19" ht="19.5" customHeight="1" thickBot="1" x14ac:dyDescent="0.3">
      <c r="A31" s="4296"/>
      <c r="B31" s="3150" t="s">
        <v>3056</v>
      </c>
      <c r="C31" s="3090">
        <v>106122008</v>
      </c>
      <c r="D31" s="2129" t="s">
        <v>2934</v>
      </c>
      <c r="E31" s="2137" t="s">
        <v>2935</v>
      </c>
      <c r="F31" s="2484">
        <v>3</v>
      </c>
      <c r="G31" s="2394"/>
      <c r="H31" s="2484" t="s">
        <v>649</v>
      </c>
      <c r="I31" s="3073"/>
      <c r="J31" s="1549"/>
      <c r="K31" s="3091"/>
      <c r="N31" s="3391"/>
    </row>
    <row r="32" spans="1:19" ht="24" customHeight="1" x14ac:dyDescent="0.25">
      <c r="A32" s="4296"/>
      <c r="B32" s="3387" t="s">
        <v>2898</v>
      </c>
      <c r="C32" s="2496">
        <v>106122352</v>
      </c>
      <c r="D32" s="3072" t="s">
        <v>2954</v>
      </c>
      <c r="E32" s="2108" t="s">
        <v>2955</v>
      </c>
      <c r="F32" s="2469">
        <v>1</v>
      </c>
      <c r="G32" s="2469"/>
      <c r="H32" s="2473">
        <v>4</v>
      </c>
      <c r="I32" s="2474"/>
      <c r="J32" s="3216"/>
      <c r="K32" s="2641"/>
      <c r="L32" s="2641"/>
    </row>
    <row r="33" spans="1:21" ht="19.5" customHeight="1" thickBot="1" x14ac:dyDescent="0.3">
      <c r="A33" s="4296"/>
      <c r="B33" s="3495" t="s">
        <v>3126</v>
      </c>
      <c r="C33" s="3090">
        <v>106206368</v>
      </c>
      <c r="D33" s="3105" t="s">
        <v>2906</v>
      </c>
      <c r="E33" s="2403" t="s">
        <v>2956</v>
      </c>
      <c r="F33" s="2477">
        <v>1</v>
      </c>
      <c r="G33" s="2477"/>
      <c r="H33" s="2404">
        <v>4</v>
      </c>
      <c r="I33" s="2479"/>
      <c r="J33" s="1574"/>
      <c r="N33" s="3391"/>
    </row>
    <row r="34" spans="1:21" s="2227" customFormat="1" ht="19.5" customHeight="1" x14ac:dyDescent="0.25">
      <c r="A34" s="4296"/>
      <c r="B34" s="3162" t="s">
        <v>2931</v>
      </c>
      <c r="C34" s="2447">
        <v>106206106</v>
      </c>
      <c r="D34" s="2448" t="s">
        <v>1951</v>
      </c>
      <c r="E34" s="1441" t="s">
        <v>576</v>
      </c>
      <c r="F34" s="2721"/>
      <c r="G34" s="2721">
        <v>1</v>
      </c>
      <c r="H34" s="2605"/>
      <c r="I34" s="2719"/>
      <c r="K34" s="751"/>
      <c r="M34" s="751"/>
      <c r="N34" s="751"/>
    </row>
    <row r="35" spans="1:21" s="1574" customFormat="1" ht="19.5" customHeight="1" x14ac:dyDescent="0.25">
      <c r="A35" s="4296"/>
      <c r="B35" s="2497" t="s">
        <v>204</v>
      </c>
      <c r="C35" s="2763">
        <v>106110898</v>
      </c>
      <c r="D35" s="2748" t="s">
        <v>1836</v>
      </c>
      <c r="E35" s="2749" t="s">
        <v>575</v>
      </c>
      <c r="F35" s="2729">
        <v>1</v>
      </c>
      <c r="G35" s="2729"/>
      <c r="H35" s="2731"/>
      <c r="I35" s="2452"/>
      <c r="K35" s="751"/>
      <c r="M35" s="3215"/>
      <c r="N35" s="3215"/>
    </row>
    <row r="36" spans="1:21" s="1574" customFormat="1" ht="19.5" customHeight="1" thickBot="1" x14ac:dyDescent="0.3">
      <c r="A36" s="4296"/>
      <c r="B36" s="3174" t="s">
        <v>1593</v>
      </c>
      <c r="C36" s="2763">
        <v>106101089</v>
      </c>
      <c r="D36" s="2724" t="s">
        <v>1594</v>
      </c>
      <c r="E36" s="2749" t="s">
        <v>1595</v>
      </c>
      <c r="F36" s="2729"/>
      <c r="G36" s="2729"/>
      <c r="H36" s="2731">
        <v>5</v>
      </c>
      <c r="I36" s="2452"/>
      <c r="K36" s="751"/>
      <c r="M36" s="3215"/>
      <c r="N36" s="3215"/>
    </row>
    <row r="37" spans="1:21" ht="19.5" customHeight="1" x14ac:dyDescent="0.25">
      <c r="A37" s="4296"/>
      <c r="B37" s="3165" t="s">
        <v>3350</v>
      </c>
      <c r="C37" s="2496">
        <v>106206886</v>
      </c>
      <c r="D37" s="2448" t="s">
        <v>3352</v>
      </c>
      <c r="E37" s="1397" t="s">
        <v>3353</v>
      </c>
      <c r="F37" s="2469"/>
      <c r="G37" s="2469">
        <v>1</v>
      </c>
      <c r="H37" s="2473"/>
      <c r="I37" s="2474"/>
      <c r="J37" s="1574"/>
      <c r="O37" s="1574"/>
      <c r="P37" s="1574"/>
      <c r="Q37" s="1574"/>
      <c r="R37" s="1574"/>
      <c r="S37" s="1574"/>
      <c r="T37" s="1574"/>
      <c r="U37" s="1574"/>
    </row>
    <row r="38" spans="1:21" s="1574" customFormat="1" ht="19.5" customHeight="1" thickBot="1" x14ac:dyDescent="0.3">
      <c r="A38" s="4297"/>
      <c r="B38" s="3009"/>
      <c r="C38" s="2945" t="s">
        <v>1500</v>
      </c>
      <c r="D38" s="3105" t="s">
        <v>1149</v>
      </c>
      <c r="E38" s="3106" t="s">
        <v>1149</v>
      </c>
      <c r="F38" s="2945">
        <v>1</v>
      </c>
      <c r="G38" s="2404"/>
      <c r="H38" s="2404">
        <v>8</v>
      </c>
      <c r="I38" s="2479"/>
      <c r="K38" s="751"/>
      <c r="M38" s="3215"/>
      <c r="N38" s="3215"/>
    </row>
    <row r="39" spans="1:21" s="1574" customFormat="1" ht="19.5" customHeight="1" x14ac:dyDescent="0.25">
      <c r="A39" s="4308" t="s">
        <v>3069</v>
      </c>
      <c r="B39" s="3162" t="s">
        <v>3063</v>
      </c>
      <c r="C39" s="2447">
        <v>106206422</v>
      </c>
      <c r="D39" s="2448" t="s">
        <v>3073</v>
      </c>
      <c r="E39" s="1441" t="s">
        <v>3078</v>
      </c>
      <c r="F39" s="2449">
        <v>1</v>
      </c>
      <c r="G39" s="2449"/>
      <c r="H39" s="2397">
        <v>3</v>
      </c>
      <c r="I39" s="2398"/>
      <c r="K39" s="751"/>
      <c r="M39" s="3215"/>
      <c r="N39" s="3215"/>
    </row>
    <row r="40" spans="1:21" s="1574" customFormat="1" ht="19.5" customHeight="1" x14ac:dyDescent="0.25">
      <c r="A40" s="4309"/>
      <c r="B40" s="2497" t="s">
        <v>3064</v>
      </c>
      <c r="C40" s="2763">
        <v>106206423</v>
      </c>
      <c r="D40" s="2724" t="s">
        <v>3074</v>
      </c>
      <c r="E40" s="2831" t="s">
        <v>3079</v>
      </c>
      <c r="F40" s="2729">
        <v>1</v>
      </c>
      <c r="G40" s="2729"/>
      <c r="H40" s="2731">
        <v>3</v>
      </c>
      <c r="I40" s="2452"/>
      <c r="K40" s="751"/>
      <c r="M40" s="3215"/>
      <c r="N40" s="3215"/>
    </row>
    <row r="41" spans="1:21" s="1574" customFormat="1" ht="19.5" customHeight="1" x14ac:dyDescent="0.25">
      <c r="A41" s="4309"/>
      <c r="B41" s="2497" t="s">
        <v>3065</v>
      </c>
      <c r="C41" s="2763">
        <v>106206424</v>
      </c>
      <c r="D41" s="2724" t="s">
        <v>3075</v>
      </c>
      <c r="E41" s="2831" t="s">
        <v>3080</v>
      </c>
      <c r="F41" s="2729">
        <v>1</v>
      </c>
      <c r="G41" s="2729"/>
      <c r="H41" s="2731">
        <v>3</v>
      </c>
      <c r="I41" s="2452"/>
      <c r="K41" s="751"/>
      <c r="M41" s="3215"/>
      <c r="N41" s="3215"/>
    </row>
    <row r="42" spans="1:21" s="1574" customFormat="1" ht="19.5" customHeight="1" x14ac:dyDescent="0.25">
      <c r="A42" s="4309"/>
      <c r="B42" s="2497" t="s">
        <v>3066</v>
      </c>
      <c r="C42" s="2763">
        <v>106206425</v>
      </c>
      <c r="D42" s="2724" t="s">
        <v>3076</v>
      </c>
      <c r="E42" s="2831" t="s">
        <v>3081</v>
      </c>
      <c r="F42" s="2729">
        <v>1</v>
      </c>
      <c r="G42" s="2729"/>
      <c r="H42" s="2731">
        <v>3</v>
      </c>
      <c r="I42" s="2452"/>
      <c r="K42" s="751"/>
      <c r="M42" s="3215"/>
      <c r="N42" s="3215"/>
    </row>
    <row r="43" spans="1:21" ht="19.5" customHeight="1" thickBot="1" x14ac:dyDescent="0.3">
      <c r="A43" s="4310"/>
      <c r="B43" s="3172" t="s">
        <v>3067</v>
      </c>
      <c r="C43" s="2946">
        <v>106206421</v>
      </c>
      <c r="D43" s="2454" t="s">
        <v>3077</v>
      </c>
      <c r="E43" s="2615" t="s">
        <v>3082</v>
      </c>
      <c r="F43" s="2394">
        <v>1</v>
      </c>
      <c r="G43" s="2394"/>
      <c r="H43" s="2453">
        <v>3</v>
      </c>
      <c r="I43" s="2595"/>
      <c r="J43" s="1574"/>
    </row>
    <row r="44" spans="1:21" ht="19.5" customHeight="1" x14ac:dyDescent="0.25">
      <c r="A44" s="4295" t="s">
        <v>3068</v>
      </c>
      <c r="B44" s="3173" t="s">
        <v>71</v>
      </c>
      <c r="C44" s="2496">
        <v>106206386</v>
      </c>
      <c r="D44" s="2130" t="s">
        <v>2922</v>
      </c>
      <c r="E44" s="2139" t="s">
        <v>2923</v>
      </c>
      <c r="F44" s="2469"/>
      <c r="G44" s="2469">
        <v>1</v>
      </c>
      <c r="H44" s="2473">
        <v>1</v>
      </c>
      <c r="I44" s="2474"/>
      <c r="J44" s="1574"/>
    </row>
    <row r="45" spans="1:21" ht="19.5" customHeight="1" x14ac:dyDescent="0.25">
      <c r="A45" s="4296"/>
      <c r="B45" s="3174" t="s">
        <v>1593</v>
      </c>
      <c r="C45" s="2763">
        <v>106101089</v>
      </c>
      <c r="D45" s="2724" t="s">
        <v>1594</v>
      </c>
      <c r="E45" s="2749" t="s">
        <v>1595</v>
      </c>
      <c r="F45" s="2729"/>
      <c r="G45" s="2729">
        <v>1</v>
      </c>
      <c r="H45" s="3144"/>
      <c r="I45" s="2452"/>
      <c r="J45" s="1574"/>
    </row>
    <row r="46" spans="1:21" ht="19.5" customHeight="1" x14ac:dyDescent="0.25">
      <c r="A46" s="4296"/>
      <c r="B46" s="3174" t="s">
        <v>2898</v>
      </c>
      <c r="C46" s="2763">
        <v>106122352</v>
      </c>
      <c r="D46" s="2724" t="s">
        <v>2954</v>
      </c>
      <c r="E46" s="2749" t="s">
        <v>2955</v>
      </c>
      <c r="F46" s="2729"/>
      <c r="G46" s="2729">
        <v>1</v>
      </c>
      <c r="H46" s="2731"/>
      <c r="I46" s="2452"/>
      <c r="J46" s="3216"/>
      <c r="K46" s="2641"/>
      <c r="L46" s="2641"/>
    </row>
    <row r="47" spans="1:21" ht="19.5" customHeight="1" x14ac:dyDescent="0.25">
      <c r="A47" s="4296"/>
      <c r="B47" s="3174" t="s">
        <v>21</v>
      </c>
      <c r="C47" s="2763">
        <v>106101050</v>
      </c>
      <c r="D47" s="3056" t="s">
        <v>2924</v>
      </c>
      <c r="E47" s="3057" t="s">
        <v>2925</v>
      </c>
      <c r="F47" s="2729"/>
      <c r="G47" s="2729">
        <v>1</v>
      </c>
      <c r="H47" s="3144"/>
      <c r="I47" s="2452"/>
      <c r="J47" s="1574"/>
    </row>
    <row r="48" spans="1:21" ht="19.5" customHeight="1" x14ac:dyDescent="0.25">
      <c r="A48" s="4296"/>
      <c r="B48" s="3174" t="s">
        <v>1143</v>
      </c>
      <c r="C48" s="2763">
        <v>106122942</v>
      </c>
      <c r="D48" s="3056" t="s">
        <v>2899</v>
      </c>
      <c r="E48" s="3057" t="s">
        <v>2900</v>
      </c>
      <c r="F48" s="2729"/>
      <c r="G48" s="2729">
        <v>3</v>
      </c>
      <c r="H48" s="3144"/>
      <c r="I48" s="2452"/>
      <c r="J48" s="794"/>
    </row>
    <row r="49" spans="1:19" s="1360" customFormat="1" ht="19.5" customHeight="1" x14ac:dyDescent="0.25">
      <c r="A49" s="4296"/>
      <c r="B49" s="3145" t="s">
        <v>2901</v>
      </c>
      <c r="C49" s="2763">
        <v>106116452</v>
      </c>
      <c r="D49" s="2724" t="s">
        <v>2814</v>
      </c>
      <c r="E49" s="2733" t="s">
        <v>2813</v>
      </c>
      <c r="F49" s="3176"/>
      <c r="G49" s="3143">
        <v>1</v>
      </c>
      <c r="H49" s="2763" t="s">
        <v>649</v>
      </c>
      <c r="I49" s="3179"/>
      <c r="J49" s="2488"/>
      <c r="K49" s="224"/>
      <c r="L49" s="2488"/>
      <c r="M49" s="224"/>
      <c r="N49" s="224"/>
    </row>
    <row r="50" spans="1:19" ht="19.5" customHeight="1" x14ac:dyDescent="0.25">
      <c r="A50" s="4296"/>
      <c r="B50" s="3145" t="s">
        <v>2902</v>
      </c>
      <c r="C50" s="2763">
        <v>106104448</v>
      </c>
      <c r="D50" s="2724" t="s">
        <v>2936</v>
      </c>
      <c r="E50" s="2733" t="s">
        <v>2937</v>
      </c>
      <c r="F50" s="3177"/>
      <c r="G50" s="3178">
        <v>1</v>
      </c>
      <c r="H50" s="3176"/>
      <c r="I50" s="3180"/>
      <c r="J50" s="3216"/>
      <c r="K50" s="2641"/>
      <c r="L50" s="2641"/>
    </row>
    <row r="51" spans="1:19" ht="19.5" customHeight="1" x14ac:dyDescent="0.25">
      <c r="A51" s="4296"/>
      <c r="B51" s="3394" t="s">
        <v>285</v>
      </c>
      <c r="C51" s="2763">
        <v>106206656</v>
      </c>
      <c r="D51" s="3056" t="s">
        <v>3057</v>
      </c>
      <c r="E51" s="2733" t="s">
        <v>3058</v>
      </c>
      <c r="F51" s="3395"/>
      <c r="G51" s="3396">
        <v>1</v>
      </c>
      <c r="H51" s="2763">
        <v>1.6</v>
      </c>
      <c r="I51" s="3397"/>
      <c r="J51" s="3216"/>
      <c r="K51" s="2641"/>
      <c r="L51" s="2641"/>
    </row>
    <row r="52" spans="1:19" ht="19.5" customHeight="1" x14ac:dyDescent="0.25">
      <c r="A52" s="4296"/>
      <c r="B52" s="2878" t="s">
        <v>341</v>
      </c>
      <c r="C52" s="2763">
        <v>106120234</v>
      </c>
      <c r="D52" s="3056" t="s">
        <v>3193</v>
      </c>
      <c r="E52" s="3057" t="s">
        <v>3194</v>
      </c>
      <c r="F52" s="2763"/>
      <c r="G52" s="2729">
        <v>1</v>
      </c>
      <c r="H52" s="2763">
        <v>6</v>
      </c>
      <c r="I52" s="3149"/>
      <c r="J52" s="1574"/>
      <c r="N52" s="3573"/>
      <c r="P52" s="3219"/>
      <c r="Q52" s="3224"/>
      <c r="R52" s="3225"/>
      <c r="S52" s="2358"/>
    </row>
    <row r="53" spans="1:19" ht="19.5" customHeight="1" thickBot="1" x14ac:dyDescent="0.3">
      <c r="A53" s="4297"/>
      <c r="B53" s="3181" t="s">
        <v>2283</v>
      </c>
      <c r="C53" s="2484">
        <v>106206387</v>
      </c>
      <c r="D53" s="2129" t="s">
        <v>2926</v>
      </c>
      <c r="E53" s="2137" t="s">
        <v>2927</v>
      </c>
      <c r="F53" s="3182"/>
      <c r="G53" s="3183">
        <v>1</v>
      </c>
      <c r="H53" s="3183">
        <v>1</v>
      </c>
      <c r="I53" s="3184"/>
      <c r="J53" s="1574"/>
      <c r="N53" s="3391"/>
    </row>
    <row r="54" spans="1:19" ht="19.5" customHeight="1" x14ac:dyDescent="0.25">
      <c r="D54" s="3410"/>
      <c r="E54" s="3234"/>
    </row>
    <row r="55" spans="1:19" ht="19.5" customHeight="1" x14ac:dyDescent="0.25">
      <c r="K55" s="2898"/>
    </row>
    <row r="56" spans="1:19" s="1574" customFormat="1" ht="19.5" customHeight="1" thickBot="1" x14ac:dyDescent="0.3">
      <c r="A56" s="1573" t="s">
        <v>1287</v>
      </c>
      <c r="B56" s="2179"/>
      <c r="C56" s="1573"/>
      <c r="D56" s="1575"/>
      <c r="E56" s="1573"/>
      <c r="F56" s="3076"/>
      <c r="G56" s="1573"/>
      <c r="H56" s="1573"/>
      <c r="I56" s="1573"/>
      <c r="K56" s="751"/>
      <c r="M56" s="3215"/>
      <c r="N56" s="3215"/>
    </row>
    <row r="57" spans="1:19" s="1574" customFormat="1" ht="15" customHeight="1" x14ac:dyDescent="0.25">
      <c r="A57" s="4311" t="s">
        <v>1291</v>
      </c>
      <c r="B57" s="4312"/>
      <c r="C57" s="4312"/>
      <c r="D57" s="4312"/>
      <c r="E57" s="4312"/>
      <c r="F57" s="4312"/>
      <c r="G57" s="4312"/>
      <c r="H57" s="4312"/>
      <c r="I57" s="4313"/>
      <c r="J57" s="751"/>
      <c r="L57" s="3024"/>
      <c r="M57" s="3215"/>
    </row>
    <row r="58" spans="1:19" ht="15" customHeight="1" x14ac:dyDescent="0.25">
      <c r="A58" s="4269" t="s">
        <v>1292</v>
      </c>
      <c r="B58" s="4270"/>
      <c r="C58" s="4270"/>
      <c r="D58" s="4270"/>
      <c r="E58" s="4270"/>
      <c r="F58" s="4270"/>
      <c r="G58" s="4270"/>
      <c r="H58" s="4270"/>
      <c r="I58" s="4271"/>
      <c r="N58" s="3391"/>
    </row>
    <row r="59" spans="1:19" ht="15" customHeight="1" x14ac:dyDescent="0.25">
      <c r="A59" s="4269" t="s">
        <v>1293</v>
      </c>
      <c r="B59" s="4270"/>
      <c r="C59" s="4270"/>
      <c r="D59" s="4270"/>
      <c r="E59" s="4270"/>
      <c r="F59" s="4270"/>
      <c r="G59" s="4270"/>
      <c r="H59" s="4270"/>
      <c r="I59" s="4271"/>
      <c r="N59" s="3391"/>
    </row>
    <row r="60" spans="1:19" s="1360" customFormat="1" ht="30" customHeight="1" x14ac:dyDescent="0.25">
      <c r="A60" s="4269" t="s">
        <v>2503</v>
      </c>
      <c r="B60" s="4270"/>
      <c r="C60" s="4270"/>
      <c r="D60" s="4270"/>
      <c r="E60" s="4270"/>
      <c r="F60" s="4270"/>
      <c r="G60" s="4270"/>
      <c r="H60" s="4270"/>
      <c r="I60" s="4271"/>
      <c r="J60" s="4314"/>
      <c r="K60" s="751"/>
      <c r="L60" s="2488"/>
      <c r="M60" s="3215"/>
      <c r="N60" s="224"/>
    </row>
    <row r="61" spans="1:19" s="1360" customFormat="1" ht="30" customHeight="1" x14ac:dyDescent="0.25">
      <c r="A61" s="4269" t="s">
        <v>2903</v>
      </c>
      <c r="B61" s="4270"/>
      <c r="C61" s="4270"/>
      <c r="D61" s="4270"/>
      <c r="E61" s="4270"/>
      <c r="F61" s="4270"/>
      <c r="G61" s="4270"/>
      <c r="H61" s="4270"/>
      <c r="I61" s="4271"/>
      <c r="J61" s="4314"/>
      <c r="K61" s="751"/>
      <c r="L61" s="2488"/>
      <c r="M61" s="3215"/>
      <c r="N61" s="224"/>
    </row>
    <row r="62" spans="1:19" s="1360" customFormat="1" ht="15" customHeight="1" x14ac:dyDescent="0.25">
      <c r="A62" s="4269" t="s">
        <v>3195</v>
      </c>
      <c r="B62" s="4270"/>
      <c r="C62" s="4270"/>
      <c r="D62" s="4270"/>
      <c r="E62" s="4270"/>
      <c r="F62" s="4270"/>
      <c r="G62" s="4270"/>
      <c r="H62" s="4270"/>
      <c r="I62" s="4271"/>
      <c r="J62" s="3388"/>
      <c r="K62" s="751"/>
      <c r="L62" s="2488"/>
      <c r="M62" s="3215"/>
      <c r="N62" s="224"/>
    </row>
    <row r="63" spans="1:19" s="1360" customFormat="1" ht="15" customHeight="1" x14ac:dyDescent="0.25">
      <c r="A63" s="4269" t="s">
        <v>2928</v>
      </c>
      <c r="B63" s="4270"/>
      <c r="C63" s="4270"/>
      <c r="D63" s="4270"/>
      <c r="E63" s="4270"/>
      <c r="F63" s="4270"/>
      <c r="G63" s="4270"/>
      <c r="H63" s="4270"/>
      <c r="I63" s="4271"/>
      <c r="J63" s="3388"/>
      <c r="K63" s="751"/>
      <c r="L63" s="2488"/>
      <c r="M63" s="3215"/>
      <c r="N63" s="224"/>
    </row>
    <row r="64" spans="1:19" s="1360" customFormat="1" ht="15" customHeight="1" x14ac:dyDescent="0.25">
      <c r="A64" s="4269" t="s">
        <v>2929</v>
      </c>
      <c r="B64" s="4270"/>
      <c r="C64" s="4270"/>
      <c r="D64" s="4270"/>
      <c r="E64" s="4270"/>
      <c r="F64" s="4270"/>
      <c r="G64" s="4270"/>
      <c r="H64" s="4270"/>
      <c r="I64" s="4271"/>
      <c r="J64" s="3388"/>
      <c r="K64" s="751"/>
      <c r="L64" s="2488"/>
      <c r="M64" s="3215"/>
      <c r="N64" s="224"/>
    </row>
    <row r="65" spans="1:14" s="1360" customFormat="1" ht="15" customHeight="1" x14ac:dyDescent="0.25">
      <c r="A65" s="4269" t="s">
        <v>2961</v>
      </c>
      <c r="B65" s="4270"/>
      <c r="C65" s="4270"/>
      <c r="D65" s="4270"/>
      <c r="E65" s="4270"/>
      <c r="F65" s="4270"/>
      <c r="G65" s="4270"/>
      <c r="H65" s="4270"/>
      <c r="I65" s="4271"/>
      <c r="J65" s="3388"/>
      <c r="K65" s="751"/>
      <c r="L65" s="2488"/>
      <c r="M65" s="3215"/>
      <c r="N65" s="224"/>
    </row>
    <row r="66" spans="1:14" ht="15" customHeight="1" x14ac:dyDescent="0.25">
      <c r="A66" s="4269" t="s">
        <v>2500</v>
      </c>
      <c r="B66" s="4270"/>
      <c r="C66" s="4270"/>
      <c r="D66" s="4270"/>
      <c r="E66" s="4270"/>
      <c r="F66" s="4270"/>
      <c r="G66" s="4270"/>
      <c r="H66" s="4270"/>
      <c r="I66" s="4271"/>
    </row>
    <row r="67" spans="1:14" ht="15" customHeight="1" x14ac:dyDescent="0.25">
      <c r="A67" s="4269" t="s">
        <v>2501</v>
      </c>
      <c r="B67" s="4270"/>
      <c r="C67" s="4270"/>
      <c r="D67" s="4270"/>
      <c r="E67" s="4270"/>
      <c r="F67" s="4270"/>
      <c r="G67" s="4270"/>
      <c r="H67" s="4270"/>
      <c r="I67" s="4271"/>
    </row>
    <row r="68" spans="1:14" ht="15" customHeight="1" thickBot="1" x14ac:dyDescent="0.3">
      <c r="A68" s="4272" t="s">
        <v>2502</v>
      </c>
      <c r="B68" s="4273"/>
      <c r="C68" s="4273"/>
      <c r="D68" s="4273"/>
      <c r="E68" s="4273"/>
      <c r="F68" s="4273"/>
      <c r="G68" s="4273"/>
      <c r="H68" s="4273"/>
      <c r="I68" s="4274"/>
      <c r="N68" s="3391"/>
    </row>
    <row r="69" spans="1:14" ht="15.75" customHeight="1" x14ac:dyDescent="0.25">
      <c r="J69" s="1345"/>
      <c r="K69" s="2511"/>
      <c r="L69" s="3386"/>
    </row>
    <row r="70" spans="1:14" x14ac:dyDescent="0.25">
      <c r="J70" s="1345"/>
      <c r="K70" s="2511"/>
      <c r="L70" s="3386"/>
    </row>
  </sheetData>
  <mergeCells count="22">
    <mergeCell ref="A66:I66"/>
    <mergeCell ref="A67:I67"/>
    <mergeCell ref="A68:I68"/>
    <mergeCell ref="J60:J61"/>
    <mergeCell ref="A61:I61"/>
    <mergeCell ref="A62:I62"/>
    <mergeCell ref="A63:I63"/>
    <mergeCell ref="A64:I64"/>
    <mergeCell ref="A65:I65"/>
    <mergeCell ref="A60:I60"/>
    <mergeCell ref="A39:A43"/>
    <mergeCell ref="A44:A53"/>
    <mergeCell ref="A57:I57"/>
    <mergeCell ref="A58:I58"/>
    <mergeCell ref="A59:I59"/>
    <mergeCell ref="A26:A38"/>
    <mergeCell ref="B27:B28"/>
    <mergeCell ref="G2:I2"/>
    <mergeCell ref="A4:A19"/>
    <mergeCell ref="B4:B8"/>
    <mergeCell ref="A20:A25"/>
    <mergeCell ref="B20:B22"/>
  </mergeCells>
  <pageMargins left="0.70866141732283472" right="0.70866141732283472" top="0.74803149606299213" bottom="0.74803149606299213" header="0.31496062992125984" footer="0.31496062992125984"/>
  <pageSetup paperSize="9" scale="45" orientation="portrait" horizontalDpi="200" verticalDpi="200"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68"/>
  <sheetViews>
    <sheetView topLeftCell="A5" zoomScale="80" zoomScaleNormal="80" zoomScaleSheetLayoutView="85" workbookViewId="0">
      <selection activeCell="C29" sqref="C29"/>
    </sheetView>
  </sheetViews>
  <sheetFormatPr baseColWidth="10" defaultRowHeight="15" x14ac:dyDescent="0.25"/>
  <cols>
    <col min="1" max="1" width="4.85546875" style="1342" customWidth="1"/>
    <col min="2" max="2" width="15.140625" style="1342" customWidth="1"/>
    <col min="3" max="3" width="11.85546875" style="1343" customWidth="1"/>
    <col min="4" max="4" width="56.42578125" style="2383" bestFit="1" customWidth="1"/>
    <col min="5" max="5" width="46.28515625" style="1342" customWidth="1"/>
    <col min="6" max="6" width="12.85546875" style="1342" customWidth="1"/>
    <col min="7" max="7" width="12.140625" style="1342" customWidth="1"/>
    <col min="8" max="8" width="8.42578125" style="1574" customWidth="1"/>
    <col min="9" max="9" width="4.7109375" style="1343" customWidth="1"/>
    <col min="10" max="10" width="7.7109375" style="1342" customWidth="1"/>
    <col min="11" max="11" width="10.140625" style="3236" customWidth="1"/>
    <col min="12" max="12" width="11.42578125" style="3215" customWidth="1"/>
    <col min="13" max="13" width="11.42578125" style="1574"/>
    <col min="14" max="14" width="16.5703125" style="1342" bestFit="1" customWidth="1"/>
    <col min="15" max="15" width="13.28515625" style="1342" customWidth="1"/>
    <col min="16" max="16" width="6.42578125" style="1342" customWidth="1"/>
    <col min="17" max="16384" width="11.42578125" style="1342"/>
  </cols>
  <sheetData>
    <row r="1" spans="1:17" ht="15.75" thickBot="1" x14ac:dyDescent="0.3">
      <c r="B1" s="1360" t="s">
        <v>3108</v>
      </c>
      <c r="K1" s="3203" t="s">
        <v>2949</v>
      </c>
      <c r="L1" s="3203" t="s">
        <v>2940</v>
      </c>
      <c r="M1" s="3111" t="s">
        <v>2609</v>
      </c>
      <c r="N1" s="3202" t="s">
        <v>2610</v>
      </c>
    </row>
    <row r="2" spans="1:17" ht="16.5" thickBot="1" x14ac:dyDescent="0.3">
      <c r="A2" s="1389" t="s">
        <v>2800</v>
      </c>
      <c r="B2" s="1384"/>
      <c r="C2" s="2390"/>
      <c r="D2" s="2380"/>
      <c r="E2" s="1384"/>
      <c r="F2" s="1384"/>
      <c r="G2" s="4289" t="s">
        <v>2806</v>
      </c>
      <c r="H2" s="4289"/>
      <c r="I2" s="4290"/>
      <c r="K2" s="3240" t="s">
        <v>2947</v>
      </c>
      <c r="L2" s="3240" t="s">
        <v>3027</v>
      </c>
      <c r="M2" s="3109">
        <v>4</v>
      </c>
      <c r="N2" s="3110">
        <v>12</v>
      </c>
    </row>
    <row r="3" spans="1:17" s="2383" customFormat="1" ht="30.75" thickBot="1" x14ac:dyDescent="0.3">
      <c r="A3" s="4315" t="s">
        <v>79</v>
      </c>
      <c r="B3" s="4316"/>
      <c r="C3" s="3200" t="s">
        <v>326</v>
      </c>
      <c r="D3" s="4317" t="s">
        <v>250</v>
      </c>
      <c r="E3" s="4318"/>
      <c r="F3" s="3200" t="s">
        <v>2481</v>
      </c>
      <c r="G3" s="3200" t="s">
        <v>2482</v>
      </c>
      <c r="H3" s="3200" t="s">
        <v>1281</v>
      </c>
      <c r="I3" s="3200" t="s">
        <v>1282</v>
      </c>
      <c r="J3" s="3237" t="s">
        <v>3360</v>
      </c>
      <c r="K3" s="3237" t="s">
        <v>3362</v>
      </c>
      <c r="L3" s="3242" t="s">
        <v>2449</v>
      </c>
      <c r="M3" s="3233" t="s">
        <v>959</v>
      </c>
      <c r="N3" s="3242" t="s">
        <v>2981</v>
      </c>
      <c r="O3" s="3242" t="s">
        <v>2980</v>
      </c>
    </row>
    <row r="4" spans="1:17" ht="19.5" customHeight="1" thickBot="1" x14ac:dyDescent="0.3">
      <c r="A4" s="4216" t="s">
        <v>2483</v>
      </c>
      <c r="B4" s="4319" t="s">
        <v>263</v>
      </c>
      <c r="C4" s="3227">
        <v>106204784</v>
      </c>
      <c r="D4" s="2744" t="s">
        <v>2938</v>
      </c>
      <c r="E4" s="2745" t="s">
        <v>2939</v>
      </c>
      <c r="F4" s="2829"/>
      <c r="G4" s="2829">
        <v>1</v>
      </c>
      <c r="H4" s="2980">
        <v>1</v>
      </c>
      <c r="I4" s="2395"/>
      <c r="J4" s="3238">
        <f>'Lista global'!P278</f>
        <v>1243.2249999999999</v>
      </c>
      <c r="K4" s="3238">
        <f>'Lista global'!Q278</f>
        <v>1046.9263157894738</v>
      </c>
      <c r="L4" s="3241">
        <v>1</v>
      </c>
      <c r="M4" s="3124">
        <f>$M$2*F4+G4</f>
        <v>1</v>
      </c>
      <c r="N4" s="3118">
        <f>IF(ROUNDDOWN(M4*$N$2/20,0)&lt;L4,L4,ROUNDDOWN(M4*$N$2/20,0))</f>
        <v>1</v>
      </c>
      <c r="O4" s="3128">
        <f t="shared" ref="O4:O45" si="0">N4*J4</f>
        <v>1243.2249999999999</v>
      </c>
      <c r="P4" s="1383" t="s">
        <v>2947</v>
      </c>
      <c r="Q4" s="1766" t="s">
        <v>2942</v>
      </c>
    </row>
    <row r="5" spans="1:17" ht="19.5" customHeight="1" x14ac:dyDescent="0.25">
      <c r="A5" s="4214"/>
      <c r="B5" s="4320"/>
      <c r="C5" s="3619">
        <v>106118132</v>
      </c>
      <c r="D5" s="3072" t="s">
        <v>2975</v>
      </c>
      <c r="E5" s="2108" t="s">
        <v>2976</v>
      </c>
      <c r="F5" s="2469"/>
      <c r="G5" s="2469">
        <v>1</v>
      </c>
      <c r="H5" s="2473"/>
      <c r="I5" s="2474"/>
      <c r="J5" s="3236"/>
      <c r="L5" s="2723" t="s">
        <v>0</v>
      </c>
      <c r="M5" s="3124">
        <f t="shared" ref="M5:M50" si="1">$M$2*F5+G5</f>
        <v>1</v>
      </c>
      <c r="N5" s="3255">
        <v>0</v>
      </c>
      <c r="O5" s="3368">
        <f t="shared" si="0"/>
        <v>0</v>
      </c>
      <c r="P5" s="1383" t="s">
        <v>2948</v>
      </c>
      <c r="Q5" s="1766" t="s">
        <v>2943</v>
      </c>
    </row>
    <row r="6" spans="1:17" ht="19.5" customHeight="1" x14ac:dyDescent="0.25">
      <c r="A6" s="4214"/>
      <c r="B6" s="4320"/>
      <c r="C6" s="3228">
        <v>106119671</v>
      </c>
      <c r="D6" s="3072" t="s">
        <v>2977</v>
      </c>
      <c r="E6" s="2108" t="s">
        <v>2978</v>
      </c>
      <c r="F6" s="2469"/>
      <c r="G6" s="2469">
        <v>1</v>
      </c>
      <c r="H6" s="2473"/>
      <c r="I6" s="2474"/>
      <c r="J6" s="3236"/>
      <c r="L6" s="2723" t="s">
        <v>0</v>
      </c>
      <c r="M6" s="84">
        <f t="shared" si="1"/>
        <v>1</v>
      </c>
      <c r="N6" s="3255">
        <v>0</v>
      </c>
      <c r="O6" s="3368">
        <f t="shared" si="0"/>
        <v>0</v>
      </c>
      <c r="Q6" s="1766" t="s">
        <v>3027</v>
      </c>
    </row>
    <row r="7" spans="1:17" ht="19.5" customHeight="1" x14ac:dyDescent="0.25">
      <c r="A7" s="4214"/>
      <c r="B7" s="4321"/>
      <c r="C7" s="3228">
        <v>106119673</v>
      </c>
      <c r="D7" s="2832" t="s">
        <v>2807</v>
      </c>
      <c r="E7" s="2749" t="s">
        <v>2808</v>
      </c>
      <c r="F7" s="2729"/>
      <c r="G7" s="2729">
        <v>1</v>
      </c>
      <c r="H7" s="2731"/>
      <c r="I7" s="2452"/>
      <c r="J7" s="3236"/>
      <c r="L7" s="2845" t="s">
        <v>0</v>
      </c>
      <c r="M7" s="84">
        <f t="shared" si="1"/>
        <v>1</v>
      </c>
      <c r="N7" s="3143">
        <v>0</v>
      </c>
      <c r="O7" s="3369">
        <f t="shared" si="0"/>
        <v>0</v>
      </c>
      <c r="Q7" s="1766" t="s">
        <v>2944</v>
      </c>
    </row>
    <row r="8" spans="1:17" ht="19.5" customHeight="1" thickBot="1" x14ac:dyDescent="0.3">
      <c r="A8" s="4214"/>
      <c r="B8" s="4321"/>
      <c r="C8" s="3228">
        <v>106120955</v>
      </c>
      <c r="D8" s="2100" t="s">
        <v>2809</v>
      </c>
      <c r="E8" s="2101" t="s">
        <v>2810</v>
      </c>
      <c r="F8" s="2729"/>
      <c r="G8" s="2729">
        <v>1</v>
      </c>
      <c r="H8" s="2731"/>
      <c r="I8" s="2452"/>
      <c r="J8" s="3236"/>
      <c r="L8" s="2845" t="s">
        <v>0</v>
      </c>
      <c r="M8" s="84">
        <f t="shared" si="1"/>
        <v>1</v>
      </c>
      <c r="N8" s="3143">
        <v>0</v>
      </c>
      <c r="O8" s="3369">
        <f t="shared" si="0"/>
        <v>0</v>
      </c>
      <c r="Q8" s="1766" t="s">
        <v>2945</v>
      </c>
    </row>
    <row r="9" spans="1:17" ht="19.5" customHeight="1" thickBot="1" x14ac:dyDescent="0.3">
      <c r="A9" s="4218"/>
      <c r="B9" s="2386" t="s">
        <v>261</v>
      </c>
      <c r="C9" s="2456">
        <v>106114701</v>
      </c>
      <c r="D9" s="2457" t="s">
        <v>1243</v>
      </c>
      <c r="E9" s="2458" t="s">
        <v>1244</v>
      </c>
      <c r="F9" s="2459">
        <v>1</v>
      </c>
      <c r="G9" s="2460"/>
      <c r="H9" s="2461" t="s">
        <v>649</v>
      </c>
      <c r="I9" s="2494"/>
      <c r="J9" s="3238">
        <f>'Lista global'!P146</f>
        <v>92.85</v>
      </c>
      <c r="K9" s="3238">
        <f>'Lista global'!Q146</f>
        <v>78.189473684210526</v>
      </c>
      <c r="L9" s="2755">
        <v>1</v>
      </c>
      <c r="M9" s="84">
        <f t="shared" si="1"/>
        <v>4</v>
      </c>
      <c r="N9" s="3194">
        <f>IF(ROUND(M9*$N$2/4,0)&lt;L9,L9,ROUND(M9*$N$2/4,0))</f>
        <v>12</v>
      </c>
      <c r="O9" s="3195">
        <f t="shared" si="0"/>
        <v>1114.1999999999998</v>
      </c>
      <c r="Q9" s="1766" t="s">
        <v>2946</v>
      </c>
    </row>
    <row r="10" spans="1:17" ht="19.5" customHeight="1" thickBot="1" x14ac:dyDescent="0.3">
      <c r="A10" s="4218"/>
      <c r="B10" s="4322" t="s">
        <v>71</v>
      </c>
      <c r="C10" s="3104">
        <v>106204783</v>
      </c>
      <c r="D10" s="2742" t="s">
        <v>2512</v>
      </c>
      <c r="E10" s="2743" t="s">
        <v>2513</v>
      </c>
      <c r="F10" s="2829"/>
      <c r="G10" s="2830">
        <v>1</v>
      </c>
      <c r="H10" s="2830" t="s">
        <v>1471</v>
      </c>
      <c r="I10" s="2395"/>
      <c r="J10" s="3238">
        <f>'Lista global'!P289</f>
        <v>2164.4874999999997</v>
      </c>
      <c r="K10" s="3238">
        <f>'Lista global'!Q289</f>
        <v>1822.7263157894736</v>
      </c>
      <c r="L10" s="2757">
        <v>1</v>
      </c>
      <c r="M10" s="84">
        <f t="shared" si="1"/>
        <v>1</v>
      </c>
      <c r="N10" s="3246">
        <f>IF(ROUNDDOWN(M10*$N$2/20,0)&lt;L10,L10,ROUNDDOWN(M10*$N$2/20,0))</f>
        <v>1</v>
      </c>
      <c r="O10" s="3370">
        <f t="shared" si="0"/>
        <v>2164.4874999999997</v>
      </c>
      <c r="Q10" s="1766"/>
    </row>
    <row r="11" spans="1:17" ht="19.5" customHeight="1" x14ac:dyDescent="0.25">
      <c r="A11" s="4218"/>
      <c r="B11" s="4323"/>
      <c r="C11" s="2901">
        <v>106204781</v>
      </c>
      <c r="D11" s="1411" t="s">
        <v>2508</v>
      </c>
      <c r="E11" s="1441" t="s">
        <v>2509</v>
      </c>
      <c r="F11" s="1463"/>
      <c r="G11" s="2449">
        <v>1</v>
      </c>
      <c r="H11" s="1463" t="s">
        <v>1520</v>
      </c>
      <c r="I11" s="2463"/>
      <c r="J11" s="3236"/>
      <c r="L11" s="2721" t="s">
        <v>0</v>
      </c>
      <c r="M11" s="84">
        <f t="shared" si="1"/>
        <v>1</v>
      </c>
      <c r="N11" s="3256">
        <v>0</v>
      </c>
      <c r="O11" s="3371">
        <f t="shared" si="0"/>
        <v>0</v>
      </c>
    </row>
    <row r="12" spans="1:17" ht="19.5" customHeight="1" x14ac:dyDescent="0.25">
      <c r="A12" s="4218"/>
      <c r="B12" s="4323"/>
      <c r="C12" s="2465">
        <v>106101365</v>
      </c>
      <c r="D12" s="2748" t="s">
        <v>2504</v>
      </c>
      <c r="E12" s="2831" t="s">
        <v>2505</v>
      </c>
      <c r="F12" s="2728"/>
      <c r="G12" s="2729">
        <v>1</v>
      </c>
      <c r="H12" s="2728">
        <v>2</v>
      </c>
      <c r="I12" s="2464"/>
      <c r="J12" s="3236"/>
      <c r="L12" s="2845" t="s">
        <v>0</v>
      </c>
      <c r="M12" s="84">
        <f t="shared" si="1"/>
        <v>1</v>
      </c>
      <c r="N12" s="3143">
        <v>0</v>
      </c>
      <c r="O12" s="3369">
        <f t="shared" si="0"/>
        <v>0</v>
      </c>
    </row>
    <row r="13" spans="1:17" ht="19.5" customHeight="1" x14ac:dyDescent="0.25">
      <c r="A13" s="4218"/>
      <c r="B13" s="4323"/>
      <c r="C13" s="2465">
        <v>106104092</v>
      </c>
      <c r="D13" s="2832" t="s">
        <v>1361</v>
      </c>
      <c r="E13" s="2749" t="s">
        <v>1362</v>
      </c>
      <c r="F13" s="2728"/>
      <c r="G13" s="2729">
        <v>1</v>
      </c>
      <c r="H13" s="2728">
        <v>2</v>
      </c>
      <c r="I13" s="2464"/>
      <c r="J13" s="3236"/>
      <c r="L13" s="2845" t="s">
        <v>0</v>
      </c>
      <c r="M13" s="84">
        <f t="shared" si="1"/>
        <v>1</v>
      </c>
      <c r="N13" s="3143">
        <v>0</v>
      </c>
      <c r="O13" s="3369">
        <f t="shared" si="0"/>
        <v>0</v>
      </c>
    </row>
    <row r="14" spans="1:17" ht="19.5" customHeight="1" x14ac:dyDescent="0.25">
      <c r="A14" s="4218"/>
      <c r="B14" s="4323"/>
      <c r="C14" s="2465">
        <v>106101464</v>
      </c>
      <c r="D14" s="2724" t="s">
        <v>2542</v>
      </c>
      <c r="E14" s="2466" t="s">
        <v>2543</v>
      </c>
      <c r="F14" s="2728"/>
      <c r="G14" s="2729">
        <v>1</v>
      </c>
      <c r="H14" s="2728">
        <v>2</v>
      </c>
      <c r="I14" s="2464"/>
      <c r="J14" s="3236"/>
      <c r="L14" s="2845" t="s">
        <v>0</v>
      </c>
      <c r="M14" s="84">
        <f t="shared" si="1"/>
        <v>1</v>
      </c>
      <c r="N14" s="3143">
        <v>0</v>
      </c>
      <c r="O14" s="3369">
        <f t="shared" si="0"/>
        <v>0</v>
      </c>
    </row>
    <row r="15" spans="1:17" ht="19.5" customHeight="1" thickBot="1" x14ac:dyDescent="0.3">
      <c r="A15" s="4218"/>
      <c r="B15" s="4323"/>
      <c r="C15" s="2902">
        <v>106110738</v>
      </c>
      <c r="D15" s="1464" t="s">
        <v>2554</v>
      </c>
      <c r="E15" s="1430" t="s">
        <v>2555</v>
      </c>
      <c r="F15" s="1421"/>
      <c r="G15" s="2833">
        <v>1</v>
      </c>
      <c r="H15" s="1421">
        <v>2</v>
      </c>
      <c r="I15" s="2455"/>
      <c r="J15" s="3236"/>
      <c r="L15" s="2489" t="s">
        <v>0</v>
      </c>
      <c r="M15" s="84">
        <f t="shared" si="1"/>
        <v>1</v>
      </c>
      <c r="N15" s="3257">
        <v>0</v>
      </c>
      <c r="O15" s="3372">
        <f t="shared" si="0"/>
        <v>0</v>
      </c>
    </row>
    <row r="16" spans="1:17" ht="19.5" customHeight="1" x14ac:dyDescent="0.25">
      <c r="A16" s="4218"/>
      <c r="B16" s="4323"/>
      <c r="C16" s="2904">
        <v>106204782</v>
      </c>
      <c r="D16" s="2467" t="s">
        <v>2510</v>
      </c>
      <c r="E16" s="2468" t="s">
        <v>2511</v>
      </c>
      <c r="F16" s="2109"/>
      <c r="G16" s="2469">
        <v>1</v>
      </c>
      <c r="H16" s="2109">
        <v>1.2</v>
      </c>
      <c r="I16" s="2470"/>
      <c r="J16" s="3236"/>
      <c r="L16" s="2723" t="s">
        <v>0</v>
      </c>
      <c r="M16" s="84">
        <f t="shared" si="1"/>
        <v>1</v>
      </c>
      <c r="N16" s="3255">
        <v>0</v>
      </c>
      <c r="O16" s="3368">
        <f t="shared" si="0"/>
        <v>0</v>
      </c>
    </row>
    <row r="17" spans="1:15" ht="19.5" customHeight="1" x14ac:dyDescent="0.25">
      <c r="A17" s="4218"/>
      <c r="B17" s="4323"/>
      <c r="C17" s="2465">
        <v>106118749</v>
      </c>
      <c r="D17" s="2748" t="s">
        <v>2506</v>
      </c>
      <c r="E17" s="2831" t="s">
        <v>2507</v>
      </c>
      <c r="F17" s="2728"/>
      <c r="G17" s="2729">
        <v>1</v>
      </c>
      <c r="H17" s="2728">
        <v>2</v>
      </c>
      <c r="I17" s="2464"/>
      <c r="J17" s="3236"/>
      <c r="L17" s="2845" t="s">
        <v>0</v>
      </c>
      <c r="M17" s="84">
        <f t="shared" si="1"/>
        <v>1</v>
      </c>
      <c r="N17" s="3143">
        <v>0</v>
      </c>
      <c r="O17" s="3369">
        <f t="shared" si="0"/>
        <v>0</v>
      </c>
    </row>
    <row r="18" spans="1:15" ht="19.5" customHeight="1" x14ac:dyDescent="0.25">
      <c r="A18" s="4218"/>
      <c r="B18" s="4323"/>
      <c r="C18" s="2465">
        <v>106118750</v>
      </c>
      <c r="D18" s="2832" t="s">
        <v>2514</v>
      </c>
      <c r="E18" s="2749" t="s">
        <v>2539</v>
      </c>
      <c r="F18" s="2728"/>
      <c r="G18" s="2729">
        <v>1</v>
      </c>
      <c r="H18" s="2728">
        <v>2</v>
      </c>
      <c r="I18" s="2464"/>
      <c r="J18" s="3236"/>
      <c r="L18" s="2845" t="s">
        <v>0</v>
      </c>
      <c r="M18" s="84">
        <f t="shared" si="1"/>
        <v>1</v>
      </c>
      <c r="N18" s="3143">
        <v>0</v>
      </c>
      <c r="O18" s="3369">
        <f t="shared" si="0"/>
        <v>0</v>
      </c>
    </row>
    <row r="19" spans="1:15" ht="19.5" customHeight="1" x14ac:dyDescent="0.25">
      <c r="A19" s="4218"/>
      <c r="B19" s="4323"/>
      <c r="C19" s="2465">
        <v>106118751</v>
      </c>
      <c r="D19" s="2724" t="s">
        <v>2540</v>
      </c>
      <c r="E19" s="2466" t="s">
        <v>2541</v>
      </c>
      <c r="F19" s="2729"/>
      <c r="G19" s="2729">
        <v>1</v>
      </c>
      <c r="H19" s="2731">
        <v>2</v>
      </c>
      <c r="I19" s="2452"/>
      <c r="J19" s="3236"/>
      <c r="L19" s="2845" t="s">
        <v>0</v>
      </c>
      <c r="M19" s="84">
        <f t="shared" si="1"/>
        <v>1</v>
      </c>
      <c r="N19" s="3143">
        <v>0</v>
      </c>
      <c r="O19" s="3369">
        <f t="shared" si="0"/>
        <v>0</v>
      </c>
    </row>
    <row r="20" spans="1:15" ht="19.5" customHeight="1" thickBot="1" x14ac:dyDescent="0.3">
      <c r="A20" s="4218"/>
      <c r="B20" s="4324"/>
      <c r="C20" s="2902">
        <v>106205256</v>
      </c>
      <c r="D20" s="1464" t="s">
        <v>2556</v>
      </c>
      <c r="E20" s="1430" t="s">
        <v>2557</v>
      </c>
      <c r="F20" s="2833"/>
      <c r="G20" s="2833">
        <v>1</v>
      </c>
      <c r="H20" s="2834">
        <v>2</v>
      </c>
      <c r="I20" s="2471"/>
      <c r="J20" s="3236"/>
      <c r="L20" s="2489" t="s">
        <v>0</v>
      </c>
      <c r="M20" s="84">
        <f t="shared" si="1"/>
        <v>1</v>
      </c>
      <c r="N20" s="3257">
        <v>0</v>
      </c>
      <c r="O20" s="3372">
        <f t="shared" si="0"/>
        <v>0</v>
      </c>
    </row>
    <row r="21" spans="1:15" ht="19.5" customHeight="1" thickBot="1" x14ac:dyDescent="0.3">
      <c r="A21" s="4218"/>
      <c r="B21" s="2388" t="s">
        <v>341</v>
      </c>
      <c r="C21" s="2472">
        <v>106113993</v>
      </c>
      <c r="D21" s="2744" t="s">
        <v>2315</v>
      </c>
      <c r="E21" s="2745" t="s">
        <v>2316</v>
      </c>
      <c r="F21" s="2387"/>
      <c r="G21" s="2387">
        <v>1</v>
      </c>
      <c r="H21" s="2381">
        <v>2</v>
      </c>
      <c r="I21" s="2389"/>
      <c r="J21" s="3238">
        <f>'Lista global'!P137</f>
        <v>133.33750000000001</v>
      </c>
      <c r="K21" s="3238">
        <f>'Lista global'!Q137</f>
        <v>112.2842105263158</v>
      </c>
      <c r="L21" s="3241">
        <v>1</v>
      </c>
      <c r="M21" s="84">
        <f t="shared" si="1"/>
        <v>1</v>
      </c>
      <c r="N21" s="3246">
        <f>IF(ROUND(M21*$N$2/4,0)&lt;L21,L21,ROUND(M21*$N$2/4,0))</f>
        <v>3</v>
      </c>
      <c r="O21" s="3370">
        <f t="shared" si="0"/>
        <v>400.01250000000005</v>
      </c>
    </row>
    <row r="22" spans="1:15" s="1360" customFormat="1" ht="19.5" customHeight="1" thickBot="1" x14ac:dyDescent="0.3">
      <c r="A22" s="4218"/>
      <c r="B22" s="2893" t="s">
        <v>2801</v>
      </c>
      <c r="C22" s="3059">
        <v>106205250</v>
      </c>
      <c r="D22" s="2493" t="s">
        <v>2820</v>
      </c>
      <c r="E22" s="2487" t="s">
        <v>2821</v>
      </c>
      <c r="F22" s="2835"/>
      <c r="G22" s="2888">
        <v>1</v>
      </c>
      <c r="H22" s="2836"/>
      <c r="I22" s="2837"/>
      <c r="J22" s="3238">
        <f>'Lista global'!P282</f>
        <v>251.14999999999998</v>
      </c>
      <c r="K22" s="3238">
        <f>'Lista global'!Q282</f>
        <v>167.43333333333334</v>
      </c>
      <c r="L22" s="2888">
        <v>1</v>
      </c>
      <c r="M22" s="84">
        <f t="shared" si="1"/>
        <v>1</v>
      </c>
      <c r="N22" s="3250">
        <f>IF(ROUND(($N$2*M22/4)/2,0)&lt;L22,L22,ROUND(($N$2*M22/4)/2,0))</f>
        <v>2</v>
      </c>
      <c r="O22" s="3373">
        <f t="shared" si="0"/>
        <v>502.29999999999995</v>
      </c>
    </row>
    <row r="23" spans="1:15" s="1351" customFormat="1" ht="19.5" customHeight="1" thickBot="1" x14ac:dyDescent="0.3">
      <c r="A23" s="4218"/>
      <c r="B23" s="2841" t="s">
        <v>127</v>
      </c>
      <c r="C23" s="2862">
        <v>106120322</v>
      </c>
      <c r="D23" s="2742" t="s">
        <v>2545</v>
      </c>
      <c r="E23" s="2743" t="s">
        <v>2546</v>
      </c>
      <c r="F23" s="2840"/>
      <c r="G23" s="2757">
        <v>1</v>
      </c>
      <c r="H23" s="2757" t="s">
        <v>1471</v>
      </c>
      <c r="I23" s="2892"/>
      <c r="J23" s="3238">
        <f>'Lista global'!P276</f>
        <v>38.862499999999997</v>
      </c>
      <c r="K23" s="3238">
        <f>'Lista global'!Q276</f>
        <v>32.726315789473688</v>
      </c>
      <c r="L23" s="2757">
        <v>1</v>
      </c>
      <c r="M23" s="84">
        <f t="shared" si="1"/>
        <v>1</v>
      </c>
      <c r="N23" s="3246">
        <f>IF(ROUND(M23*$N$2/8,0)&lt;L23,L23,ROUND(M23*$N$2/8,0))</f>
        <v>2</v>
      </c>
      <c r="O23" s="3370">
        <f t="shared" si="0"/>
        <v>77.724999999999994</v>
      </c>
    </row>
    <row r="24" spans="1:15" ht="19.5" customHeight="1" thickBot="1" x14ac:dyDescent="0.3">
      <c r="A24" s="4218"/>
      <c r="B24" s="2848" t="s">
        <v>1507</v>
      </c>
      <c r="C24" s="2492">
        <v>106203799</v>
      </c>
      <c r="D24" s="2493" t="s">
        <v>2957</v>
      </c>
      <c r="E24" s="3357" t="s">
        <v>2958</v>
      </c>
      <c r="F24" s="2889"/>
      <c r="G24" s="3358">
        <v>1</v>
      </c>
      <c r="H24" s="3359"/>
      <c r="I24" s="3360"/>
      <c r="J24" s="3238">
        <f>'Lista global'!P228</f>
        <v>50.075000000000003</v>
      </c>
      <c r="K24" s="3238">
        <f>'Lista global'!Q228</f>
        <v>33.38333333333334</v>
      </c>
      <c r="L24" s="2889">
        <v>1</v>
      </c>
      <c r="M24" s="84">
        <f t="shared" si="1"/>
        <v>1</v>
      </c>
      <c r="N24" s="3251">
        <f>IF(ROUND(($N$2*M24/4)/2,0)&lt;L24,L24,ROUND(($N$2*M24/4)/2,0))</f>
        <v>2</v>
      </c>
      <c r="O24" s="3374">
        <f t="shared" si="0"/>
        <v>100.15</v>
      </c>
    </row>
    <row r="25" spans="1:15" ht="19.5" customHeight="1" x14ac:dyDescent="0.25">
      <c r="A25" s="4214"/>
      <c r="B25" s="3162" t="s">
        <v>213</v>
      </c>
      <c r="C25" s="3361">
        <v>106117401</v>
      </c>
      <c r="D25" s="2448" t="s">
        <v>1894</v>
      </c>
      <c r="E25" s="1441" t="s">
        <v>1518</v>
      </c>
      <c r="F25" s="2721"/>
      <c r="G25" s="2721">
        <v>1</v>
      </c>
      <c r="H25" s="2396" t="s">
        <v>649</v>
      </c>
      <c r="I25" s="2839"/>
      <c r="J25" s="3238">
        <f>'Lista global'!P152</f>
        <v>1.1625000000000001</v>
      </c>
      <c r="K25" s="3238">
        <f>'Lista global'!Q152</f>
        <v>0.97894736842105268</v>
      </c>
      <c r="L25" s="2721">
        <v>1</v>
      </c>
      <c r="M25" s="84">
        <f t="shared" si="1"/>
        <v>1</v>
      </c>
      <c r="N25" s="3363">
        <f>G25*($N$51+$N$52+$N$53+$N$54+$N$55+$N$56)</f>
        <v>2</v>
      </c>
      <c r="O25" s="3375">
        <f t="shared" si="0"/>
        <v>2.3250000000000002</v>
      </c>
    </row>
    <row r="26" spans="1:15" ht="19.5" customHeight="1" x14ac:dyDescent="0.25">
      <c r="A26" s="4214"/>
      <c r="B26" s="2880" t="s">
        <v>2802</v>
      </c>
      <c r="C26" s="3055">
        <v>106105886</v>
      </c>
      <c r="D26" s="2724" t="s">
        <v>1502</v>
      </c>
      <c r="E26" s="2749" t="s">
        <v>1233</v>
      </c>
      <c r="F26" s="2729"/>
      <c r="G26" s="2729">
        <v>3</v>
      </c>
      <c r="H26" s="2730" t="s">
        <v>649</v>
      </c>
      <c r="I26" s="2452"/>
      <c r="J26" s="3238">
        <f>'Lista global'!P72</f>
        <v>4.1624999999999996</v>
      </c>
      <c r="K26" s="3238">
        <f>'Lista global'!Q72</f>
        <v>3.5052631578947371</v>
      </c>
      <c r="L26" s="2845">
        <v>1</v>
      </c>
      <c r="M26" s="84">
        <f t="shared" si="1"/>
        <v>3</v>
      </c>
      <c r="N26" s="3362">
        <f>IF(ROUNDDOWN($N$2/20,0)&lt;L26,L26,ROUNDDOWN($N$2/20,0))</f>
        <v>1</v>
      </c>
      <c r="O26" s="3376">
        <f t="shared" si="0"/>
        <v>4.1624999999999996</v>
      </c>
    </row>
    <row r="27" spans="1:15" ht="19.5" customHeight="1" thickBot="1" x14ac:dyDescent="0.3">
      <c r="A27" s="4214"/>
      <c r="B27" s="2392" t="s">
        <v>2487</v>
      </c>
      <c r="C27" s="3055">
        <v>106126857</v>
      </c>
      <c r="D27" s="2724" t="s">
        <v>1896</v>
      </c>
      <c r="E27" s="2749" t="s">
        <v>1511</v>
      </c>
      <c r="F27" s="3176"/>
      <c r="G27" s="2763">
        <v>2</v>
      </c>
      <c r="H27" s="2763" t="s">
        <v>649</v>
      </c>
      <c r="I27" s="3179"/>
      <c r="J27" s="3238">
        <f>'Lista global'!P363</f>
        <v>6.9499999999999993</v>
      </c>
      <c r="K27" s="3238">
        <f>'Lista global'!Q363</f>
        <v>5.852631578947368</v>
      </c>
      <c r="L27" s="2484">
        <v>2</v>
      </c>
      <c r="M27" s="84">
        <f t="shared" si="1"/>
        <v>2</v>
      </c>
      <c r="N27" s="3254">
        <f>G27*($N$51+$N$52+$N$53+$N$54+$N$55+$N$56)</f>
        <v>4</v>
      </c>
      <c r="O27" s="3377">
        <f t="shared" si="0"/>
        <v>27.799999999999997</v>
      </c>
    </row>
    <row r="28" spans="1:15" s="1574" customFormat="1" ht="19.5" customHeight="1" thickBot="1" x14ac:dyDescent="0.3">
      <c r="A28" s="4219"/>
      <c r="B28" s="2867" t="s">
        <v>2803</v>
      </c>
      <c r="C28" s="3059">
        <v>106116452</v>
      </c>
      <c r="D28" s="2869" t="s">
        <v>2814</v>
      </c>
      <c r="E28" s="2870" t="s">
        <v>2813</v>
      </c>
      <c r="F28" s="2871"/>
      <c r="G28" s="2871">
        <v>1</v>
      </c>
      <c r="H28" s="2868" t="s">
        <v>649</v>
      </c>
      <c r="I28" s="2872"/>
      <c r="J28" s="3238">
        <f>'Lista global'!P281</f>
        <v>85.974999999999994</v>
      </c>
      <c r="K28" s="3238">
        <f>'Lista global'!Q281</f>
        <v>72.400000000000006</v>
      </c>
      <c r="L28" s="2871">
        <v>1</v>
      </c>
      <c r="M28" s="84">
        <f t="shared" si="1"/>
        <v>1</v>
      </c>
      <c r="N28" s="3250">
        <f>IF(ROUNDDOWN(M28*$N$2/10,0)&lt;L28,L28,ROUNDDOWN(M28*$N$2/10,0))</f>
        <v>1</v>
      </c>
      <c r="O28" s="3373">
        <f t="shared" si="0"/>
        <v>85.974999999999994</v>
      </c>
    </row>
    <row r="29" spans="1:15" s="1574" customFormat="1" ht="24" customHeight="1" thickBot="1" x14ac:dyDescent="0.3">
      <c r="A29" s="4217" t="s">
        <v>2484</v>
      </c>
      <c r="B29" s="3584" t="s">
        <v>2485</v>
      </c>
      <c r="C29" s="2456">
        <v>106112043</v>
      </c>
      <c r="D29" s="2493" t="s">
        <v>2950</v>
      </c>
      <c r="E29" s="3357" t="s">
        <v>2951</v>
      </c>
      <c r="F29" s="2459">
        <v>1</v>
      </c>
      <c r="G29" s="2459"/>
      <c r="H29" s="2461">
        <v>4</v>
      </c>
      <c r="I29" s="2494"/>
      <c r="J29" s="3238">
        <f>'Lista global'!P303</f>
        <v>233.61249999999998</v>
      </c>
      <c r="K29" s="3238">
        <f>'Lista global'!Q303</f>
        <v>196.72631578947369</v>
      </c>
      <c r="L29" s="2721">
        <v>1</v>
      </c>
      <c r="M29" s="84">
        <f>IF($M$2=4,6,IF($M$2=3,5,3))</f>
        <v>6</v>
      </c>
      <c r="N29" s="3247">
        <f>IF(ROUND(M29*$N$2/10,0)&lt;L29,L29,ROUND(M29*$N$2/10,0))</f>
        <v>7</v>
      </c>
      <c r="O29" s="3378">
        <f t="shared" si="0"/>
        <v>1635.2874999999999</v>
      </c>
    </row>
    <row r="30" spans="1:15" ht="19.5" customHeight="1" x14ac:dyDescent="0.25">
      <c r="A30" s="4214"/>
      <c r="B30" s="1439" t="s">
        <v>2805</v>
      </c>
      <c r="C30" s="3055">
        <v>106121538</v>
      </c>
      <c r="D30" s="2448" t="s">
        <v>2906</v>
      </c>
      <c r="E30" s="1397" t="s">
        <v>2956</v>
      </c>
      <c r="F30" s="2721">
        <v>1</v>
      </c>
      <c r="G30" s="2447"/>
      <c r="H30" s="2605"/>
      <c r="I30" s="2719"/>
      <c r="J30" s="3411">
        <v>9.68</v>
      </c>
      <c r="K30" s="3411">
        <v>8.15</v>
      </c>
      <c r="L30" s="2755">
        <v>1</v>
      </c>
      <c r="M30" s="84">
        <f>$M$2*F30+G30</f>
        <v>4</v>
      </c>
      <c r="N30" s="3252">
        <f>F30*($N$51+$N$52+$N$53+$N$54+$N$55+$N$56)</f>
        <v>2</v>
      </c>
      <c r="O30" s="3381">
        <f>N30*J30</f>
        <v>19.36</v>
      </c>
    </row>
    <row r="31" spans="1:15" s="2227" customFormat="1" ht="24" customHeight="1" thickBot="1" x14ac:dyDescent="0.3">
      <c r="A31" s="4214"/>
      <c r="B31" s="3586" t="s">
        <v>2804</v>
      </c>
      <c r="C31" s="2483">
        <v>106117762</v>
      </c>
      <c r="D31" s="2104" t="s">
        <v>2952</v>
      </c>
      <c r="E31" s="2615" t="s">
        <v>2953</v>
      </c>
      <c r="F31" s="2489">
        <v>1</v>
      </c>
      <c r="G31" s="2489"/>
      <c r="H31" s="2499">
        <v>4</v>
      </c>
      <c r="I31" s="2874"/>
      <c r="J31" s="3238">
        <f>'Lista global'!P304</f>
        <v>7.0874999999999995</v>
      </c>
      <c r="K31" s="3238">
        <f>'Lista global'!Q304</f>
        <v>5.9684210526315793</v>
      </c>
      <c r="L31" s="2489">
        <v>1</v>
      </c>
      <c r="M31" s="84">
        <f>M29</f>
        <v>6</v>
      </c>
      <c r="N31" s="3248">
        <f>$N$29</f>
        <v>7</v>
      </c>
      <c r="O31" s="3379">
        <f t="shared" si="0"/>
        <v>49.612499999999997</v>
      </c>
    </row>
    <row r="32" spans="1:15" ht="19.5" customHeight="1" thickBot="1" x14ac:dyDescent="0.3">
      <c r="A32" s="4218"/>
      <c r="B32" s="3089" t="s">
        <v>196</v>
      </c>
      <c r="C32" s="2472">
        <v>106201346</v>
      </c>
      <c r="D32" s="2843" t="s">
        <v>1525</v>
      </c>
      <c r="E32" s="2844" t="s">
        <v>1526</v>
      </c>
      <c r="F32" s="2387"/>
      <c r="G32" s="2387">
        <v>1</v>
      </c>
      <c r="H32" s="2381"/>
      <c r="I32" s="2389"/>
      <c r="J32" s="3238">
        <f>'Lista global'!P199</f>
        <v>73.724999999999994</v>
      </c>
      <c r="K32" s="3238">
        <f>'Lista global'!Q199</f>
        <v>49.15</v>
      </c>
      <c r="L32" s="3241">
        <v>1</v>
      </c>
      <c r="M32" s="84">
        <f t="shared" si="1"/>
        <v>1</v>
      </c>
      <c r="N32" s="3249">
        <f>IF(ROUNDDOWN($N$2/4,0)&lt;L32,L32,ROUNDDOWN($N$2/4,0))</f>
        <v>3</v>
      </c>
      <c r="O32" s="3380">
        <f t="shared" si="0"/>
        <v>221.17499999999998</v>
      </c>
    </row>
    <row r="33" spans="1:16" ht="19.5" customHeight="1" x14ac:dyDescent="0.25">
      <c r="A33" s="4218"/>
      <c r="B33" s="4322" t="s">
        <v>21</v>
      </c>
      <c r="C33" s="2475">
        <v>106204083</v>
      </c>
      <c r="D33" s="1411" t="s">
        <v>1357</v>
      </c>
      <c r="E33" s="1397" t="s">
        <v>1358</v>
      </c>
      <c r="F33" s="2449">
        <v>1</v>
      </c>
      <c r="G33" s="2396"/>
      <c r="H33" s="2397" t="s">
        <v>1520</v>
      </c>
      <c r="I33" s="2398"/>
      <c r="J33" s="3238">
        <f>'Lista global'!P230</f>
        <v>443.33749999999998</v>
      </c>
      <c r="K33" s="3238">
        <f>'Lista global'!Q230</f>
        <v>373.3368421052632</v>
      </c>
      <c r="L33" s="2447">
        <v>1</v>
      </c>
      <c r="M33" s="84">
        <f t="shared" si="1"/>
        <v>4</v>
      </c>
      <c r="N33" s="3252">
        <f>IF(ROUNDDOWN(($N$2*M33/4)/10,0)&lt;L33,L33,ROUNDDOWN(($N$2*M33/4)/10,0))</f>
        <v>1</v>
      </c>
      <c r="O33" s="3381">
        <f t="shared" si="0"/>
        <v>443.33749999999998</v>
      </c>
    </row>
    <row r="34" spans="1:16" ht="19.5" customHeight="1" x14ac:dyDescent="0.25">
      <c r="A34" s="4218"/>
      <c r="B34" s="4323"/>
      <c r="C34" s="2828">
        <v>106104119</v>
      </c>
      <c r="D34" s="2748" t="s">
        <v>1363</v>
      </c>
      <c r="E34" s="2749" t="s">
        <v>1363</v>
      </c>
      <c r="F34" s="2729">
        <v>1</v>
      </c>
      <c r="G34" s="2730"/>
      <c r="H34" s="2731">
        <v>2</v>
      </c>
      <c r="I34" s="2452"/>
      <c r="J34" s="3236"/>
      <c r="L34" s="2763" t="s">
        <v>0</v>
      </c>
      <c r="M34" s="84">
        <f t="shared" si="1"/>
        <v>4</v>
      </c>
      <c r="N34" s="2763">
        <v>0</v>
      </c>
      <c r="O34" s="3382">
        <f t="shared" si="0"/>
        <v>0</v>
      </c>
    </row>
    <row r="35" spans="1:16" ht="19.5" customHeight="1" x14ac:dyDescent="0.25">
      <c r="A35" s="4218"/>
      <c r="B35" s="4323"/>
      <c r="C35" s="2828">
        <v>106104084</v>
      </c>
      <c r="D35" s="2748" t="s">
        <v>1354</v>
      </c>
      <c r="E35" s="2749" t="s">
        <v>1355</v>
      </c>
      <c r="F35" s="2729">
        <v>1</v>
      </c>
      <c r="G35" s="2728"/>
      <c r="H35" s="2731">
        <v>2</v>
      </c>
      <c r="I35" s="2452"/>
      <c r="J35" s="3236"/>
      <c r="L35" s="2763" t="s">
        <v>0</v>
      </c>
      <c r="M35" s="84">
        <f t="shared" si="1"/>
        <v>4</v>
      </c>
      <c r="N35" s="2763">
        <v>0</v>
      </c>
      <c r="O35" s="3382">
        <f t="shared" si="0"/>
        <v>0</v>
      </c>
    </row>
    <row r="36" spans="1:16" ht="19.5" customHeight="1" x14ac:dyDescent="0.25">
      <c r="A36" s="4218"/>
      <c r="B36" s="4323"/>
      <c r="C36" s="2828">
        <v>106104094</v>
      </c>
      <c r="D36" s="2748" t="s">
        <v>1575</v>
      </c>
      <c r="E36" s="2749" t="s">
        <v>1576</v>
      </c>
      <c r="F36" s="2729">
        <v>1</v>
      </c>
      <c r="G36" s="2728"/>
      <c r="H36" s="2731">
        <v>2</v>
      </c>
      <c r="I36" s="2452"/>
      <c r="J36" s="3236"/>
      <c r="L36" s="2763" t="s">
        <v>0</v>
      </c>
      <c r="M36" s="84">
        <f t="shared" si="1"/>
        <v>4</v>
      </c>
      <c r="N36" s="2763">
        <v>0</v>
      </c>
      <c r="O36" s="3382">
        <f t="shared" si="0"/>
        <v>0</v>
      </c>
    </row>
    <row r="37" spans="1:16" ht="19.5" customHeight="1" x14ac:dyDescent="0.25">
      <c r="A37" s="4218"/>
      <c r="B37" s="4323"/>
      <c r="C37" s="2828">
        <v>106104126</v>
      </c>
      <c r="D37" s="2748" t="s">
        <v>1505</v>
      </c>
      <c r="E37" s="2749" t="s">
        <v>1506</v>
      </c>
      <c r="F37" s="2729">
        <v>1</v>
      </c>
      <c r="G37" s="2730"/>
      <c r="H37" s="2731">
        <v>2</v>
      </c>
      <c r="I37" s="2452"/>
      <c r="J37" s="3236"/>
      <c r="L37" s="2763" t="s">
        <v>0</v>
      </c>
      <c r="M37" s="84">
        <f t="shared" si="1"/>
        <v>4</v>
      </c>
      <c r="N37" s="2763">
        <v>0</v>
      </c>
      <c r="O37" s="3382">
        <f t="shared" si="0"/>
        <v>0</v>
      </c>
    </row>
    <row r="38" spans="1:16" ht="19.5" customHeight="1" x14ac:dyDescent="0.25">
      <c r="A38" s="4218"/>
      <c r="B38" s="4323"/>
      <c r="C38" s="2515">
        <v>106114314</v>
      </c>
      <c r="D38" s="2486" t="s">
        <v>1356</v>
      </c>
      <c r="E38" s="2516" t="s">
        <v>1252</v>
      </c>
      <c r="F38" s="2477">
        <v>6</v>
      </c>
      <c r="G38" s="2478"/>
      <c r="H38" s="2404">
        <v>2</v>
      </c>
      <c r="I38" s="2479"/>
      <c r="J38" s="3236"/>
      <c r="L38" s="2726" t="s">
        <v>0</v>
      </c>
      <c r="M38" s="84">
        <f t="shared" si="1"/>
        <v>24</v>
      </c>
      <c r="N38" s="2726">
        <v>0</v>
      </c>
      <c r="O38" s="3383">
        <f t="shared" si="0"/>
        <v>0</v>
      </c>
    </row>
    <row r="39" spans="1:16" ht="19.5" customHeight="1" x14ac:dyDescent="0.25">
      <c r="A39" s="4218"/>
      <c r="B39" s="2399" t="s">
        <v>328</v>
      </c>
      <c r="C39" s="2903">
        <v>106119611</v>
      </c>
      <c r="D39" s="2748" t="s">
        <v>2547</v>
      </c>
      <c r="E39" s="2749" t="s">
        <v>2548</v>
      </c>
      <c r="F39" s="2845">
        <v>1</v>
      </c>
      <c r="G39" s="2846"/>
      <c r="H39" s="2728" t="s">
        <v>1471</v>
      </c>
      <c r="I39" s="2452"/>
      <c r="J39" s="3238">
        <f>'Lista global'!P272</f>
        <v>121.33749999999999</v>
      </c>
      <c r="K39" s="3238">
        <f>'Lista global'!Q272</f>
        <v>102.17894736842105</v>
      </c>
      <c r="L39" s="2845">
        <v>1</v>
      </c>
      <c r="M39" s="84">
        <f t="shared" si="1"/>
        <v>4</v>
      </c>
      <c r="N39" s="3245">
        <f>IF(ROUND(M39*$N$2/8,0)&lt;L39,L39,ROUND(M39*$N$2/8,0))</f>
        <v>6</v>
      </c>
      <c r="O39" s="3384">
        <f t="shared" si="0"/>
        <v>728.02499999999998</v>
      </c>
    </row>
    <row r="40" spans="1:16" ht="19.5" customHeight="1" thickBot="1" x14ac:dyDescent="0.3">
      <c r="A40" s="4218"/>
      <c r="B40" s="2400" t="s">
        <v>285</v>
      </c>
      <c r="C40" s="2480">
        <v>106202883</v>
      </c>
      <c r="D40" s="2402" t="s">
        <v>1303</v>
      </c>
      <c r="E40" s="2403" t="s">
        <v>1304</v>
      </c>
      <c r="F40" s="2481">
        <v>1</v>
      </c>
      <c r="G40" s="2481"/>
      <c r="H40" s="2847" t="s">
        <v>1471</v>
      </c>
      <c r="I40" s="2479"/>
      <c r="J40" s="3238">
        <f>'Lista global'!P217</f>
        <v>27.474999999999998</v>
      </c>
      <c r="K40" s="3238">
        <f>'Lista global'!Q217</f>
        <v>23.13684210526316</v>
      </c>
      <c r="L40" s="2481">
        <v>1</v>
      </c>
      <c r="M40" s="84">
        <f t="shared" si="1"/>
        <v>4</v>
      </c>
      <c r="N40" s="3245">
        <f>IF(ROUND(M40*$N$2/8,0)&lt;L40,L40,ROUND(M40*$N$2/8,0))</f>
        <v>6</v>
      </c>
      <c r="O40" s="3384">
        <f t="shared" si="0"/>
        <v>164.85</v>
      </c>
    </row>
    <row r="41" spans="1:16" s="1360" customFormat="1" ht="19.5" customHeight="1" x14ac:dyDescent="0.25">
      <c r="A41" s="4218"/>
      <c r="B41" s="4232" t="s">
        <v>2815</v>
      </c>
      <c r="C41" s="2850">
        <v>106205458</v>
      </c>
      <c r="D41" s="1411" t="s">
        <v>3033</v>
      </c>
      <c r="E41" s="1441" t="s">
        <v>3034</v>
      </c>
      <c r="F41" s="2721">
        <v>1</v>
      </c>
      <c r="G41" s="3094"/>
      <c r="H41" s="3095"/>
      <c r="I41" s="2839"/>
      <c r="J41" s="3238">
        <f>'Lista global'!P259</f>
        <v>191.70000000000002</v>
      </c>
      <c r="K41" s="3238">
        <f>'Lista global'!Q259</f>
        <v>127.80000000000001</v>
      </c>
      <c r="L41" s="2447">
        <v>1</v>
      </c>
      <c r="M41" s="84">
        <f t="shared" si="1"/>
        <v>4</v>
      </c>
      <c r="N41" s="3252">
        <f>IF(ROUNDUP(($N$2*M41/4)/10,0)&lt;L41,L41,ROUNDUP(($N$2*M41/4)/10,0))</f>
        <v>2</v>
      </c>
      <c r="O41" s="3381">
        <f t="shared" si="0"/>
        <v>383.40000000000003</v>
      </c>
    </row>
    <row r="42" spans="1:16" s="1351" customFormat="1" ht="19.5" customHeight="1" thickBot="1" x14ac:dyDescent="0.3">
      <c r="A42" s="4218"/>
      <c r="B42" s="4233"/>
      <c r="C42" s="3282">
        <v>106204234</v>
      </c>
      <c r="D42" s="2402" t="s">
        <v>1608</v>
      </c>
      <c r="E42" s="3106" t="s">
        <v>1609</v>
      </c>
      <c r="F42" s="2481">
        <v>3</v>
      </c>
      <c r="G42" s="2481"/>
      <c r="H42" s="2726" t="s">
        <v>649</v>
      </c>
      <c r="I42" s="3167"/>
      <c r="J42" s="3238">
        <f>'Lista global'!P231</f>
        <v>18.462499999999999</v>
      </c>
      <c r="K42" s="3238">
        <f>'Lista global'!Q231</f>
        <v>15.547368421052632</v>
      </c>
      <c r="L42" s="2489">
        <v>1</v>
      </c>
      <c r="M42" s="84">
        <f t="shared" si="1"/>
        <v>12</v>
      </c>
      <c r="N42" s="3248">
        <f>$N$41</f>
        <v>2</v>
      </c>
      <c r="O42" s="3379">
        <f t="shared" si="0"/>
        <v>36.924999999999997</v>
      </c>
    </row>
    <row r="43" spans="1:16" ht="19.5" customHeight="1" x14ac:dyDescent="0.25">
      <c r="A43" s="4218"/>
      <c r="B43" s="1409" t="s">
        <v>2489</v>
      </c>
      <c r="C43" s="2850">
        <v>106119667</v>
      </c>
      <c r="D43" s="1454" t="s">
        <v>2592</v>
      </c>
      <c r="E43" s="1397" t="s">
        <v>2593</v>
      </c>
      <c r="F43" s="2449">
        <v>3</v>
      </c>
      <c r="G43" s="2449"/>
      <c r="H43" s="2396" t="s">
        <v>649</v>
      </c>
      <c r="I43" s="2398"/>
      <c r="J43" s="3238">
        <f>'Lista global'!P274</f>
        <v>10.024999999999999</v>
      </c>
      <c r="K43" s="3238">
        <f>'Lista global'!Q274</f>
        <v>8.4421052631578952</v>
      </c>
      <c r="L43" s="2721">
        <v>3</v>
      </c>
      <c r="M43" s="84">
        <f t="shared" si="1"/>
        <v>12</v>
      </c>
      <c r="N43" s="3252">
        <f>F43*($N$51+$N$52+$N$53+$N$54+$N$55+$N$56)</f>
        <v>6</v>
      </c>
      <c r="O43" s="3381">
        <f t="shared" si="0"/>
        <v>60.149999999999991</v>
      </c>
    </row>
    <row r="44" spans="1:16" ht="19.5" customHeight="1" thickBot="1" x14ac:dyDescent="0.3">
      <c r="A44" s="4218"/>
      <c r="B44" s="2883" t="s">
        <v>2490</v>
      </c>
      <c r="C44" s="2717">
        <v>106119669</v>
      </c>
      <c r="D44" s="2454" t="s">
        <v>2594</v>
      </c>
      <c r="E44" s="2105" t="s">
        <v>2595</v>
      </c>
      <c r="F44" s="2394">
        <v>3</v>
      </c>
      <c r="G44" s="2394"/>
      <c r="H44" s="2482" t="s">
        <v>649</v>
      </c>
      <c r="I44" s="2595"/>
      <c r="J44" s="3238">
        <f>'Lista global'!P275</f>
        <v>16.712499999999999</v>
      </c>
      <c r="K44" s="3238">
        <f>'Lista global'!Q275</f>
        <v>14.073684210526316</v>
      </c>
      <c r="L44" s="3241">
        <v>1</v>
      </c>
      <c r="M44" s="84">
        <f t="shared" si="1"/>
        <v>12</v>
      </c>
      <c r="N44" s="3249">
        <f>IF(ROUNDDOWN($N$2/10,0)&lt;L44,L44,ROUNDDOWN($N$2/10,0))</f>
        <v>1</v>
      </c>
      <c r="O44" s="3380">
        <f t="shared" si="0"/>
        <v>16.712499999999999</v>
      </c>
    </row>
    <row r="45" spans="1:16" ht="19.5" customHeight="1" x14ac:dyDescent="0.25">
      <c r="A45" s="4218"/>
      <c r="B45" s="3364" t="s">
        <v>2491</v>
      </c>
      <c r="C45" s="3365">
        <v>106111785</v>
      </c>
      <c r="D45" s="2869" t="s">
        <v>2590</v>
      </c>
      <c r="E45" s="3366" t="s">
        <v>2591</v>
      </c>
      <c r="F45" s="3060"/>
      <c r="G45" s="3367">
        <v>1</v>
      </c>
      <c r="H45" s="2947"/>
      <c r="I45" s="3061"/>
      <c r="J45" s="3238">
        <f>'Lista global'!P99</f>
        <v>29.087499999999999</v>
      </c>
      <c r="K45" s="3238">
        <f>'Lista global'!Q99</f>
        <v>24.494736842105265</v>
      </c>
      <c r="L45" s="2755">
        <v>1</v>
      </c>
      <c r="M45" s="84">
        <f t="shared" si="1"/>
        <v>1</v>
      </c>
      <c r="N45" s="3194">
        <f>IF(ROUNDDOWN(M45*$N$2/10,0)&lt;L45,L45,ROUNDDOWN(M45*$N$2/10,0))</f>
        <v>1</v>
      </c>
      <c r="O45" s="3195">
        <f t="shared" si="0"/>
        <v>29.087499999999999</v>
      </c>
    </row>
    <row r="46" spans="1:16" ht="19.5" customHeight="1" thickBot="1" x14ac:dyDescent="0.3">
      <c r="A46" s="4219"/>
      <c r="B46" s="3172"/>
      <c r="C46" s="3186" t="s">
        <v>1500</v>
      </c>
      <c r="D46" s="2454" t="s">
        <v>1149</v>
      </c>
      <c r="E46" s="2615" t="s">
        <v>1149</v>
      </c>
      <c r="F46" s="2946">
        <v>1</v>
      </c>
      <c r="G46" s="2453"/>
      <c r="H46" s="3348">
        <v>6</v>
      </c>
      <c r="I46" s="2595"/>
      <c r="J46" s="3347">
        <f>'Lista global'!P262</f>
        <v>318.47499999999997</v>
      </c>
      <c r="K46" s="3347">
        <f>'Lista global'!Q262</f>
        <v>212.31666666666666</v>
      </c>
      <c r="L46" s="2453">
        <f>IF($K$2=$P$4,1,0)</f>
        <v>1</v>
      </c>
      <c r="M46" s="3124">
        <f>IF($K$2=$P$4,F46*M2,0)</f>
        <v>4</v>
      </c>
      <c r="N46" s="3118">
        <f>IF(ROUNDDOWN(M46*$N$2/20,0)&lt;L46,L46,ROUNDDOWN(M46*$N$2/20,0))</f>
        <v>2</v>
      </c>
      <c r="O46" s="3128">
        <f>J46*N46</f>
        <v>636.94999999999993</v>
      </c>
      <c r="P46" s="3230"/>
    </row>
    <row r="47" spans="1:16" ht="19.5" customHeight="1" x14ac:dyDescent="0.25">
      <c r="A47" s="4209"/>
      <c r="B47" s="2720" t="s">
        <v>206</v>
      </c>
      <c r="C47" s="2849">
        <v>106201807</v>
      </c>
      <c r="D47" s="2448" t="s">
        <v>1951</v>
      </c>
      <c r="E47" s="1397" t="s">
        <v>576</v>
      </c>
      <c r="F47" s="2449"/>
      <c r="G47" s="2396">
        <v>1</v>
      </c>
      <c r="H47" s="2397"/>
      <c r="I47" s="2398"/>
      <c r="J47" s="3238">
        <f>'Lista global'!P204</f>
        <v>167.65</v>
      </c>
      <c r="K47" s="3238">
        <f>'Lista global'!Q204</f>
        <v>111.76666666666668</v>
      </c>
      <c r="L47" s="2447">
        <v>1</v>
      </c>
      <c r="M47" s="84">
        <f t="shared" si="1"/>
        <v>1</v>
      </c>
      <c r="N47" s="3252">
        <f>IF(ROUNDDOWN(M47*$N$2/10,0)&lt;L47,L47,ROUNDDOWN(M47*$N$2/10,0))</f>
        <v>1</v>
      </c>
      <c r="O47" s="3381">
        <f t="shared" ref="O47:O56" si="2">N47*J47</f>
        <v>167.65</v>
      </c>
    </row>
    <row r="48" spans="1:16" s="1360" customFormat="1" ht="19.5" customHeight="1" thickBot="1" x14ac:dyDescent="0.3">
      <c r="A48" s="4210"/>
      <c r="B48" s="2497" t="s">
        <v>204</v>
      </c>
      <c r="C48" s="2828">
        <v>106110898</v>
      </c>
      <c r="D48" s="2748" t="s">
        <v>1836</v>
      </c>
      <c r="E48" s="2749" t="s">
        <v>575</v>
      </c>
      <c r="F48" s="2729">
        <v>1</v>
      </c>
      <c r="G48" s="2730"/>
      <c r="H48" s="2731"/>
      <c r="I48" s="2452"/>
      <c r="J48" s="3238">
        <f>'Lista global'!P93</f>
        <v>23.116666666666667</v>
      </c>
      <c r="K48" s="3238">
        <f>'Lista global'!Q93</f>
        <v>17.337499999999999</v>
      </c>
      <c r="L48" s="2763">
        <v>1</v>
      </c>
      <c r="M48" s="84">
        <f t="shared" si="1"/>
        <v>4</v>
      </c>
      <c r="N48" s="3253">
        <f>IF(ROUND(M48*$N$2/16,0)&lt;L48,L48,ROUND(M48*$N$2/16,0))</f>
        <v>3</v>
      </c>
      <c r="O48" s="3385">
        <f t="shared" si="2"/>
        <v>69.349999999999994</v>
      </c>
    </row>
    <row r="49" spans="1:16" ht="19.5" customHeight="1" x14ac:dyDescent="0.25">
      <c r="A49" s="4209" t="s">
        <v>2492</v>
      </c>
      <c r="B49" s="2838"/>
      <c r="C49" s="2850">
        <v>106112878</v>
      </c>
      <c r="D49" s="1411" t="s">
        <v>1558</v>
      </c>
      <c r="E49" s="1397" t="s">
        <v>1559</v>
      </c>
      <c r="F49" s="2449">
        <v>5</v>
      </c>
      <c r="G49" s="2447"/>
      <c r="H49" s="2447"/>
      <c r="I49" s="2851"/>
      <c r="J49" s="3238">
        <f>'Lista global'!P120</f>
        <v>2.4249999999999998</v>
      </c>
      <c r="K49" s="3238">
        <f>'Lista global'!Q120</f>
        <v>2.0421052631578949</v>
      </c>
      <c r="L49" s="2447">
        <v>5</v>
      </c>
      <c r="M49" s="84">
        <f t="shared" si="1"/>
        <v>20</v>
      </c>
      <c r="N49" s="3252">
        <f>F49*($N$51+$N$52+$N$53+$N$54+$N$55+$N$56)</f>
        <v>10</v>
      </c>
      <c r="O49" s="3381">
        <f t="shared" si="2"/>
        <v>24.25</v>
      </c>
    </row>
    <row r="50" spans="1:16" ht="19.5" customHeight="1" thickBot="1" x14ac:dyDescent="0.3">
      <c r="A50" s="4210"/>
      <c r="B50" s="2852"/>
      <c r="C50" s="2853">
        <v>106107580</v>
      </c>
      <c r="D50" s="2750" t="s">
        <v>1277</v>
      </c>
      <c r="E50" s="1430" t="s">
        <v>1278</v>
      </c>
      <c r="F50" s="2833">
        <v>3</v>
      </c>
      <c r="G50" s="2764"/>
      <c r="H50" s="2764"/>
      <c r="I50" s="2854"/>
      <c r="J50" s="3238">
        <f>'Lista global'!P78</f>
        <v>1.0874999999999999</v>
      </c>
      <c r="K50" s="3238">
        <f>'Lista global'!Q78</f>
        <v>0.9157894736842106</v>
      </c>
      <c r="L50" s="2484">
        <v>3</v>
      </c>
      <c r="M50" s="84">
        <f t="shared" si="1"/>
        <v>12</v>
      </c>
      <c r="N50" s="3254">
        <f>F50*($N$51+$N$52+$N$53+$N$54+$N$55+$N$56)</f>
        <v>6</v>
      </c>
      <c r="O50" s="3377">
        <f t="shared" si="2"/>
        <v>6.5249999999999995</v>
      </c>
    </row>
    <row r="51" spans="1:16" ht="19.5" customHeight="1" x14ac:dyDescent="0.25">
      <c r="A51" s="4230"/>
      <c r="B51" s="2720" t="s">
        <v>440</v>
      </c>
      <c r="C51" s="2849">
        <v>106111457</v>
      </c>
      <c r="D51" s="1411" t="s">
        <v>3136</v>
      </c>
      <c r="E51" s="1397" t="s">
        <v>3738</v>
      </c>
      <c r="F51" s="2449">
        <v>1</v>
      </c>
      <c r="G51" s="2396"/>
      <c r="H51" s="2397">
        <v>3</v>
      </c>
      <c r="I51" s="2398"/>
      <c r="J51" s="3238">
        <f>'Lista global'!P97</f>
        <v>6373.6</v>
      </c>
      <c r="K51" s="3238">
        <f>'Lista global'!Q97</f>
        <v>3649.4500000000003</v>
      </c>
      <c r="L51" s="2447">
        <f t="shared" ref="L51:L56" si="3">IF($L$2=Q4,1,0)</f>
        <v>0</v>
      </c>
      <c r="M51" s="84">
        <f t="shared" ref="M51:M56" si="4">$M$2*L51</f>
        <v>0</v>
      </c>
      <c r="N51" s="3363">
        <f t="shared" ref="N51:N56" si="5">ROUNDUP($M$2*$N$2*3/100,0)*L51</f>
        <v>0</v>
      </c>
      <c r="O51" s="3375">
        <f t="shared" si="2"/>
        <v>0</v>
      </c>
    </row>
    <row r="52" spans="1:16" ht="19.5" customHeight="1" x14ac:dyDescent="0.25">
      <c r="A52" s="4230"/>
      <c r="B52" s="2497" t="s">
        <v>239</v>
      </c>
      <c r="C52" s="2828">
        <v>106202628</v>
      </c>
      <c r="D52" s="2724" t="s">
        <v>3139</v>
      </c>
      <c r="E52" s="2733" t="s">
        <v>3739</v>
      </c>
      <c r="F52" s="2729">
        <v>1</v>
      </c>
      <c r="G52" s="2730"/>
      <c r="H52" s="2731">
        <v>3</v>
      </c>
      <c r="I52" s="2452"/>
      <c r="J52" s="3238">
        <f>'Lista global'!P208</f>
        <v>7712.0560000000005</v>
      </c>
      <c r="K52" s="3238">
        <f>'Lista global'!Q208</f>
        <v>4415.8344999999999</v>
      </c>
      <c r="L52" s="2763">
        <f t="shared" si="3"/>
        <v>0</v>
      </c>
      <c r="M52" s="84">
        <f t="shared" si="4"/>
        <v>0</v>
      </c>
      <c r="N52" s="3253">
        <f t="shared" si="5"/>
        <v>0</v>
      </c>
      <c r="O52" s="3385">
        <f t="shared" si="2"/>
        <v>0</v>
      </c>
    </row>
    <row r="53" spans="1:16" ht="19.5" customHeight="1" x14ac:dyDescent="0.25">
      <c r="A53" s="4230"/>
      <c r="B53" s="2735" t="s">
        <v>2824</v>
      </c>
      <c r="C53" s="2828">
        <v>106206535</v>
      </c>
      <c r="D53" s="2724" t="s">
        <v>3142</v>
      </c>
      <c r="E53" s="2733" t="s">
        <v>3740</v>
      </c>
      <c r="F53" s="2729">
        <v>1</v>
      </c>
      <c r="G53" s="2730"/>
      <c r="H53" s="2731">
        <v>3</v>
      </c>
      <c r="I53" s="2452"/>
      <c r="J53" s="3238">
        <f>'Lista global'!P298</f>
        <v>8374.0499999999993</v>
      </c>
      <c r="K53" s="3238">
        <f>'Lista global'!Q298</f>
        <v>4794.91</v>
      </c>
      <c r="L53" s="2763">
        <f t="shared" si="3"/>
        <v>1</v>
      </c>
      <c r="M53" s="84">
        <f t="shared" si="4"/>
        <v>4</v>
      </c>
      <c r="N53" s="3253">
        <f t="shared" si="5"/>
        <v>2</v>
      </c>
      <c r="O53" s="3385">
        <f t="shared" si="2"/>
        <v>16748.099999999999</v>
      </c>
    </row>
    <row r="54" spans="1:16" ht="19.5" customHeight="1" x14ac:dyDescent="0.25">
      <c r="A54" s="4230"/>
      <c r="B54" s="2735" t="s">
        <v>1123</v>
      </c>
      <c r="C54" s="2828">
        <v>106204515</v>
      </c>
      <c r="D54" s="2724" t="s">
        <v>3145</v>
      </c>
      <c r="E54" s="2733" t="s">
        <v>3741</v>
      </c>
      <c r="F54" s="2729">
        <v>1</v>
      </c>
      <c r="G54" s="2730"/>
      <c r="H54" s="2731">
        <v>3</v>
      </c>
      <c r="I54" s="2452"/>
      <c r="J54" s="3238">
        <f>'Lista global'!P234</f>
        <v>8868.86</v>
      </c>
      <c r="K54" s="3238">
        <f>'Lista global'!Q234</f>
        <v>5055.25</v>
      </c>
      <c r="L54" s="2763">
        <f t="shared" si="3"/>
        <v>0</v>
      </c>
      <c r="M54" s="84">
        <f t="shared" si="4"/>
        <v>0</v>
      </c>
      <c r="N54" s="3253">
        <f t="shared" si="5"/>
        <v>0</v>
      </c>
      <c r="O54" s="3385">
        <f t="shared" si="2"/>
        <v>0</v>
      </c>
    </row>
    <row r="55" spans="1:16" ht="19.5" customHeight="1" x14ac:dyDescent="0.25">
      <c r="A55" s="4230"/>
      <c r="B55" s="2497" t="s">
        <v>1125</v>
      </c>
      <c r="C55" s="2828">
        <v>106204517</v>
      </c>
      <c r="D55" s="2724" t="s">
        <v>3148</v>
      </c>
      <c r="E55" s="2733" t="s">
        <v>3745</v>
      </c>
      <c r="F55" s="2729">
        <v>1</v>
      </c>
      <c r="G55" s="2730"/>
      <c r="H55" s="2731">
        <v>3</v>
      </c>
      <c r="I55" s="2452"/>
      <c r="J55" s="3238">
        <f>'Lista global'!P236</f>
        <v>9401</v>
      </c>
      <c r="K55" s="3238">
        <f>'Lista global'!Q236</f>
        <v>5358.57</v>
      </c>
      <c r="L55" s="2763">
        <f t="shared" si="3"/>
        <v>0</v>
      </c>
      <c r="M55" s="84">
        <f t="shared" si="4"/>
        <v>0</v>
      </c>
      <c r="N55" s="3253">
        <f t="shared" si="5"/>
        <v>0</v>
      </c>
      <c r="O55" s="3385">
        <f t="shared" si="2"/>
        <v>0</v>
      </c>
    </row>
    <row r="56" spans="1:16" ht="19.5" customHeight="1" thickBot="1" x14ac:dyDescent="0.3">
      <c r="A56" s="4231"/>
      <c r="B56" s="2753" t="s">
        <v>1127</v>
      </c>
      <c r="C56" s="2853">
        <v>106204519</v>
      </c>
      <c r="D56" s="2750" t="s">
        <v>3151</v>
      </c>
      <c r="E56" s="1430" t="s">
        <v>3747</v>
      </c>
      <c r="F56" s="2833">
        <v>1</v>
      </c>
      <c r="G56" s="2855"/>
      <c r="H56" s="2834">
        <v>3</v>
      </c>
      <c r="I56" s="2471"/>
      <c r="J56" s="3238">
        <f>'Lista global'!P238</f>
        <v>9495.01</v>
      </c>
      <c r="K56" s="3238">
        <f>'Lista global'!Q238</f>
        <v>5412.15</v>
      </c>
      <c r="L56" s="2484">
        <f t="shared" si="3"/>
        <v>0</v>
      </c>
      <c r="M56" s="84">
        <f t="shared" si="4"/>
        <v>0</v>
      </c>
      <c r="N56" s="3254">
        <f t="shared" si="5"/>
        <v>0</v>
      </c>
      <c r="O56" s="3377">
        <f t="shared" si="2"/>
        <v>0</v>
      </c>
    </row>
    <row r="57" spans="1:16" ht="19.5" customHeight="1" thickBot="1" x14ac:dyDescent="0.3">
      <c r="A57" s="2856"/>
      <c r="B57" s="2857"/>
      <c r="C57" s="2858"/>
      <c r="D57" s="2859"/>
      <c r="E57" s="2544"/>
      <c r="F57" s="2814"/>
      <c r="G57" s="2860"/>
      <c r="H57" s="2861"/>
      <c r="I57" s="2861"/>
      <c r="N57" s="3138" t="s">
        <v>941</v>
      </c>
      <c r="O57" s="3139">
        <f>SUM(O4:O56)</f>
        <v>27163.109999999997</v>
      </c>
    </row>
    <row r="58" spans="1:16" ht="15.75" thickBot="1" x14ac:dyDescent="0.3">
      <c r="A58" s="1383" t="s">
        <v>1287</v>
      </c>
      <c r="B58" s="1383"/>
      <c r="C58" s="86"/>
      <c r="D58" s="2827"/>
      <c r="E58" s="1383"/>
      <c r="F58" s="1383"/>
      <c r="G58" s="1383"/>
      <c r="H58" s="794"/>
      <c r="I58" s="1383"/>
    </row>
    <row r="59" spans="1:16" x14ac:dyDescent="0.25">
      <c r="A59" s="4220" t="s">
        <v>1291</v>
      </c>
      <c r="B59" s="4221"/>
      <c r="C59" s="4221"/>
      <c r="D59" s="4221"/>
      <c r="E59" s="4221"/>
      <c r="F59" s="4221"/>
      <c r="G59" s="4221"/>
      <c r="H59" s="4221"/>
      <c r="I59" s="4222"/>
      <c r="J59" s="1383"/>
    </row>
    <row r="60" spans="1:16" ht="30" customHeight="1" x14ac:dyDescent="0.25">
      <c r="A60" s="4223" t="s">
        <v>1292</v>
      </c>
      <c r="B60" s="4224"/>
      <c r="C60" s="4224"/>
      <c r="D60" s="4224"/>
      <c r="E60" s="4224"/>
      <c r="F60" s="4224"/>
      <c r="G60" s="4224"/>
      <c r="H60" s="4224"/>
      <c r="I60" s="4225"/>
      <c r="J60" s="1345"/>
    </row>
    <row r="61" spans="1:16" x14ac:dyDescent="0.25">
      <c r="A61" s="4223" t="s">
        <v>1293</v>
      </c>
      <c r="B61" s="4224"/>
      <c r="C61" s="4224"/>
      <c r="D61" s="4224"/>
      <c r="E61" s="4224"/>
      <c r="F61" s="4224"/>
      <c r="G61" s="4224"/>
      <c r="H61" s="4224"/>
      <c r="I61" s="4225"/>
      <c r="J61" s="1345"/>
    </row>
    <row r="62" spans="1:16" ht="33.75" customHeight="1" x14ac:dyDescent="0.25">
      <c r="A62" s="4223" t="s">
        <v>2503</v>
      </c>
      <c r="B62" s="4224"/>
      <c r="C62" s="4224"/>
      <c r="D62" s="4224"/>
      <c r="E62" s="4224"/>
      <c r="F62" s="4224"/>
      <c r="G62" s="4224"/>
      <c r="H62" s="4224"/>
      <c r="I62" s="4225"/>
      <c r="J62" s="1345"/>
    </row>
    <row r="63" spans="1:16" ht="30" customHeight="1" x14ac:dyDescent="0.25">
      <c r="A63" s="4223" t="s">
        <v>2544</v>
      </c>
      <c r="B63" s="4224"/>
      <c r="C63" s="4224"/>
      <c r="D63" s="4224"/>
      <c r="E63" s="4224"/>
      <c r="F63" s="4224"/>
      <c r="G63" s="4224"/>
      <c r="H63" s="4224"/>
      <c r="I63" s="4225"/>
      <c r="J63" s="1345"/>
    </row>
    <row r="64" spans="1:16" x14ac:dyDescent="0.25">
      <c r="A64" s="4223" t="s">
        <v>3051</v>
      </c>
      <c r="B64" s="4224"/>
      <c r="C64" s="4224"/>
      <c r="D64" s="4224"/>
      <c r="E64" s="4224"/>
      <c r="F64" s="4224"/>
      <c r="G64" s="4224"/>
      <c r="H64" s="4224"/>
      <c r="I64" s="4225"/>
      <c r="J64" s="1345"/>
      <c r="K64" s="3231"/>
      <c r="L64" s="3232"/>
      <c r="M64" s="84"/>
      <c r="N64" s="84"/>
      <c r="O64" s="71"/>
      <c r="P64" s="3230"/>
    </row>
    <row r="65" spans="1:10" x14ac:dyDescent="0.25">
      <c r="A65" s="4223" t="s">
        <v>2500</v>
      </c>
      <c r="B65" s="4224"/>
      <c r="C65" s="4224"/>
      <c r="D65" s="4224"/>
      <c r="E65" s="4224"/>
      <c r="F65" s="4224"/>
      <c r="G65" s="4224"/>
      <c r="H65" s="4224"/>
      <c r="I65" s="4225"/>
      <c r="J65" s="1345"/>
    </row>
    <row r="66" spans="1:10" x14ac:dyDescent="0.25">
      <c r="A66" s="4223" t="s">
        <v>2501</v>
      </c>
      <c r="B66" s="4224"/>
      <c r="C66" s="4224"/>
      <c r="D66" s="4224"/>
      <c r="E66" s="4224"/>
      <c r="F66" s="4224"/>
      <c r="G66" s="4224"/>
      <c r="H66" s="4224"/>
      <c r="I66" s="4225"/>
      <c r="J66" s="1345"/>
    </row>
    <row r="67" spans="1:10" ht="15.75" thickBot="1" x14ac:dyDescent="0.3">
      <c r="A67" s="4226" t="s">
        <v>2502</v>
      </c>
      <c r="B67" s="4227"/>
      <c r="C67" s="4227"/>
      <c r="D67" s="4227"/>
      <c r="E67" s="4227"/>
      <c r="F67" s="4227"/>
      <c r="G67" s="4227"/>
      <c r="H67" s="4227"/>
      <c r="I67" s="4228"/>
      <c r="J67" s="1345"/>
    </row>
    <row r="68" spans="1:10" x14ac:dyDescent="0.25">
      <c r="A68" s="1344"/>
      <c r="B68" s="1344"/>
      <c r="C68" s="2391"/>
      <c r="D68" s="2382"/>
      <c r="E68" s="1344"/>
      <c r="F68" s="1344"/>
      <c r="G68" s="1344"/>
      <c r="I68" s="1344"/>
      <c r="J68" s="1345"/>
    </row>
  </sheetData>
  <mergeCells count="20">
    <mergeCell ref="A66:I66"/>
    <mergeCell ref="A67:I67"/>
    <mergeCell ref="A59:I59"/>
    <mergeCell ref="A60:I60"/>
    <mergeCell ref="A61:I61"/>
    <mergeCell ref="A62:I62"/>
    <mergeCell ref="A63:I63"/>
    <mergeCell ref="A65:I65"/>
    <mergeCell ref="A64:I64"/>
    <mergeCell ref="B33:B38"/>
    <mergeCell ref="B41:B42"/>
    <mergeCell ref="A47:A48"/>
    <mergeCell ref="A49:A56"/>
    <mergeCell ref="A29:A46"/>
    <mergeCell ref="G2:I2"/>
    <mergeCell ref="A3:B3"/>
    <mergeCell ref="D3:E3"/>
    <mergeCell ref="A4:A28"/>
    <mergeCell ref="B4:B8"/>
    <mergeCell ref="B10:B20"/>
  </mergeCells>
  <dataValidations count="3">
    <dataValidation type="whole" allowBlank="1" showInputMessage="1" showErrorMessage="1" promptTitle="Nº de módulos" prompt="Introduzca un valor entre 3 y 4" sqref="M2">
      <formula1>3</formula1>
      <formula2>4</formula2>
    </dataValidation>
    <dataValidation type="list" allowBlank="1" showInputMessage="1" showErrorMessage="1" sqref="L2">
      <formula1>$Q$4:$Q$9</formula1>
    </dataValidation>
    <dataValidation type="list" allowBlank="1" showInputMessage="1" showErrorMessage="1" sqref="K2">
      <formula1>$P$4:$P$5</formula1>
    </dataValidation>
  </dataValidations>
  <pageMargins left="0.70866141732283472" right="0.70866141732283472" top="0.74803149606299213" bottom="0.74803149606299213" header="0.31496062992125984" footer="0.31496062992125984"/>
  <pageSetup paperSize="9" scale="50" orientation="portrait" horizontalDpi="200" verticalDpi="200" r:id="rId1"/>
  <ignoredErrors>
    <ignoredError sqref="N23 M46 O46 N26" formula="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1"/>
  <sheetViews>
    <sheetView zoomScale="90" zoomScaleNormal="90" workbookViewId="0">
      <pane ySplit="2" topLeftCell="A12" activePane="bottomLeft" state="frozen"/>
      <selection pane="bottomLeft" activeCell="C26" sqref="C26"/>
    </sheetView>
  </sheetViews>
  <sheetFormatPr baseColWidth="10" defaultRowHeight="15" x14ac:dyDescent="0.25"/>
  <cols>
    <col min="1" max="1" width="19.7109375" style="1383" customWidth="1"/>
    <col min="2" max="2" width="14.5703125" style="794" customWidth="1"/>
    <col min="3" max="3" width="48.85546875" style="794" customWidth="1"/>
    <col min="4" max="4" width="51.42578125" style="1383" customWidth="1"/>
    <col min="5" max="5" width="50.42578125" style="1383" customWidth="1"/>
    <col min="6" max="6" width="14.7109375" style="1383" customWidth="1"/>
    <col min="7" max="7" width="14.5703125" style="1383" customWidth="1"/>
    <col min="8" max="8" width="14.5703125" style="2633" customWidth="1"/>
    <col min="9" max="9" width="14.5703125" style="2502" customWidth="1"/>
    <col min="10" max="10" width="11.42578125" style="3604" customWidth="1"/>
    <col min="11" max="11" width="11.42578125" style="1383" hidden="1" customWidth="1"/>
    <col min="12" max="12" width="11.42578125" style="1383" customWidth="1"/>
    <col min="13" max="13" width="12.140625" style="1346" customWidth="1"/>
    <col min="14" max="14" width="11.7109375" style="1383" hidden="1" customWidth="1"/>
    <col min="15" max="15" width="11.7109375" style="1383" customWidth="1"/>
    <col min="16" max="16" width="11.28515625" style="1383" customWidth="1"/>
    <col min="17" max="17" width="13.7109375" style="1383" customWidth="1"/>
    <col min="18" max="18" width="11" style="2633" customWidth="1"/>
    <col min="19" max="19" width="13.85546875" style="1383" customWidth="1"/>
    <col min="20" max="20" width="14.140625" style="2633" customWidth="1"/>
    <col min="21" max="21" width="13.85546875" style="2633" customWidth="1"/>
    <col min="22" max="22" width="11.42578125" style="1383" hidden="1" customWidth="1"/>
    <col min="23" max="25" width="11.42578125" style="1383"/>
    <col min="26" max="26" width="20.42578125" style="1383" customWidth="1"/>
    <col min="27" max="16384" width="11.42578125" style="1383"/>
  </cols>
  <sheetData>
    <row r="1" spans="1:27" ht="15.75" thickBot="1" x14ac:dyDescent="0.3">
      <c r="T1" s="2633" t="s">
        <v>1427</v>
      </c>
      <c r="U1" s="2633" t="s">
        <v>1548</v>
      </c>
      <c r="V1" s="75" t="s">
        <v>1675</v>
      </c>
    </row>
    <row r="2" spans="1:27" s="1323" customFormat="1" ht="45" x14ac:dyDescent="0.25">
      <c r="A2" s="1333" t="s">
        <v>79</v>
      </c>
      <c r="B2" s="1324" t="s">
        <v>936</v>
      </c>
      <c r="C2" s="1333" t="s">
        <v>1222</v>
      </c>
      <c r="D2" s="76" t="s">
        <v>1</v>
      </c>
      <c r="E2" s="76" t="s">
        <v>525</v>
      </c>
      <c r="F2" s="1332" t="s">
        <v>1223</v>
      </c>
      <c r="G2" s="1332" t="s">
        <v>1224</v>
      </c>
      <c r="H2" s="1083" t="s">
        <v>3795</v>
      </c>
      <c r="I2" s="2503" t="s">
        <v>3794</v>
      </c>
      <c r="J2" s="3605" t="s">
        <v>3315</v>
      </c>
      <c r="K2" s="3605" t="s">
        <v>3315</v>
      </c>
      <c r="L2" s="3605" t="s">
        <v>2603</v>
      </c>
      <c r="M2" s="2366" t="s">
        <v>3356</v>
      </c>
      <c r="N2" s="3616" t="s">
        <v>2605</v>
      </c>
      <c r="O2" s="3616" t="s">
        <v>3803</v>
      </c>
      <c r="P2" s="320" t="s">
        <v>252</v>
      </c>
      <c r="Q2" s="1326" t="s">
        <v>265</v>
      </c>
      <c r="R2" s="1325" t="s">
        <v>253</v>
      </c>
      <c r="S2" s="1327" t="s">
        <v>267</v>
      </c>
      <c r="T2" s="1322"/>
      <c r="U2" s="1322"/>
    </row>
    <row r="3" spans="1:27" s="1351" customFormat="1" x14ac:dyDescent="0.25">
      <c r="A3" s="1383" t="s">
        <v>3718</v>
      </c>
      <c r="B3" s="1848">
        <v>106101217</v>
      </c>
      <c r="C3" s="794" t="s">
        <v>2353</v>
      </c>
      <c r="D3" s="1348" t="s">
        <v>2264</v>
      </c>
      <c r="E3" s="1336" t="s">
        <v>2265</v>
      </c>
      <c r="F3" s="1083">
        <f>LEN(D3)</f>
        <v>18</v>
      </c>
      <c r="G3" s="1083">
        <f>LEN(E3)</f>
        <v>19</v>
      </c>
      <c r="H3" s="3831" t="s">
        <v>3797</v>
      </c>
      <c r="I3" s="2504">
        <v>15.755555555555555</v>
      </c>
      <c r="J3" s="2356">
        <v>8.84</v>
      </c>
      <c r="K3" s="1383">
        <v>8.08</v>
      </c>
      <c r="L3" s="2356">
        <v>8.07</v>
      </c>
      <c r="M3" s="3836">
        <v>15.76</v>
      </c>
      <c r="N3" s="1383">
        <f t="shared" ref="N3:N12" si="0">(J3-K3)/K3</f>
        <v>9.4059405940594032E-2</v>
      </c>
      <c r="O3" s="1318">
        <f t="shared" ref="O3:O30" si="1">(I3-J3)/J3</f>
        <v>0.78230266465560572</v>
      </c>
      <c r="P3" s="1281">
        <f t="shared" ref="P3:P11" si="2">M3/R3</f>
        <v>19.7</v>
      </c>
      <c r="Q3" s="1281">
        <f t="shared" ref="Q3:Q9" si="3">M3/S3</f>
        <v>16.589473684210528</v>
      </c>
      <c r="R3" s="1347">
        <v>0.8</v>
      </c>
      <c r="S3" s="1347">
        <v>0.95</v>
      </c>
      <c r="T3" s="2633"/>
      <c r="U3" s="1383"/>
      <c r="V3" s="1383"/>
      <c r="Y3" s="3608"/>
      <c r="Z3" s="3609"/>
      <c r="AA3" s="3610"/>
    </row>
    <row r="4" spans="1:27" x14ac:dyDescent="0.25">
      <c r="A4" s="1082"/>
      <c r="B4" s="1848">
        <v>106105328</v>
      </c>
      <c r="C4" s="1287" t="s">
        <v>2358</v>
      </c>
      <c r="D4" s="1358" t="s">
        <v>2275</v>
      </c>
      <c r="E4" s="1356" t="s">
        <v>2276</v>
      </c>
      <c r="F4" s="1083">
        <f>LEN(D4)</f>
        <v>21</v>
      </c>
      <c r="G4" s="1083">
        <f>LEN(E4)</f>
        <v>21</v>
      </c>
      <c r="H4" s="3831" t="s">
        <v>3797</v>
      </c>
      <c r="I4" s="2504">
        <v>8.8888888888888892E-2</v>
      </c>
      <c r="J4" s="2356">
        <v>0.13</v>
      </c>
      <c r="K4" s="1281">
        <v>0.08</v>
      </c>
      <c r="L4" s="2356">
        <v>0.08</v>
      </c>
      <c r="M4" s="3836">
        <v>0.13</v>
      </c>
      <c r="N4" s="1318">
        <f t="shared" si="0"/>
        <v>0.625</v>
      </c>
      <c r="O4" s="1318">
        <f t="shared" si="1"/>
        <v>-0.31623931623931623</v>
      </c>
      <c r="P4" s="1281">
        <f t="shared" si="2"/>
        <v>0.16250000000000001</v>
      </c>
      <c r="Q4" s="1281">
        <f t="shared" si="3"/>
        <v>0.1368421052631579</v>
      </c>
      <c r="R4" s="1347">
        <v>0.8</v>
      </c>
      <c r="S4" s="1347">
        <v>0.95</v>
      </c>
      <c r="Y4" s="3608"/>
      <c r="Z4" s="3609"/>
      <c r="AA4" s="3610"/>
    </row>
    <row r="5" spans="1:27" s="3616" customFormat="1" ht="15.75" customHeight="1" x14ac:dyDescent="0.25">
      <c r="A5" s="1383" t="s">
        <v>2268</v>
      </c>
      <c r="B5" s="1848">
        <v>106111742</v>
      </c>
      <c r="C5" s="794" t="s">
        <v>2355</v>
      </c>
      <c r="D5" s="1348" t="s">
        <v>2305</v>
      </c>
      <c r="E5" s="1336" t="s">
        <v>2306</v>
      </c>
      <c r="F5" s="1083">
        <f t="shared" ref="F5:G9" si="4">LEN(D5)</f>
        <v>11</v>
      </c>
      <c r="G5" s="1083">
        <f t="shared" si="4"/>
        <v>11</v>
      </c>
      <c r="H5" s="3831" t="s">
        <v>3798</v>
      </c>
      <c r="I5" s="2504">
        <v>13.477777777777778</v>
      </c>
      <c r="J5" s="2356">
        <v>19.940000000000001</v>
      </c>
      <c r="K5" s="1383">
        <v>19.940000000000001</v>
      </c>
      <c r="L5" s="2356">
        <v>19.940000000000001</v>
      </c>
      <c r="M5" s="3836">
        <v>13.48</v>
      </c>
      <c r="N5" s="1383">
        <f t="shared" si="0"/>
        <v>0</v>
      </c>
      <c r="O5" s="1318">
        <f t="shared" si="1"/>
        <v>-0.32408336119469522</v>
      </c>
      <c r="P5" s="1281">
        <f t="shared" si="2"/>
        <v>16.849999999999998</v>
      </c>
      <c r="Q5" s="1281">
        <f t="shared" si="3"/>
        <v>14.189473684210528</v>
      </c>
      <c r="R5" s="1347">
        <v>0.8</v>
      </c>
      <c r="S5" s="1347">
        <v>0.95</v>
      </c>
      <c r="T5" s="2633"/>
      <c r="U5" s="1383"/>
      <c r="V5" s="1383"/>
      <c r="Y5" s="3611"/>
      <c r="Z5" s="3609"/>
      <c r="AA5" s="3610"/>
    </row>
    <row r="6" spans="1:27" s="794" customFormat="1" ht="17.25" customHeight="1" x14ac:dyDescent="0.25">
      <c r="A6" s="1082" t="s">
        <v>2255</v>
      </c>
      <c r="B6" s="1848">
        <v>106112768</v>
      </c>
      <c r="C6" s="1287" t="s">
        <v>2350</v>
      </c>
      <c r="D6" s="1358" t="s">
        <v>2256</v>
      </c>
      <c r="E6" s="1356" t="s">
        <v>2257</v>
      </c>
      <c r="F6" s="1083">
        <f t="shared" si="4"/>
        <v>12</v>
      </c>
      <c r="G6" s="1083">
        <f t="shared" si="4"/>
        <v>9</v>
      </c>
      <c r="H6" s="3831" t="s">
        <v>3797</v>
      </c>
      <c r="I6" s="2504">
        <v>88.888888888888886</v>
      </c>
      <c r="J6" s="2356">
        <v>88.89</v>
      </c>
      <c r="K6" s="1281">
        <v>93.56</v>
      </c>
      <c r="L6" s="2356">
        <v>89.06</v>
      </c>
      <c r="M6" s="3836">
        <v>88.89</v>
      </c>
      <c r="N6" s="1318">
        <f t="shared" si="0"/>
        <v>-4.9914493373236446E-2</v>
      </c>
      <c r="O6" s="1318">
        <f t="shared" si="1"/>
        <v>-1.2499843751995022E-5</v>
      </c>
      <c r="P6" s="1281">
        <f t="shared" si="2"/>
        <v>111.1125</v>
      </c>
      <c r="Q6" s="1281">
        <f t="shared" si="3"/>
        <v>93.568421052631578</v>
      </c>
      <c r="R6" s="1347">
        <v>0.8</v>
      </c>
      <c r="S6" s="1347">
        <v>0.95</v>
      </c>
      <c r="T6" s="2633"/>
      <c r="U6" s="2633"/>
      <c r="V6" s="1383"/>
      <c r="Y6" s="3608"/>
      <c r="Z6" s="3609"/>
      <c r="AA6" s="3610"/>
    </row>
    <row r="7" spans="1:27" ht="15.75" customHeight="1" x14ac:dyDescent="0.25">
      <c r="A7" s="1383" t="s">
        <v>21</v>
      </c>
      <c r="B7" s="1848">
        <v>106112883</v>
      </c>
      <c r="C7" s="794" t="s">
        <v>2363</v>
      </c>
      <c r="D7" s="1348" t="s">
        <v>2280</v>
      </c>
      <c r="E7" s="1336" t="s">
        <v>2281</v>
      </c>
      <c r="F7" s="1083">
        <f t="shared" si="4"/>
        <v>16</v>
      </c>
      <c r="G7" s="1083">
        <f t="shared" si="4"/>
        <v>16</v>
      </c>
      <c r="H7" s="3831" t="s">
        <v>3797</v>
      </c>
      <c r="I7" s="2504">
        <v>17.744444444444444</v>
      </c>
      <c r="J7" s="2356">
        <v>17.739999999999998</v>
      </c>
      <c r="K7" s="1383">
        <v>17.739999999999998</v>
      </c>
      <c r="L7" s="2356">
        <v>17.739999999999998</v>
      </c>
      <c r="M7" s="3836">
        <v>17.739999999999998</v>
      </c>
      <c r="N7" s="1383">
        <f t="shared" si="0"/>
        <v>0</v>
      </c>
      <c r="O7" s="1318">
        <f t="shared" si="1"/>
        <v>2.5053238131032352E-4</v>
      </c>
      <c r="P7" s="1281">
        <f t="shared" si="2"/>
        <v>22.174999999999997</v>
      </c>
      <c r="Q7" s="1281">
        <f t="shared" si="3"/>
        <v>18.673684210526314</v>
      </c>
      <c r="R7" s="1280">
        <v>0.8</v>
      </c>
      <c r="S7" s="1280">
        <v>0.95</v>
      </c>
      <c r="U7" s="1383"/>
      <c r="Y7" s="3608"/>
      <c r="Z7" s="3609"/>
      <c r="AA7" s="3610"/>
    </row>
    <row r="8" spans="1:27" ht="15.75" customHeight="1" x14ac:dyDescent="0.25">
      <c r="A8" s="1082" t="s">
        <v>283</v>
      </c>
      <c r="B8" s="1848">
        <v>106112884</v>
      </c>
      <c r="C8" s="1287" t="s">
        <v>2364</v>
      </c>
      <c r="D8" s="1358" t="s">
        <v>2344</v>
      </c>
      <c r="E8" s="1356" t="s">
        <v>2345</v>
      </c>
      <c r="F8" s="1083">
        <f t="shared" si="4"/>
        <v>36</v>
      </c>
      <c r="G8" s="1083">
        <f t="shared" si="4"/>
        <v>35</v>
      </c>
      <c r="H8" s="3831" t="s">
        <v>3797</v>
      </c>
      <c r="I8" s="2504">
        <v>3.5444444444444443</v>
      </c>
      <c r="J8" s="2356">
        <v>3.54</v>
      </c>
      <c r="K8" s="1281">
        <v>3.54</v>
      </c>
      <c r="L8" s="2356">
        <v>3.54</v>
      </c>
      <c r="M8" s="3836">
        <v>3.54</v>
      </c>
      <c r="N8" s="1318">
        <f t="shared" si="0"/>
        <v>0</v>
      </c>
      <c r="O8" s="1318">
        <f t="shared" si="1"/>
        <v>1.2554927809164552E-3</v>
      </c>
      <c r="P8" s="1281">
        <f t="shared" si="2"/>
        <v>4.4249999999999998</v>
      </c>
      <c r="Q8" s="1281">
        <f t="shared" si="3"/>
        <v>3.7263157894736842</v>
      </c>
      <c r="R8" s="1280">
        <v>0.8</v>
      </c>
      <c r="S8" s="1280">
        <v>0.95</v>
      </c>
      <c r="Y8" s="3608"/>
      <c r="Z8" s="3609"/>
      <c r="AA8" s="3610"/>
    </row>
    <row r="9" spans="1:27" x14ac:dyDescent="0.25">
      <c r="A9" s="1383" t="s">
        <v>2258</v>
      </c>
      <c r="B9" s="1848">
        <v>106112939</v>
      </c>
      <c r="C9" s="794" t="s">
        <v>2351</v>
      </c>
      <c r="D9" s="1348" t="s">
        <v>2259</v>
      </c>
      <c r="E9" s="1336" t="s">
        <v>2260</v>
      </c>
      <c r="F9" s="1083">
        <f t="shared" si="4"/>
        <v>26</v>
      </c>
      <c r="G9" s="1083">
        <f t="shared" si="4"/>
        <v>19</v>
      </c>
      <c r="H9" s="3831" t="s">
        <v>3798</v>
      </c>
      <c r="I9" s="2504">
        <v>14.333333333333334</v>
      </c>
      <c r="J9" s="2356">
        <v>14.33</v>
      </c>
      <c r="K9" s="1383">
        <v>14.41</v>
      </c>
      <c r="L9" s="2356">
        <v>14.36</v>
      </c>
      <c r="M9" s="3836">
        <v>14.33</v>
      </c>
      <c r="N9" s="1383">
        <f t="shared" si="0"/>
        <v>-5.5517002081887628E-3</v>
      </c>
      <c r="O9" s="1318">
        <f t="shared" si="1"/>
        <v>2.326122354036186E-4</v>
      </c>
      <c r="P9" s="1281">
        <f t="shared" si="2"/>
        <v>35.824999999999996</v>
      </c>
      <c r="Q9" s="1281">
        <f t="shared" si="3"/>
        <v>23.883333333333333</v>
      </c>
      <c r="R9" s="2633">
        <v>0.4</v>
      </c>
      <c r="S9" s="1347">
        <v>0.6</v>
      </c>
      <c r="T9" s="2633" t="s">
        <v>649</v>
      </c>
      <c r="U9" s="1383"/>
      <c r="Y9" s="3611"/>
      <c r="Z9" s="3609"/>
      <c r="AA9" s="3610"/>
    </row>
    <row r="10" spans="1:27" x14ac:dyDescent="0.25">
      <c r="A10" s="1082"/>
      <c r="B10" s="1848">
        <v>106113814</v>
      </c>
      <c r="C10" s="1287" t="s">
        <v>2348</v>
      </c>
      <c r="D10" s="1358" t="s">
        <v>2251</v>
      </c>
      <c r="E10" s="1356" t="s">
        <v>2252</v>
      </c>
      <c r="F10" s="1083">
        <f t="shared" ref="F10:G22" si="5">LEN(D10)</f>
        <v>44</v>
      </c>
      <c r="G10" s="1083">
        <f t="shared" si="5"/>
        <v>29</v>
      </c>
      <c r="H10" s="3831" t="s">
        <v>3798</v>
      </c>
      <c r="I10" s="2504">
        <v>11.444444444444445</v>
      </c>
      <c r="J10" s="2356">
        <v>10.57</v>
      </c>
      <c r="K10" s="1281">
        <v>10.57</v>
      </c>
      <c r="L10" s="2356">
        <v>10.57</v>
      </c>
      <c r="M10" s="3836">
        <v>11.44</v>
      </c>
      <c r="N10" s="1318">
        <f t="shared" si="0"/>
        <v>0</v>
      </c>
      <c r="O10" s="1318">
        <f t="shared" si="1"/>
        <v>8.2728897298433718E-2</v>
      </c>
      <c r="P10" s="1281">
        <f t="shared" si="2"/>
        <v>28.599999999999998</v>
      </c>
      <c r="Q10" s="1281">
        <f t="shared" ref="Q10:Q22" si="6">M10/S10</f>
        <v>19.066666666666666</v>
      </c>
      <c r="R10" s="2633">
        <v>0.4</v>
      </c>
      <c r="S10" s="1347">
        <v>0.6</v>
      </c>
      <c r="T10" s="2633" t="s">
        <v>649</v>
      </c>
      <c r="Y10" s="3608"/>
      <c r="Z10" s="3609"/>
      <c r="AA10" s="3610"/>
    </row>
    <row r="11" spans="1:27" x14ac:dyDescent="0.25">
      <c r="A11" s="1383" t="s">
        <v>3719</v>
      </c>
      <c r="B11" s="1848">
        <v>106114097</v>
      </c>
      <c r="C11" s="794" t="s">
        <v>2365</v>
      </c>
      <c r="D11" s="1348" t="s">
        <v>2307</v>
      </c>
      <c r="E11" s="1336" t="s">
        <v>2307</v>
      </c>
      <c r="F11" s="1083">
        <f t="shared" si="5"/>
        <v>24</v>
      </c>
      <c r="G11" s="1083">
        <f t="shared" si="5"/>
        <v>24</v>
      </c>
      <c r="H11" s="3831" t="s">
        <v>3797</v>
      </c>
      <c r="I11" s="2504">
        <v>32.166666666666664</v>
      </c>
      <c r="J11" s="2356">
        <v>32.17</v>
      </c>
      <c r="K11" s="1383">
        <v>32.17</v>
      </c>
      <c r="L11" s="2356">
        <v>32.17</v>
      </c>
      <c r="M11" s="3836">
        <v>32.17</v>
      </c>
      <c r="N11" s="1383">
        <f t="shared" si="0"/>
        <v>0</v>
      </c>
      <c r="O11" s="1318">
        <f t="shared" si="1"/>
        <v>-1.0361620557467849E-4</v>
      </c>
      <c r="P11" s="1281">
        <f t="shared" si="2"/>
        <v>40.212499999999999</v>
      </c>
      <c r="Q11" s="1281">
        <f t="shared" si="6"/>
        <v>33.863157894736844</v>
      </c>
      <c r="R11" s="1280">
        <v>0.8</v>
      </c>
      <c r="S11" s="1280">
        <v>0.95</v>
      </c>
      <c r="U11" s="1383"/>
      <c r="Y11" s="3611"/>
      <c r="Z11" s="3609"/>
      <c r="AA11" s="3610"/>
    </row>
    <row r="12" spans="1:27" x14ac:dyDescent="0.25">
      <c r="A12" s="1383" t="s">
        <v>2272</v>
      </c>
      <c r="B12" s="1848">
        <v>106115900</v>
      </c>
      <c r="C12" s="794" t="s">
        <v>2357</v>
      </c>
      <c r="D12" s="1348" t="s">
        <v>2273</v>
      </c>
      <c r="E12" s="1336" t="s">
        <v>2274</v>
      </c>
      <c r="F12" s="1083">
        <f t="shared" si="5"/>
        <v>24</v>
      </c>
      <c r="G12" s="1083">
        <f t="shared" si="5"/>
        <v>19</v>
      </c>
      <c r="H12" s="3831" t="s">
        <v>3797</v>
      </c>
      <c r="I12" s="2504">
        <v>19.222222222222221</v>
      </c>
      <c r="J12" s="2356">
        <v>19.22</v>
      </c>
      <c r="K12" s="1383">
        <v>19.22</v>
      </c>
      <c r="L12" s="2356">
        <v>19.22</v>
      </c>
      <c r="M12" s="3836">
        <v>19.22</v>
      </c>
      <c r="N12" s="1383">
        <f t="shared" si="0"/>
        <v>0</v>
      </c>
      <c r="O12" s="1318">
        <f t="shared" si="1"/>
        <v>1.1562030292521175E-4</v>
      </c>
      <c r="P12" s="1281">
        <f t="shared" ref="P12:P22" si="7">M12/R12</f>
        <v>24.024999999999999</v>
      </c>
      <c r="Q12" s="1281">
        <f t="shared" si="6"/>
        <v>20.231578947368419</v>
      </c>
      <c r="R12" s="1280">
        <v>0.8</v>
      </c>
      <c r="S12" s="1280">
        <v>0.95</v>
      </c>
      <c r="U12" s="1383"/>
      <c r="Y12" s="3611"/>
      <c r="Z12" s="3609"/>
      <c r="AA12" s="3610"/>
    </row>
    <row r="13" spans="1:27" x14ac:dyDescent="0.25">
      <c r="B13" s="1848">
        <v>106116335</v>
      </c>
      <c r="C13" s="794" t="s">
        <v>2349</v>
      </c>
      <c r="D13" s="1348" t="s">
        <v>2253</v>
      </c>
      <c r="E13" s="1336" t="s">
        <v>2254</v>
      </c>
      <c r="F13" s="1083">
        <f t="shared" si="5"/>
        <v>16</v>
      </c>
      <c r="G13" s="1083">
        <f t="shared" si="5"/>
        <v>13</v>
      </c>
      <c r="H13" s="3831" t="s">
        <v>3797</v>
      </c>
      <c r="I13" s="2504">
        <v>9.0555555555555554</v>
      </c>
      <c r="J13" s="2356">
        <v>9.58</v>
      </c>
      <c r="K13" s="1383">
        <v>6.19</v>
      </c>
      <c r="L13" s="2356">
        <v>6.84</v>
      </c>
      <c r="M13" s="3836">
        <v>9.06</v>
      </c>
      <c r="N13" s="1383">
        <f t="shared" ref="N13:N22" si="8">(J13-K13)/K13</f>
        <v>0.54765751211631652</v>
      </c>
      <c r="O13" s="1318">
        <f t="shared" si="1"/>
        <v>-5.4743678960797987E-2</v>
      </c>
      <c r="P13" s="1281">
        <f t="shared" si="7"/>
        <v>15.100000000000001</v>
      </c>
      <c r="Q13" s="1281">
        <f t="shared" si="6"/>
        <v>11.324999999999999</v>
      </c>
      <c r="R13" s="1280">
        <v>0.6</v>
      </c>
      <c r="S13" s="1280">
        <v>0.8</v>
      </c>
      <c r="U13" s="1383"/>
      <c r="Y13" s="3611"/>
      <c r="Z13" s="3609"/>
      <c r="AA13" s="3610"/>
    </row>
    <row r="14" spans="1:27" x14ac:dyDescent="0.25">
      <c r="A14" s="1383" t="s">
        <v>2278</v>
      </c>
      <c r="B14" s="1848">
        <v>106116338</v>
      </c>
      <c r="C14" s="794" t="s">
        <v>2359</v>
      </c>
      <c r="D14" s="1348" t="s">
        <v>2293</v>
      </c>
      <c r="E14" s="1336" t="s">
        <v>2294</v>
      </c>
      <c r="F14" s="1083">
        <f t="shared" si="5"/>
        <v>17</v>
      </c>
      <c r="G14" s="1083">
        <f t="shared" si="5"/>
        <v>15</v>
      </c>
      <c r="H14" s="3831" t="s">
        <v>3797</v>
      </c>
      <c r="I14" s="2504">
        <v>6.7</v>
      </c>
      <c r="J14" s="2356">
        <v>6.5</v>
      </c>
      <c r="K14" s="1383">
        <v>5.67</v>
      </c>
      <c r="L14" s="2356">
        <v>5.67</v>
      </c>
      <c r="M14" s="3836">
        <v>6.7</v>
      </c>
      <c r="N14" s="1383">
        <f t="shared" si="8"/>
        <v>0.14638447971781307</v>
      </c>
      <c r="O14" s="1318">
        <f t="shared" si="1"/>
        <v>3.0769230769230795E-2</v>
      </c>
      <c r="P14" s="1281">
        <f t="shared" si="7"/>
        <v>8.375</v>
      </c>
      <c r="Q14" s="1281">
        <f t="shared" si="6"/>
        <v>7.052631578947369</v>
      </c>
      <c r="R14" s="1280">
        <v>0.8</v>
      </c>
      <c r="S14" s="1280">
        <v>0.95</v>
      </c>
      <c r="T14" s="2633" t="s">
        <v>649</v>
      </c>
      <c r="U14" s="1383"/>
      <c r="Y14" s="3611"/>
      <c r="Z14" s="3609"/>
      <c r="AA14" s="3610"/>
    </row>
    <row r="15" spans="1:27" x14ac:dyDescent="0.25">
      <c r="A15" s="1082" t="s">
        <v>290</v>
      </c>
      <c r="B15" s="1848">
        <v>106116530</v>
      </c>
      <c r="C15" s="1287" t="s">
        <v>2362</v>
      </c>
      <c r="D15" s="1358" t="s">
        <v>2301</v>
      </c>
      <c r="E15" s="1356" t="s">
        <v>2300</v>
      </c>
      <c r="F15" s="1083">
        <f t="shared" si="5"/>
        <v>58</v>
      </c>
      <c r="G15" s="1083">
        <f t="shared" si="5"/>
        <v>48</v>
      </c>
      <c r="H15" s="3831" t="s">
        <v>3797</v>
      </c>
      <c r="I15" s="2504">
        <v>173.94444444444446</v>
      </c>
      <c r="J15" s="2356">
        <v>173.94</v>
      </c>
      <c r="K15" s="1281">
        <v>173.94</v>
      </c>
      <c r="L15" s="2356">
        <v>173.94</v>
      </c>
      <c r="M15" s="3836">
        <v>173.94</v>
      </c>
      <c r="N15" s="1318">
        <f t="shared" si="8"/>
        <v>0</v>
      </c>
      <c r="O15" s="1318">
        <f t="shared" si="1"/>
        <v>2.5551595058407208E-5</v>
      </c>
      <c r="P15" s="1281">
        <f t="shared" si="7"/>
        <v>217.42499999999998</v>
      </c>
      <c r="Q15" s="1281">
        <f t="shared" si="6"/>
        <v>183.09473684210528</v>
      </c>
      <c r="R15" s="1280">
        <v>0.8</v>
      </c>
      <c r="S15" s="1280">
        <v>0.95</v>
      </c>
      <c r="Y15" s="3611"/>
      <c r="Z15" s="3609"/>
      <c r="AA15" s="3610"/>
    </row>
    <row r="16" spans="1:27" x14ac:dyDescent="0.25">
      <c r="A16" s="1082" t="s">
        <v>764</v>
      </c>
      <c r="B16" s="1848">
        <v>106116542</v>
      </c>
      <c r="C16" s="1563" t="s">
        <v>2354</v>
      </c>
      <c r="D16" s="1358" t="s">
        <v>3828</v>
      </c>
      <c r="E16" s="1356" t="s">
        <v>3828</v>
      </c>
      <c r="F16" s="1083">
        <f t="shared" si="5"/>
        <v>11</v>
      </c>
      <c r="G16" s="1083">
        <f t="shared" si="5"/>
        <v>11</v>
      </c>
      <c r="H16" s="3831" t="s">
        <v>3798</v>
      </c>
      <c r="I16" s="2504">
        <v>0.71111111111111114</v>
      </c>
      <c r="J16" s="2356">
        <v>0.71</v>
      </c>
      <c r="K16" s="1281">
        <v>0.71</v>
      </c>
      <c r="L16" s="2356">
        <v>0.71</v>
      </c>
      <c r="M16" s="3836">
        <v>0.71</v>
      </c>
      <c r="N16" s="1318">
        <f t="shared" si="8"/>
        <v>0</v>
      </c>
      <c r="O16" s="1318">
        <f t="shared" si="1"/>
        <v>1.5649452269171462E-3</v>
      </c>
      <c r="P16" s="1281">
        <f t="shared" si="7"/>
        <v>0.88749999999999996</v>
      </c>
      <c r="Q16" s="1281">
        <f t="shared" si="6"/>
        <v>0.74736842105263157</v>
      </c>
      <c r="R16" s="1280">
        <v>0.8</v>
      </c>
      <c r="S16" s="1280">
        <v>0.95</v>
      </c>
      <c r="Y16" s="3611"/>
      <c r="Z16" s="3609"/>
      <c r="AA16" s="3610"/>
    </row>
    <row r="17" spans="1:27" x14ac:dyDescent="0.25">
      <c r="B17" s="1848">
        <v>106116548</v>
      </c>
      <c r="C17" s="794" t="s">
        <v>2347</v>
      </c>
      <c r="D17" s="1348" t="s">
        <v>2249</v>
      </c>
      <c r="E17" s="1336" t="s">
        <v>2250</v>
      </c>
      <c r="F17" s="1083">
        <f t="shared" si="5"/>
        <v>23</v>
      </c>
      <c r="G17" s="1083">
        <f t="shared" si="5"/>
        <v>21</v>
      </c>
      <c r="H17" s="3831" t="s">
        <v>3798</v>
      </c>
      <c r="I17" s="2504">
        <v>38.488888888888887</v>
      </c>
      <c r="J17" s="2356">
        <v>38.49</v>
      </c>
      <c r="K17" s="1383">
        <v>38.78</v>
      </c>
      <c r="L17" s="2356">
        <v>36.11</v>
      </c>
      <c r="M17" s="3836">
        <v>38.49</v>
      </c>
      <c r="N17" s="1383">
        <f t="shared" si="8"/>
        <v>-7.4780814853016801E-3</v>
      </c>
      <c r="O17" s="1318">
        <f t="shared" si="1"/>
        <v>-2.8867526919065665E-5</v>
      </c>
      <c r="P17" s="1281">
        <f t="shared" si="7"/>
        <v>96.224999999999994</v>
      </c>
      <c r="Q17" s="1281">
        <f t="shared" si="6"/>
        <v>64.150000000000006</v>
      </c>
      <c r="R17" s="2633">
        <v>0.4</v>
      </c>
      <c r="S17" s="1347">
        <v>0.6</v>
      </c>
      <c r="T17" s="2633" t="s">
        <v>649</v>
      </c>
      <c r="U17" s="1383"/>
      <c r="Y17" s="3611"/>
      <c r="Z17" s="3609"/>
      <c r="AA17" s="3610"/>
    </row>
    <row r="18" spans="1:27" x14ac:dyDescent="0.25">
      <c r="A18" s="1082" t="s">
        <v>290</v>
      </c>
      <c r="B18" s="1848">
        <v>106117144</v>
      </c>
      <c r="C18" s="1287" t="s">
        <v>2366</v>
      </c>
      <c r="D18" s="1358" t="s">
        <v>2302</v>
      </c>
      <c r="E18" s="1356" t="s">
        <v>2303</v>
      </c>
      <c r="F18" s="1083">
        <f t="shared" si="5"/>
        <v>58</v>
      </c>
      <c r="G18" s="1083">
        <f t="shared" si="5"/>
        <v>47</v>
      </c>
      <c r="H18" s="3831" t="s">
        <v>3797</v>
      </c>
      <c r="I18" s="2504">
        <v>307.67777777777781</v>
      </c>
      <c r="J18" s="2356">
        <v>307.68</v>
      </c>
      <c r="K18" s="1281">
        <v>303.33</v>
      </c>
      <c r="L18" s="2356">
        <v>303.33</v>
      </c>
      <c r="M18" s="3836">
        <v>307.68</v>
      </c>
      <c r="N18" s="1318">
        <f t="shared" si="8"/>
        <v>1.4340816932054273E-2</v>
      </c>
      <c r="O18" s="1318">
        <f t="shared" si="1"/>
        <v>-7.222511122598977E-6</v>
      </c>
      <c r="P18" s="1281">
        <f t="shared" si="7"/>
        <v>384.59999999999997</v>
      </c>
      <c r="Q18" s="1281">
        <f t="shared" si="6"/>
        <v>323.87368421052633</v>
      </c>
      <c r="R18" s="1280">
        <v>0.8</v>
      </c>
      <c r="S18" s="1280">
        <v>0.95</v>
      </c>
      <c r="Y18" s="3611"/>
      <c r="Z18" s="3609"/>
      <c r="AA18" s="3610"/>
    </row>
    <row r="19" spans="1:27" x14ac:dyDescent="0.25">
      <c r="A19" s="1082" t="s">
        <v>290</v>
      </c>
      <c r="B19" s="1848">
        <v>106117850</v>
      </c>
      <c r="C19" s="1287" t="s">
        <v>2360</v>
      </c>
      <c r="D19" s="1358" t="s">
        <v>2295</v>
      </c>
      <c r="E19" s="1356" t="s">
        <v>2279</v>
      </c>
      <c r="F19" s="1083">
        <f t="shared" si="5"/>
        <v>26</v>
      </c>
      <c r="G19" s="1083">
        <f t="shared" si="5"/>
        <v>18</v>
      </c>
      <c r="H19" s="3831" t="s">
        <v>3797</v>
      </c>
      <c r="I19" s="2504">
        <v>49.166666666666664</v>
      </c>
      <c r="J19" s="2356">
        <v>49.17</v>
      </c>
      <c r="K19" s="1281">
        <v>48.47</v>
      </c>
      <c r="L19" s="2356">
        <v>48.47</v>
      </c>
      <c r="M19" s="3836">
        <v>49.17</v>
      </c>
      <c r="N19" s="1318">
        <f t="shared" si="8"/>
        <v>1.4441922838869463E-2</v>
      </c>
      <c r="O19" s="1318">
        <f t="shared" si="1"/>
        <v>-6.7792014100821778E-5</v>
      </c>
      <c r="P19" s="1281">
        <f t="shared" si="7"/>
        <v>61.462499999999999</v>
      </c>
      <c r="Q19" s="1281">
        <f t="shared" si="6"/>
        <v>51.757894736842111</v>
      </c>
      <c r="R19" s="1280">
        <v>0.8</v>
      </c>
      <c r="S19" s="1280">
        <v>0.95</v>
      </c>
      <c r="Y19" s="3611"/>
      <c r="Z19" s="3609"/>
      <c r="AA19" s="3610"/>
    </row>
    <row r="20" spans="1:27" x14ac:dyDescent="0.25">
      <c r="A20" s="1383" t="s">
        <v>290</v>
      </c>
      <c r="B20" s="1848">
        <v>106117960</v>
      </c>
      <c r="C20" s="794" t="s">
        <v>2367</v>
      </c>
      <c r="D20" s="1348" t="s">
        <v>2304</v>
      </c>
      <c r="E20" s="1336" t="s">
        <v>2285</v>
      </c>
      <c r="F20" s="1083">
        <f t="shared" si="5"/>
        <v>35</v>
      </c>
      <c r="G20" s="1083">
        <f t="shared" si="5"/>
        <v>28</v>
      </c>
      <c r="H20" s="3831" t="s">
        <v>3797</v>
      </c>
      <c r="I20" s="2504">
        <v>88.855555555555554</v>
      </c>
      <c r="J20" s="2356">
        <v>88.86</v>
      </c>
      <c r="K20" s="1383">
        <v>88.86</v>
      </c>
      <c r="L20" s="2356">
        <v>88.86</v>
      </c>
      <c r="M20" s="3836">
        <v>88.86</v>
      </c>
      <c r="N20" s="1383">
        <f t="shared" si="8"/>
        <v>0</v>
      </c>
      <c r="O20" s="1318">
        <f t="shared" si="1"/>
        <v>-5.0016255282974783E-5</v>
      </c>
      <c r="P20" s="1281">
        <f t="shared" si="7"/>
        <v>111.07499999999999</v>
      </c>
      <c r="Q20" s="1281">
        <f t="shared" si="6"/>
        <v>93.536842105263162</v>
      </c>
      <c r="R20" s="1280">
        <v>0.8</v>
      </c>
      <c r="S20" s="1280">
        <v>0.95</v>
      </c>
      <c r="U20" s="1383"/>
      <c r="Y20" s="3611"/>
      <c r="Z20" s="3609"/>
      <c r="AA20" s="3610"/>
    </row>
    <row r="21" spans="1:27" x14ac:dyDescent="0.25">
      <c r="A21" s="1082" t="s">
        <v>328</v>
      </c>
      <c r="B21" s="1848">
        <v>106117965</v>
      </c>
      <c r="C21" s="1287" t="s">
        <v>2368</v>
      </c>
      <c r="D21" s="1358" t="s">
        <v>2298</v>
      </c>
      <c r="E21" s="1356" t="s">
        <v>2299</v>
      </c>
      <c r="F21" s="1083">
        <f t="shared" si="5"/>
        <v>31</v>
      </c>
      <c r="G21" s="1083">
        <f t="shared" si="5"/>
        <v>32</v>
      </c>
      <c r="H21" s="3831" t="s">
        <v>3798</v>
      </c>
      <c r="I21" s="2504">
        <v>75.13333333333334</v>
      </c>
      <c r="J21" s="2356">
        <v>75.13</v>
      </c>
      <c r="K21" s="1281">
        <v>75.13</v>
      </c>
      <c r="L21" s="2356">
        <v>75.12</v>
      </c>
      <c r="M21" s="3836">
        <v>75.13</v>
      </c>
      <c r="N21" s="1318">
        <f t="shared" si="8"/>
        <v>0</v>
      </c>
      <c r="O21" s="1318">
        <f t="shared" si="1"/>
        <v>4.43675407073674E-5</v>
      </c>
      <c r="P21" s="1281">
        <f t="shared" si="7"/>
        <v>93.912499999999994</v>
      </c>
      <c r="Q21" s="1281">
        <f t="shared" si="6"/>
        <v>79.084210526315786</v>
      </c>
      <c r="R21" s="1280">
        <v>0.8</v>
      </c>
      <c r="S21" s="1280">
        <v>0.95</v>
      </c>
      <c r="T21" s="2633" t="s">
        <v>649</v>
      </c>
      <c r="Y21" s="3611"/>
      <c r="Z21" s="3609"/>
      <c r="AA21" s="3610"/>
    </row>
    <row r="22" spans="1:27" x14ac:dyDescent="0.25">
      <c r="A22" s="1383" t="s">
        <v>328</v>
      </c>
      <c r="B22" s="1848">
        <v>106118004</v>
      </c>
      <c r="C22" s="794" t="s">
        <v>2361</v>
      </c>
      <c r="D22" s="1348" t="s">
        <v>2296</v>
      </c>
      <c r="E22" s="1336" t="s">
        <v>2297</v>
      </c>
      <c r="F22" s="1083">
        <f t="shared" si="5"/>
        <v>26</v>
      </c>
      <c r="G22" s="1083">
        <f t="shared" si="5"/>
        <v>29</v>
      </c>
      <c r="H22" s="3831" t="s">
        <v>3797</v>
      </c>
      <c r="I22" s="2504">
        <v>27.922222222222221</v>
      </c>
      <c r="J22" s="2356">
        <v>27.92</v>
      </c>
      <c r="K22" s="1383">
        <v>28.4</v>
      </c>
      <c r="L22" s="2356">
        <v>27.94</v>
      </c>
      <c r="M22" s="3836">
        <v>27.92</v>
      </c>
      <c r="N22" s="1383">
        <f t="shared" si="8"/>
        <v>-1.6901408450704116E-2</v>
      </c>
      <c r="O22" s="1318">
        <f t="shared" si="1"/>
        <v>7.9592486469162485E-5</v>
      </c>
      <c r="P22" s="1281">
        <f t="shared" si="7"/>
        <v>34.9</v>
      </c>
      <c r="Q22" s="1281">
        <f t="shared" si="6"/>
        <v>29.389473684210529</v>
      </c>
      <c r="R22" s="1280">
        <v>0.8</v>
      </c>
      <c r="S22" s="1280">
        <v>0.95</v>
      </c>
      <c r="U22" s="1383"/>
      <c r="Y22" s="3611"/>
      <c r="Z22" s="3609"/>
      <c r="AA22" s="3610"/>
    </row>
    <row r="23" spans="1:27" x14ac:dyDescent="0.25">
      <c r="A23" s="1082" t="s">
        <v>2245</v>
      </c>
      <c r="B23" s="1848">
        <v>106202632</v>
      </c>
      <c r="C23" s="1287" t="s">
        <v>2346</v>
      </c>
      <c r="D23" s="1358" t="s">
        <v>2246</v>
      </c>
      <c r="E23" s="1356" t="s">
        <v>2247</v>
      </c>
      <c r="F23" s="1083">
        <f t="shared" ref="F23:G25" si="9">LEN(D23)</f>
        <v>33</v>
      </c>
      <c r="G23" s="1083">
        <f t="shared" si="9"/>
        <v>30</v>
      </c>
      <c r="H23" s="3831" t="s">
        <v>3799</v>
      </c>
      <c r="I23" s="2504">
        <v>147.52222222222224</v>
      </c>
      <c r="J23" s="2356">
        <v>147.52000000000001</v>
      </c>
      <c r="K23" s="1281">
        <v>145.26</v>
      </c>
      <c r="L23" s="2356">
        <v>145.81</v>
      </c>
      <c r="M23" s="3836">
        <v>147.52000000000001</v>
      </c>
      <c r="N23" s="1318">
        <f>(J23-K23)/K23</f>
        <v>1.5558309238606771E-2</v>
      </c>
      <c r="O23" s="1318">
        <f t="shared" si="1"/>
        <v>1.5063870812294433E-5</v>
      </c>
      <c r="P23" s="1281">
        <f t="shared" ref="P23:P31" si="10">M23/R23</f>
        <v>368.8</v>
      </c>
      <c r="Q23" s="1281">
        <f t="shared" ref="Q23:Q31" si="11">M23/S23</f>
        <v>245.8666666666667</v>
      </c>
      <c r="R23" s="2633">
        <v>0.4</v>
      </c>
      <c r="S23" s="1347">
        <v>0.6</v>
      </c>
      <c r="Y23" s="3611"/>
      <c r="Z23" s="3609"/>
      <c r="AA23" s="3610"/>
    </row>
    <row r="24" spans="1:27" x14ac:dyDescent="0.25">
      <c r="A24" s="1082" t="s">
        <v>2269</v>
      </c>
      <c r="B24" s="1848">
        <v>106202633</v>
      </c>
      <c r="C24" s="1287" t="s">
        <v>2356</v>
      </c>
      <c r="D24" s="1358" t="s">
        <v>2270</v>
      </c>
      <c r="E24" s="1356" t="s">
        <v>2271</v>
      </c>
      <c r="F24" s="1083">
        <f t="shared" si="9"/>
        <v>27</v>
      </c>
      <c r="G24" s="1083">
        <f t="shared" si="9"/>
        <v>28</v>
      </c>
      <c r="H24" s="3831" t="s">
        <v>3799</v>
      </c>
      <c r="I24" s="2504">
        <v>26.099999999999998</v>
      </c>
      <c r="J24" s="2356">
        <v>26.1</v>
      </c>
      <c r="K24" s="1281">
        <v>31.49</v>
      </c>
      <c r="L24" s="2356">
        <v>26.36</v>
      </c>
      <c r="M24" s="3836">
        <v>26.1</v>
      </c>
      <c r="N24" s="1318">
        <f>(J24-K24)/K24</f>
        <v>-0.1711654493489996</v>
      </c>
      <c r="O24" s="1318">
        <f t="shared" si="1"/>
        <v>-1.3611929803833336E-16</v>
      </c>
      <c r="P24" s="1281">
        <f t="shared" si="10"/>
        <v>65.25</v>
      </c>
      <c r="Q24" s="1281">
        <f t="shared" si="11"/>
        <v>43.500000000000007</v>
      </c>
      <c r="R24" s="2633">
        <v>0.4</v>
      </c>
      <c r="S24" s="1347">
        <v>0.6</v>
      </c>
      <c r="Y24" s="3611"/>
      <c r="Z24" s="3609"/>
      <c r="AA24" s="3610"/>
    </row>
    <row r="25" spans="1:27" x14ac:dyDescent="0.25">
      <c r="A25" s="1082" t="s">
        <v>2261</v>
      </c>
      <c r="B25" s="1848">
        <v>106202635</v>
      </c>
      <c r="C25" s="1287" t="s">
        <v>2352</v>
      </c>
      <c r="D25" s="1358" t="s">
        <v>2262</v>
      </c>
      <c r="E25" s="1356" t="s">
        <v>2263</v>
      </c>
      <c r="F25" s="1083">
        <f t="shared" si="9"/>
        <v>30</v>
      </c>
      <c r="G25" s="1083">
        <f t="shared" si="9"/>
        <v>25</v>
      </c>
      <c r="H25" s="3831" t="s">
        <v>3799</v>
      </c>
      <c r="I25" s="2504">
        <v>5.4222222222222216</v>
      </c>
      <c r="J25" s="2356">
        <v>5.42</v>
      </c>
      <c r="K25" s="1281">
        <v>7.19</v>
      </c>
      <c r="L25" s="2356">
        <v>5.63</v>
      </c>
      <c r="M25" s="3836">
        <v>5.42</v>
      </c>
      <c r="N25" s="1318">
        <f>(J25-K25)/K25</f>
        <v>-0.24617524339360228</v>
      </c>
      <c r="O25" s="1318">
        <f t="shared" si="1"/>
        <v>4.1000410004090064E-4</v>
      </c>
      <c r="P25" s="1281">
        <f t="shared" si="10"/>
        <v>13.549999999999999</v>
      </c>
      <c r="Q25" s="1281">
        <f t="shared" si="11"/>
        <v>9.0333333333333332</v>
      </c>
      <c r="R25" s="2633">
        <v>0.4</v>
      </c>
      <c r="S25" s="1347">
        <v>0.6</v>
      </c>
      <c r="Y25" s="3608"/>
      <c r="Z25" s="3609"/>
      <c r="AA25" s="3610"/>
    </row>
    <row r="26" spans="1:27" x14ac:dyDescent="0.25">
      <c r="B26" s="1848">
        <v>106206320</v>
      </c>
      <c r="C26" s="1358" t="s">
        <v>2630</v>
      </c>
      <c r="D26" s="1383" t="s">
        <v>2624</v>
      </c>
      <c r="E26" s="1356" t="s">
        <v>2625</v>
      </c>
      <c r="F26" s="1083">
        <f t="shared" ref="F26:G29" si="12">LEN(D26)</f>
        <v>22</v>
      </c>
      <c r="G26" s="1083">
        <f t="shared" si="12"/>
        <v>20</v>
      </c>
      <c r="H26" s="3831" t="s">
        <v>3796</v>
      </c>
      <c r="I26" s="2504">
        <v>25.999999999999996</v>
      </c>
      <c r="J26" s="2356">
        <v>26</v>
      </c>
      <c r="K26" s="1383">
        <v>26</v>
      </c>
      <c r="L26" s="2356">
        <v>26</v>
      </c>
      <c r="M26" s="3836">
        <v>26</v>
      </c>
      <c r="N26" s="1346"/>
      <c r="O26" s="1318">
        <f t="shared" si="1"/>
        <v>-1.3664283380001927E-16</v>
      </c>
      <c r="P26" s="1281">
        <f t="shared" si="10"/>
        <v>43.333333333333336</v>
      </c>
      <c r="Q26" s="1281">
        <f t="shared" si="11"/>
        <v>32.5</v>
      </c>
      <c r="R26" s="2633">
        <v>0.6</v>
      </c>
      <c r="S26" s="1347">
        <v>0.8</v>
      </c>
      <c r="T26" s="142"/>
      <c r="V26" s="2633"/>
      <c r="Y26" s="3611"/>
      <c r="Z26" s="3609"/>
      <c r="AA26" s="3610"/>
    </row>
    <row r="27" spans="1:27" x14ac:dyDescent="0.25">
      <c r="B27" s="1848">
        <v>106113627</v>
      </c>
      <c r="C27" s="1358" t="s">
        <v>2627</v>
      </c>
      <c r="D27" s="1383" t="s">
        <v>2618</v>
      </c>
      <c r="E27" s="1356" t="s">
        <v>2619</v>
      </c>
      <c r="F27" s="1083">
        <f>LEN(D27)</f>
        <v>22</v>
      </c>
      <c r="G27" s="1083">
        <f t="shared" si="12"/>
        <v>8</v>
      </c>
      <c r="H27" s="3831" t="s">
        <v>3797</v>
      </c>
      <c r="I27" s="2504">
        <v>2.5</v>
      </c>
      <c r="K27" s="1314"/>
      <c r="L27" s="3834">
        <v>4.26</v>
      </c>
      <c r="M27" s="3836">
        <v>3.5</v>
      </c>
      <c r="N27" s="1346"/>
      <c r="O27" s="1318" t="e">
        <f t="shared" si="1"/>
        <v>#DIV/0!</v>
      </c>
      <c r="P27" s="1281">
        <f t="shared" si="10"/>
        <v>5.8333333333333339</v>
      </c>
      <c r="Q27" s="1281">
        <f t="shared" si="11"/>
        <v>4.375</v>
      </c>
      <c r="R27" s="2633">
        <v>0.6</v>
      </c>
      <c r="S27" s="1347">
        <v>0.8</v>
      </c>
      <c r="T27" s="142"/>
      <c r="V27" s="2633"/>
      <c r="Y27" s="3611"/>
      <c r="Z27" s="3609"/>
      <c r="AA27" s="3610"/>
    </row>
    <row r="28" spans="1:27" x14ac:dyDescent="0.25">
      <c r="B28" s="1848">
        <v>106113697</v>
      </c>
      <c r="C28" s="1358" t="s">
        <v>2628</v>
      </c>
      <c r="D28" s="1383" t="s">
        <v>2620</v>
      </c>
      <c r="E28" s="1356" t="s">
        <v>2621</v>
      </c>
      <c r="F28" s="1083">
        <f t="shared" si="12"/>
        <v>16</v>
      </c>
      <c r="G28" s="1083">
        <f t="shared" si="12"/>
        <v>22</v>
      </c>
      <c r="H28" s="3831" t="s">
        <v>3797</v>
      </c>
      <c r="I28" s="2504">
        <v>88</v>
      </c>
      <c r="K28" s="1314"/>
      <c r="L28" s="3834">
        <v>88</v>
      </c>
      <c r="M28" s="3836">
        <v>88</v>
      </c>
      <c r="N28" s="1346"/>
      <c r="O28" s="1318" t="e">
        <f t="shared" si="1"/>
        <v>#DIV/0!</v>
      </c>
      <c r="P28" s="1281">
        <f t="shared" si="10"/>
        <v>146.66666666666669</v>
      </c>
      <c r="Q28" s="1281">
        <f t="shared" si="11"/>
        <v>110</v>
      </c>
      <c r="R28" s="2633">
        <v>0.6</v>
      </c>
      <c r="S28" s="1347">
        <v>0.8</v>
      </c>
      <c r="T28" s="142"/>
      <c r="V28" s="2633"/>
      <c r="Y28" s="3611"/>
      <c r="Z28" s="3609"/>
      <c r="AA28" s="3610"/>
    </row>
    <row r="29" spans="1:27" x14ac:dyDescent="0.25">
      <c r="B29" s="1848">
        <v>106205339</v>
      </c>
      <c r="C29" s="1358" t="s">
        <v>2629</v>
      </c>
      <c r="D29" s="1383" t="s">
        <v>2622</v>
      </c>
      <c r="E29" s="1356" t="s">
        <v>2623</v>
      </c>
      <c r="F29" s="1083">
        <f t="shared" si="12"/>
        <v>39</v>
      </c>
      <c r="G29" s="1083">
        <f t="shared" si="12"/>
        <v>25</v>
      </c>
      <c r="H29" s="3831" t="s">
        <v>3796</v>
      </c>
      <c r="I29" s="2504">
        <v>182.8111111111111</v>
      </c>
      <c r="J29" s="3604">
        <v>182.8</v>
      </c>
      <c r="K29" s="1314"/>
      <c r="L29" s="3834">
        <v>181.4</v>
      </c>
      <c r="M29" s="3836">
        <v>182.8</v>
      </c>
      <c r="N29" s="1346"/>
      <c r="O29" s="1318">
        <f t="shared" si="1"/>
        <v>6.0782883539888024E-5</v>
      </c>
      <c r="P29" s="1281">
        <f t="shared" si="10"/>
        <v>304.66666666666669</v>
      </c>
      <c r="Q29" s="1281">
        <f t="shared" si="11"/>
        <v>228.5</v>
      </c>
      <c r="R29" s="2633">
        <v>0.6</v>
      </c>
      <c r="S29" s="1347">
        <v>0.8</v>
      </c>
      <c r="T29" s="142"/>
      <c r="V29" s="2633"/>
      <c r="Y29" s="3611"/>
      <c r="Z29" s="3609"/>
      <c r="AA29" s="3610"/>
    </row>
    <row r="30" spans="1:27" x14ac:dyDescent="0.25">
      <c r="A30" s="1383" t="s">
        <v>2615</v>
      </c>
      <c r="B30" s="1848">
        <v>106116585</v>
      </c>
      <c r="C30" s="1358" t="s">
        <v>2626</v>
      </c>
      <c r="D30" s="1383" t="s">
        <v>2616</v>
      </c>
      <c r="E30" s="1356" t="s">
        <v>2617</v>
      </c>
      <c r="F30" s="1083">
        <f>LEN(D30)</f>
        <v>16</v>
      </c>
      <c r="G30" s="1083">
        <f>LEN(E30)</f>
        <v>21</v>
      </c>
      <c r="H30" s="3831" t="s">
        <v>3800</v>
      </c>
      <c r="I30" s="2504">
        <v>100.18888888888888</v>
      </c>
      <c r="J30" s="3604">
        <v>100.19</v>
      </c>
      <c r="K30" s="1314"/>
      <c r="L30" s="3834">
        <v>93.9</v>
      </c>
      <c r="M30" s="3836">
        <v>100.19</v>
      </c>
      <c r="N30" s="1346"/>
      <c r="O30" s="1318">
        <f t="shared" si="1"/>
        <v>-1.1090040035081719E-5</v>
      </c>
      <c r="P30" s="1281">
        <f t="shared" si="10"/>
        <v>166.98333333333335</v>
      </c>
      <c r="Q30" s="1281">
        <f t="shared" si="11"/>
        <v>125.2375</v>
      </c>
      <c r="R30" s="2633">
        <v>0.6</v>
      </c>
      <c r="S30" s="1347">
        <v>0.8</v>
      </c>
      <c r="T30" s="142"/>
      <c r="V30" s="2633"/>
      <c r="Y30" s="3611"/>
      <c r="Z30" s="3609"/>
      <c r="AA30" s="3610"/>
    </row>
    <row r="31" spans="1:27" x14ac:dyDescent="0.25">
      <c r="B31" s="1848">
        <v>106115450</v>
      </c>
      <c r="C31" s="1358" t="s">
        <v>3357</v>
      </c>
      <c r="D31" s="1358" t="s">
        <v>3830</v>
      </c>
      <c r="E31" s="3846" t="s">
        <v>3829</v>
      </c>
      <c r="F31" s="1083"/>
      <c r="G31" s="1083"/>
      <c r="H31" s="3831" t="s">
        <v>3797</v>
      </c>
      <c r="I31" s="2504">
        <v>2.833333333333333</v>
      </c>
      <c r="J31" s="3604">
        <v>2.83</v>
      </c>
      <c r="K31" s="1314"/>
      <c r="L31" s="3834"/>
      <c r="M31" s="3836">
        <v>2.83</v>
      </c>
      <c r="N31" s="1346"/>
      <c r="O31" s="1318"/>
      <c r="P31" s="1281">
        <f t="shared" si="10"/>
        <v>4.7166666666666668</v>
      </c>
      <c r="Q31" s="1281">
        <f t="shared" si="11"/>
        <v>3.5375000000000001</v>
      </c>
      <c r="R31" s="2633">
        <v>0.6</v>
      </c>
      <c r="S31" s="1347">
        <v>0.8</v>
      </c>
      <c r="T31" s="142"/>
      <c r="V31" s="2633"/>
      <c r="Y31" s="3611"/>
      <c r="Z31" s="3609"/>
      <c r="AA31" s="3610"/>
    </row>
    <row r="32" spans="1:27" x14ac:dyDescent="0.25">
      <c r="A32" s="1383" t="s">
        <v>3707</v>
      </c>
      <c r="B32" s="1848">
        <v>106207587</v>
      </c>
      <c r="C32" s="1358" t="s">
        <v>3720</v>
      </c>
      <c r="D32" s="1383" t="s">
        <v>2246</v>
      </c>
      <c r="E32" s="1356" t="s">
        <v>2247</v>
      </c>
      <c r="F32" s="1083"/>
      <c r="G32" s="1083"/>
      <c r="H32" s="3831" t="s">
        <v>3799</v>
      </c>
      <c r="I32" s="2504">
        <v>114.89999999999999</v>
      </c>
      <c r="J32" s="3604">
        <v>114.9</v>
      </c>
      <c r="K32" s="1314"/>
      <c r="L32" s="3834"/>
      <c r="M32" s="3836">
        <v>114.9</v>
      </c>
      <c r="N32" s="1346"/>
      <c r="O32" s="1318"/>
      <c r="P32" s="1281">
        <f t="shared" ref="P32:P37" si="13">M32/R32</f>
        <v>287.25</v>
      </c>
      <c r="Q32" s="1281">
        <f t="shared" ref="Q32:Q37" si="14">M32/S32</f>
        <v>191.50000000000003</v>
      </c>
      <c r="R32" s="2633">
        <v>0.4</v>
      </c>
      <c r="S32" s="1347">
        <v>0.6</v>
      </c>
      <c r="T32" s="142"/>
      <c r="V32" s="2633"/>
      <c r="Y32" s="3611"/>
      <c r="Z32" s="3609"/>
      <c r="AA32" s="3610"/>
    </row>
    <row r="33" spans="1:27" x14ac:dyDescent="0.25">
      <c r="A33" s="1383" t="s">
        <v>2258</v>
      </c>
      <c r="B33" s="1848">
        <v>106125749</v>
      </c>
      <c r="C33" s="1358" t="s">
        <v>3721</v>
      </c>
      <c r="D33" s="1383" t="s">
        <v>2259</v>
      </c>
      <c r="E33" s="1356" t="s">
        <v>2260</v>
      </c>
      <c r="F33" s="1083"/>
      <c r="G33" s="1083"/>
      <c r="H33" s="3831" t="s">
        <v>3800</v>
      </c>
      <c r="I33" s="2504">
        <v>9.89</v>
      </c>
      <c r="K33" s="1314"/>
      <c r="L33" s="3834"/>
      <c r="M33" s="3836">
        <v>9.89</v>
      </c>
      <c r="N33" s="1346"/>
      <c r="O33" s="1318"/>
      <c r="P33" s="1281">
        <f t="shared" si="13"/>
        <v>16.483333333333334</v>
      </c>
      <c r="Q33" s="1281">
        <f t="shared" si="14"/>
        <v>12.362500000000001</v>
      </c>
      <c r="R33" s="2633">
        <v>0.6</v>
      </c>
      <c r="S33" s="1347">
        <v>0.8</v>
      </c>
      <c r="T33" s="142"/>
      <c r="V33" s="2633"/>
      <c r="Y33" s="3611"/>
      <c r="Z33" s="3609"/>
      <c r="AA33" s="3610"/>
    </row>
    <row r="34" spans="1:27" x14ac:dyDescent="0.25">
      <c r="A34" s="1383" t="s">
        <v>764</v>
      </c>
      <c r="B34" s="1848">
        <v>106125742</v>
      </c>
      <c r="C34" s="1358" t="s">
        <v>3722</v>
      </c>
      <c r="D34" s="1383" t="s">
        <v>3708</v>
      </c>
      <c r="E34" s="1356" t="s">
        <v>3717</v>
      </c>
      <c r="F34" s="1083"/>
      <c r="G34" s="1083"/>
      <c r="H34" s="3831" t="s">
        <v>3797</v>
      </c>
      <c r="I34" s="2504">
        <v>12.722222222222221</v>
      </c>
      <c r="J34" s="3604">
        <v>12.72</v>
      </c>
      <c r="K34" s="1314"/>
      <c r="L34" s="3834"/>
      <c r="M34" s="3836">
        <v>12.72</v>
      </c>
      <c r="N34" s="1346"/>
      <c r="O34" s="1318"/>
      <c r="P34" s="1281">
        <f t="shared" si="13"/>
        <v>21.200000000000003</v>
      </c>
      <c r="Q34" s="1281">
        <f t="shared" si="14"/>
        <v>15.9</v>
      </c>
      <c r="R34" s="2633">
        <v>0.6</v>
      </c>
      <c r="S34" s="1347">
        <v>0.8</v>
      </c>
      <c r="T34" s="142"/>
      <c r="V34" s="2633"/>
      <c r="Y34" s="3611"/>
      <c r="Z34" s="3609"/>
      <c r="AA34" s="3610"/>
    </row>
    <row r="35" spans="1:27" x14ac:dyDescent="0.25">
      <c r="A35" s="1383" t="s">
        <v>21</v>
      </c>
      <c r="B35" s="1848">
        <v>106117194</v>
      </c>
      <c r="C35" s="1358" t="s">
        <v>3723</v>
      </c>
      <c r="D35" s="1383" t="s">
        <v>2293</v>
      </c>
      <c r="E35" s="1356" t="s">
        <v>2294</v>
      </c>
      <c r="F35" s="1083"/>
      <c r="G35" s="1083"/>
      <c r="H35" s="3831" t="s">
        <v>3798</v>
      </c>
      <c r="I35" s="2504">
        <v>6.7</v>
      </c>
      <c r="K35" s="1314"/>
      <c r="L35" s="3834">
        <v>6.58</v>
      </c>
      <c r="M35" s="3836">
        <v>6.7</v>
      </c>
      <c r="N35" s="1346"/>
      <c r="O35" s="1318"/>
      <c r="P35" s="1281">
        <f t="shared" si="13"/>
        <v>8.375</v>
      </c>
      <c r="Q35" s="1281">
        <f t="shared" si="14"/>
        <v>7.052631578947369</v>
      </c>
      <c r="R35" s="2633">
        <f>0.8</f>
        <v>0.8</v>
      </c>
      <c r="S35" s="1347">
        <v>0.95</v>
      </c>
      <c r="T35" s="142"/>
      <c r="V35" s="2633"/>
      <c r="Y35" s="3611"/>
      <c r="Z35" s="3609"/>
      <c r="AA35" s="3610"/>
    </row>
    <row r="36" spans="1:27" x14ac:dyDescent="0.25">
      <c r="A36" s="1383" t="s">
        <v>2255</v>
      </c>
      <c r="B36" s="1848">
        <v>106126137</v>
      </c>
      <c r="C36" s="1358" t="s">
        <v>3724</v>
      </c>
      <c r="D36" s="1383" t="s">
        <v>3709</v>
      </c>
      <c r="E36" s="1356" t="s">
        <v>3715</v>
      </c>
      <c r="F36" s="1083"/>
      <c r="G36" s="1083"/>
      <c r="H36" s="3831" t="s">
        <v>3797</v>
      </c>
      <c r="I36" s="2504">
        <v>61.111111111111107</v>
      </c>
      <c r="K36" s="1314"/>
      <c r="L36" s="3834"/>
      <c r="M36" s="3836">
        <v>61.11</v>
      </c>
      <c r="N36" s="1346"/>
      <c r="O36" s="1318"/>
      <c r="P36" s="1281">
        <f t="shared" si="13"/>
        <v>76.387499999999989</v>
      </c>
      <c r="Q36" s="1281">
        <f t="shared" si="14"/>
        <v>64.326315789473682</v>
      </c>
      <c r="R36" s="2633">
        <f t="shared" ref="R36:R37" si="15">0.8</f>
        <v>0.8</v>
      </c>
      <c r="S36" s="1347">
        <v>0.95</v>
      </c>
      <c r="T36" s="142"/>
      <c r="V36" s="2633"/>
      <c r="Y36" s="3611"/>
      <c r="Z36" s="3609"/>
      <c r="AA36" s="3610"/>
    </row>
    <row r="37" spans="1:27" x14ac:dyDescent="0.25">
      <c r="A37" s="1383" t="s">
        <v>21</v>
      </c>
      <c r="B37" s="1848">
        <v>106126359</v>
      </c>
      <c r="C37" s="1358" t="s">
        <v>3725</v>
      </c>
      <c r="D37" s="1383" t="s">
        <v>3710</v>
      </c>
      <c r="E37" s="1356" t="s">
        <v>3716</v>
      </c>
      <c r="F37" s="1083"/>
      <c r="G37" s="1083"/>
      <c r="H37" s="3831" t="s">
        <v>3797</v>
      </c>
      <c r="I37" s="2504">
        <v>24.888888888888886</v>
      </c>
      <c r="K37" s="1314"/>
      <c r="L37" s="3834"/>
      <c r="M37" s="3836">
        <v>24.89</v>
      </c>
      <c r="N37" s="1346"/>
      <c r="O37" s="1318"/>
      <c r="P37" s="1281">
        <f t="shared" si="13"/>
        <v>31.112500000000001</v>
      </c>
      <c r="Q37" s="1281">
        <f t="shared" si="14"/>
        <v>26.200000000000003</v>
      </c>
      <c r="R37" s="2633">
        <f t="shared" si="15"/>
        <v>0.8</v>
      </c>
      <c r="S37" s="1347">
        <v>0.95</v>
      </c>
      <c r="T37" s="142"/>
      <c r="V37" s="2633"/>
      <c r="Y37" s="3611"/>
      <c r="Z37" s="3609"/>
      <c r="AA37" s="3610"/>
    </row>
    <row r="38" spans="1:27" x14ac:dyDescent="0.25">
      <c r="Y38" s="3611"/>
      <c r="Z38" s="3609"/>
      <c r="AA38" s="3610"/>
    </row>
    <row r="39" spans="1:27" x14ac:dyDescent="0.25">
      <c r="Y39" s="3611"/>
      <c r="Z39" s="3609"/>
      <c r="AA39" s="3610"/>
    </row>
    <row r="40" spans="1:27" x14ac:dyDescent="0.25">
      <c r="Y40" s="3608"/>
      <c r="Z40" s="3609"/>
      <c r="AA40" s="3610"/>
    </row>
    <row r="41" spans="1:27" x14ac:dyDescent="0.25">
      <c r="Y41" s="3608"/>
      <c r="Z41" s="3609"/>
      <c r="AA41" s="3610"/>
    </row>
    <row r="42" spans="1:27" x14ac:dyDescent="0.25">
      <c r="Y42" s="3608"/>
      <c r="Z42" s="3609"/>
      <c r="AA42" s="3610"/>
    </row>
    <row r="43" spans="1:27" x14ac:dyDescent="0.25">
      <c r="Y43" s="3608"/>
      <c r="Z43" s="3609"/>
      <c r="AA43" s="3610"/>
    </row>
    <row r="44" spans="1:27" x14ac:dyDescent="0.25">
      <c r="Y44" s="3608"/>
      <c r="Z44" s="3609"/>
      <c r="AA44" s="3610"/>
    </row>
    <row r="45" spans="1:27" x14ac:dyDescent="0.25">
      <c r="Y45" s="3608"/>
      <c r="Z45" s="3609"/>
      <c r="AA45" s="3610"/>
    </row>
    <row r="46" spans="1:27" x14ac:dyDescent="0.25">
      <c r="Y46" s="3608"/>
      <c r="Z46" s="3609"/>
      <c r="AA46" s="3610"/>
    </row>
    <row r="47" spans="1:27" x14ac:dyDescent="0.25">
      <c r="Y47" s="3608"/>
      <c r="Z47" s="3609"/>
      <c r="AA47" s="3610"/>
    </row>
    <row r="48" spans="1:27" x14ac:dyDescent="0.25">
      <c r="Y48" s="3608"/>
      <c r="Z48" s="3609"/>
      <c r="AA48" s="3610"/>
    </row>
    <row r="49" spans="25:27" x14ac:dyDescent="0.25">
      <c r="Y49" s="3611"/>
      <c r="Z49" s="3609"/>
      <c r="AA49" s="3610"/>
    </row>
    <row r="50" spans="25:27" x14ac:dyDescent="0.25">
      <c r="Y50" s="3608"/>
      <c r="Z50" s="3609"/>
      <c r="AA50" s="3610"/>
    </row>
    <row r="51" spans="25:27" x14ac:dyDescent="0.25">
      <c r="Y51" s="3611"/>
      <c r="Z51" s="3609"/>
      <c r="AA51" s="3610"/>
    </row>
    <row r="52" spans="25:27" x14ac:dyDescent="0.25">
      <c r="Y52" s="3608"/>
      <c r="Z52" s="3609"/>
      <c r="AA52" s="3610"/>
    </row>
    <row r="53" spans="25:27" x14ac:dyDescent="0.25">
      <c r="Y53" s="3611"/>
      <c r="Z53" s="3609"/>
      <c r="AA53" s="3610"/>
    </row>
    <row r="54" spans="25:27" x14ac:dyDescent="0.25">
      <c r="Y54" s="3612"/>
      <c r="Z54" s="3609"/>
      <c r="AA54" s="3610"/>
    </row>
    <row r="55" spans="25:27" x14ac:dyDescent="0.25">
      <c r="Y55" s="3611"/>
      <c r="Z55" s="3609"/>
      <c r="AA55" s="3610"/>
    </row>
    <row r="56" spans="25:27" x14ac:dyDescent="0.25">
      <c r="Y56" s="3608"/>
      <c r="Z56" s="3609"/>
      <c r="AA56" s="3610"/>
    </row>
    <row r="57" spans="25:27" x14ac:dyDescent="0.25">
      <c r="Y57" s="3608"/>
      <c r="Z57" s="3609"/>
      <c r="AA57" s="3610"/>
    </row>
    <row r="58" spans="25:27" x14ac:dyDescent="0.25">
      <c r="Y58" s="3611"/>
      <c r="Z58" s="3609"/>
      <c r="AA58" s="3610"/>
    </row>
    <row r="59" spans="25:27" x14ac:dyDescent="0.25">
      <c r="Y59" s="3611"/>
      <c r="Z59" s="3609"/>
      <c r="AA59" s="3610"/>
    </row>
    <row r="60" spans="25:27" x14ac:dyDescent="0.25">
      <c r="Y60" s="3611"/>
      <c r="Z60" s="3609"/>
      <c r="AA60" s="3610"/>
    </row>
    <row r="61" spans="25:27" x14ac:dyDescent="0.25">
      <c r="Y61" s="3608"/>
      <c r="Z61" s="3609"/>
      <c r="AA61" s="3610"/>
    </row>
    <row r="62" spans="25:27" x14ac:dyDescent="0.25">
      <c r="Y62" s="3611"/>
      <c r="Z62" s="3609"/>
      <c r="AA62" s="3610"/>
    </row>
    <row r="63" spans="25:27" x14ac:dyDescent="0.25">
      <c r="Y63" s="3608"/>
      <c r="Z63" s="3609"/>
      <c r="AA63" s="3610"/>
    </row>
    <row r="64" spans="25:27" x14ac:dyDescent="0.25">
      <c r="Y64" s="3608"/>
      <c r="Z64" s="3609"/>
      <c r="AA64" s="3610"/>
    </row>
    <row r="65" spans="25:27" x14ac:dyDescent="0.25">
      <c r="Y65" s="3608"/>
      <c r="Z65" s="3609"/>
      <c r="AA65" s="3610"/>
    </row>
    <row r="66" spans="25:27" x14ac:dyDescent="0.25">
      <c r="Y66" s="3611"/>
      <c r="Z66" s="3609"/>
      <c r="AA66" s="3610"/>
    </row>
    <row r="67" spans="25:27" x14ac:dyDescent="0.25">
      <c r="Y67" s="3608"/>
      <c r="Z67" s="3609"/>
      <c r="AA67" s="3610"/>
    </row>
    <row r="68" spans="25:27" x14ac:dyDescent="0.25">
      <c r="Y68" s="3612"/>
      <c r="Z68" s="3609"/>
      <c r="AA68" s="3610"/>
    </row>
    <row r="69" spans="25:27" x14ac:dyDescent="0.25">
      <c r="Y69" s="3611"/>
      <c r="Z69" s="3609"/>
      <c r="AA69" s="3610"/>
    </row>
    <row r="70" spans="25:27" x14ac:dyDescent="0.25">
      <c r="Y70" s="3611"/>
      <c r="Z70" s="3609"/>
      <c r="AA70" s="3610"/>
    </row>
    <row r="71" spans="25:27" x14ac:dyDescent="0.25">
      <c r="Y71" s="3608"/>
      <c r="Z71" s="3609"/>
      <c r="AA71" s="3610"/>
    </row>
    <row r="72" spans="25:27" x14ac:dyDescent="0.25">
      <c r="Y72" s="3608"/>
      <c r="Z72" s="3609"/>
      <c r="AA72" s="3610"/>
    </row>
    <row r="73" spans="25:27" x14ac:dyDescent="0.25">
      <c r="Y73" s="3608"/>
      <c r="Z73" s="3609"/>
      <c r="AA73" s="3610"/>
    </row>
    <row r="74" spans="25:27" x14ac:dyDescent="0.25">
      <c r="Y74" s="3608"/>
      <c r="Z74" s="3609"/>
      <c r="AA74" s="3610"/>
    </row>
    <row r="75" spans="25:27" x14ac:dyDescent="0.25">
      <c r="Y75" s="3608"/>
      <c r="Z75" s="3609"/>
      <c r="AA75" s="3610"/>
    </row>
    <row r="76" spans="25:27" x14ac:dyDescent="0.25">
      <c r="Y76" s="3608"/>
      <c r="Z76" s="3609"/>
      <c r="AA76" s="3610"/>
    </row>
    <row r="77" spans="25:27" x14ac:dyDescent="0.25">
      <c r="Y77" s="3611"/>
      <c r="Z77" s="3609"/>
      <c r="AA77" s="3610"/>
    </row>
    <row r="78" spans="25:27" x14ac:dyDescent="0.25">
      <c r="Y78" s="3608"/>
      <c r="Z78" s="3609"/>
      <c r="AA78" s="3610"/>
    </row>
    <row r="79" spans="25:27" x14ac:dyDescent="0.25">
      <c r="Y79" s="3611"/>
      <c r="Z79" s="3609"/>
      <c r="AA79" s="3610"/>
    </row>
    <row r="80" spans="25:27" x14ac:dyDescent="0.25">
      <c r="Y80" s="3608"/>
      <c r="Z80" s="3609"/>
      <c r="AA80" s="3610"/>
    </row>
    <row r="81" spans="25:27" x14ac:dyDescent="0.25">
      <c r="Y81" s="3611"/>
      <c r="Z81" s="3609"/>
      <c r="AA81" s="3610"/>
    </row>
    <row r="82" spans="25:27" x14ac:dyDescent="0.25">
      <c r="Y82" s="3611"/>
      <c r="Z82" s="3609"/>
      <c r="AA82" s="3610"/>
    </row>
    <row r="83" spans="25:27" x14ac:dyDescent="0.25">
      <c r="Y83" s="3611"/>
      <c r="Z83" s="3609"/>
      <c r="AA83" s="3610"/>
    </row>
    <row r="84" spans="25:27" x14ac:dyDescent="0.25">
      <c r="Y84" s="3612"/>
      <c r="Z84" s="3609"/>
      <c r="AA84" s="3610"/>
    </row>
    <row r="85" spans="25:27" x14ac:dyDescent="0.25">
      <c r="Y85" s="3612"/>
      <c r="Z85" s="3609"/>
      <c r="AA85" s="3610"/>
    </row>
    <row r="86" spans="25:27" x14ac:dyDescent="0.25">
      <c r="Y86" s="3611"/>
      <c r="Z86" s="3609"/>
      <c r="AA86" s="3610"/>
    </row>
    <row r="87" spans="25:27" x14ac:dyDescent="0.25">
      <c r="Y87" s="3611"/>
      <c r="Z87" s="3609"/>
      <c r="AA87" s="3610"/>
    </row>
    <row r="88" spans="25:27" x14ac:dyDescent="0.25">
      <c r="Y88" s="3611"/>
      <c r="Z88" s="3609"/>
      <c r="AA88" s="3610"/>
    </row>
    <row r="89" spans="25:27" x14ac:dyDescent="0.25">
      <c r="Y89" s="3611"/>
      <c r="Z89" s="3609"/>
      <c r="AA89" s="3610"/>
    </row>
    <row r="90" spans="25:27" x14ac:dyDescent="0.25">
      <c r="Y90" s="3608"/>
      <c r="Z90" s="3609"/>
      <c r="AA90" s="3610"/>
    </row>
    <row r="91" spans="25:27" x14ac:dyDescent="0.25">
      <c r="Y91" s="3608"/>
      <c r="Z91" s="3609"/>
      <c r="AA91" s="3610"/>
    </row>
    <row r="92" spans="25:27" x14ac:dyDescent="0.25">
      <c r="Y92" s="3611"/>
      <c r="Z92" s="3609"/>
      <c r="AA92" s="3610"/>
    </row>
    <row r="93" spans="25:27" x14ac:dyDescent="0.25">
      <c r="Y93" s="3611"/>
      <c r="Z93" s="3609"/>
      <c r="AA93" s="3610"/>
    </row>
    <row r="94" spans="25:27" x14ac:dyDescent="0.25">
      <c r="Y94" s="3611"/>
      <c r="Z94" s="3609"/>
      <c r="AA94" s="3610"/>
    </row>
    <row r="95" spans="25:27" x14ac:dyDescent="0.25">
      <c r="Y95" s="3611"/>
      <c r="Z95" s="3609"/>
      <c r="AA95" s="3610"/>
    </row>
    <row r="96" spans="25:27" x14ac:dyDescent="0.25">
      <c r="Y96" s="3611"/>
      <c r="Z96" s="3609"/>
      <c r="AA96" s="3610"/>
    </row>
    <row r="97" spans="25:27" x14ac:dyDescent="0.25">
      <c r="Y97" s="3611"/>
      <c r="Z97" s="3609"/>
      <c r="AA97" s="3610"/>
    </row>
    <row r="98" spans="25:27" x14ac:dyDescent="0.25">
      <c r="Y98" s="3612"/>
      <c r="Z98" s="3609"/>
      <c r="AA98" s="3610"/>
    </row>
    <row r="99" spans="25:27" x14ac:dyDescent="0.25">
      <c r="Y99" s="3612"/>
      <c r="Z99" s="3609"/>
      <c r="AA99" s="3610"/>
    </row>
    <row r="100" spans="25:27" x14ac:dyDescent="0.25">
      <c r="Y100" s="3612"/>
      <c r="Z100" s="3609"/>
      <c r="AA100" s="3610"/>
    </row>
    <row r="101" spans="25:27" x14ac:dyDescent="0.25">
      <c r="Y101" s="3611"/>
      <c r="Z101" s="3609"/>
      <c r="AA101" s="3610"/>
    </row>
    <row r="102" spans="25:27" x14ac:dyDescent="0.25">
      <c r="Y102" s="3612"/>
      <c r="Z102" s="3609"/>
      <c r="AA102" s="3610"/>
    </row>
    <row r="103" spans="25:27" x14ac:dyDescent="0.25">
      <c r="Y103" s="3612"/>
      <c r="Z103" s="3609"/>
      <c r="AA103" s="3610"/>
    </row>
    <row r="104" spans="25:27" x14ac:dyDescent="0.25">
      <c r="Y104" s="3612"/>
      <c r="Z104" s="3609"/>
      <c r="AA104" s="3610"/>
    </row>
    <row r="105" spans="25:27" x14ac:dyDescent="0.25">
      <c r="Y105" s="3612"/>
      <c r="Z105" s="3609"/>
      <c r="AA105" s="3610"/>
    </row>
    <row r="106" spans="25:27" x14ac:dyDescent="0.25">
      <c r="Y106" s="3612"/>
      <c r="Z106" s="3609"/>
      <c r="AA106" s="3610"/>
    </row>
    <row r="107" spans="25:27" x14ac:dyDescent="0.25">
      <c r="Y107" s="3612"/>
      <c r="Z107" s="3609"/>
      <c r="AA107" s="3610"/>
    </row>
    <row r="108" spans="25:27" x14ac:dyDescent="0.25">
      <c r="Y108" s="3612"/>
      <c r="Z108" s="3609"/>
      <c r="AA108" s="3610"/>
    </row>
    <row r="109" spans="25:27" x14ac:dyDescent="0.25">
      <c r="Y109" s="3612"/>
      <c r="Z109" s="3609"/>
      <c r="AA109" s="3610"/>
    </row>
    <row r="110" spans="25:27" x14ac:dyDescent="0.25">
      <c r="Y110" s="3612"/>
      <c r="Z110" s="3609"/>
      <c r="AA110" s="3610"/>
    </row>
    <row r="111" spans="25:27" x14ac:dyDescent="0.25">
      <c r="Y111" s="3612"/>
      <c r="Z111" s="3609"/>
      <c r="AA111" s="3610"/>
    </row>
    <row r="112" spans="25:27" x14ac:dyDescent="0.25">
      <c r="Y112" s="3612"/>
      <c r="Z112" s="3609"/>
      <c r="AA112" s="3610"/>
    </row>
    <row r="113" spans="25:27" x14ac:dyDescent="0.25">
      <c r="Y113" s="3612"/>
      <c r="Z113" s="3609"/>
      <c r="AA113" s="3610"/>
    </row>
    <row r="114" spans="25:27" x14ac:dyDescent="0.25">
      <c r="Y114" s="3612"/>
      <c r="Z114" s="3609"/>
      <c r="AA114" s="3610"/>
    </row>
    <row r="115" spans="25:27" x14ac:dyDescent="0.25">
      <c r="Y115" s="3612"/>
      <c r="Z115" s="3609"/>
      <c r="AA115" s="3610"/>
    </row>
    <row r="116" spans="25:27" x14ac:dyDescent="0.25">
      <c r="Y116" s="3612"/>
      <c r="Z116" s="3609"/>
      <c r="AA116" s="3610"/>
    </row>
    <row r="117" spans="25:27" x14ac:dyDescent="0.25">
      <c r="Y117" s="3612"/>
      <c r="Z117" s="3609"/>
      <c r="AA117" s="3610"/>
    </row>
    <row r="118" spans="25:27" x14ac:dyDescent="0.25">
      <c r="Y118" s="3612"/>
      <c r="Z118" s="3609"/>
      <c r="AA118" s="3610"/>
    </row>
    <row r="119" spans="25:27" x14ac:dyDescent="0.25">
      <c r="Y119" s="3612"/>
      <c r="Z119" s="3609"/>
      <c r="AA119" s="3610"/>
    </row>
    <row r="120" spans="25:27" x14ac:dyDescent="0.25">
      <c r="Y120" s="3612"/>
      <c r="Z120" s="3609"/>
      <c r="AA120" s="3610"/>
    </row>
    <row r="121" spans="25:27" x14ac:dyDescent="0.25">
      <c r="Y121" s="3612"/>
      <c r="Z121" s="3609"/>
      <c r="AA121" s="3610"/>
    </row>
    <row r="122" spans="25:27" x14ac:dyDescent="0.25">
      <c r="Y122" s="3612"/>
      <c r="Z122" s="3609"/>
      <c r="AA122" s="3610"/>
    </row>
    <row r="123" spans="25:27" x14ac:dyDescent="0.25">
      <c r="Y123" s="3608"/>
      <c r="Z123" s="3609"/>
      <c r="AA123" s="3610"/>
    </row>
    <row r="124" spans="25:27" x14ac:dyDescent="0.25">
      <c r="Y124" s="3612"/>
      <c r="Z124" s="3609"/>
      <c r="AA124" s="3610"/>
    </row>
    <row r="125" spans="25:27" x14ac:dyDescent="0.25">
      <c r="Y125" s="3608"/>
      <c r="Z125" s="3609"/>
      <c r="AA125" s="3610"/>
    </row>
    <row r="126" spans="25:27" x14ac:dyDescent="0.25">
      <c r="Y126" s="3611"/>
      <c r="Z126" s="3609"/>
      <c r="AA126" s="3610"/>
    </row>
    <row r="127" spans="25:27" x14ac:dyDescent="0.25">
      <c r="Y127" s="3613"/>
      <c r="Z127" s="3609"/>
      <c r="AA127" s="3610"/>
    </row>
    <row r="128" spans="25:27" x14ac:dyDescent="0.25">
      <c r="Y128" s="3613"/>
      <c r="Z128" s="3609"/>
      <c r="AA128" s="3610"/>
    </row>
    <row r="129" spans="25:27" x14ac:dyDescent="0.25">
      <c r="Y129" s="3613"/>
      <c r="Z129" s="3609"/>
      <c r="AA129" s="3610"/>
    </row>
    <row r="130" spans="25:27" x14ac:dyDescent="0.25">
      <c r="Y130" s="3608"/>
      <c r="Z130" s="3609"/>
      <c r="AA130" s="3610"/>
    </row>
    <row r="131" spans="25:27" x14ac:dyDescent="0.25">
      <c r="Y131" s="3608"/>
      <c r="Z131" s="3609"/>
      <c r="AA131" s="3610"/>
    </row>
    <row r="132" spans="25:27" x14ac:dyDescent="0.25">
      <c r="Y132" s="3608"/>
      <c r="Z132" s="3609"/>
      <c r="AA132" s="3610"/>
    </row>
    <row r="133" spans="25:27" x14ac:dyDescent="0.25">
      <c r="Y133" s="3614"/>
      <c r="Z133" s="3609"/>
      <c r="AA133" s="3610"/>
    </row>
    <row r="134" spans="25:27" x14ac:dyDescent="0.25">
      <c r="Y134" s="3608"/>
      <c r="Z134" s="3609"/>
      <c r="AA134" s="3610"/>
    </row>
    <row r="135" spans="25:27" x14ac:dyDescent="0.25">
      <c r="Y135" s="3608"/>
      <c r="Z135" s="3609"/>
      <c r="AA135" s="3610"/>
    </row>
    <row r="136" spans="25:27" x14ac:dyDescent="0.25">
      <c r="Y136" s="3608"/>
      <c r="Z136" s="3609"/>
      <c r="AA136" s="3610"/>
    </row>
    <row r="137" spans="25:27" x14ac:dyDescent="0.25">
      <c r="Y137" s="3608"/>
      <c r="Z137" s="3609"/>
      <c r="AA137" s="3610"/>
    </row>
    <row r="138" spans="25:27" x14ac:dyDescent="0.25">
      <c r="Y138" s="3608"/>
      <c r="Z138" s="3609"/>
      <c r="AA138" s="3610"/>
    </row>
    <row r="139" spans="25:27" x14ac:dyDescent="0.25">
      <c r="Y139" s="3608"/>
      <c r="Z139" s="3609"/>
      <c r="AA139" s="3610"/>
    </row>
    <row r="140" spans="25:27" x14ac:dyDescent="0.25">
      <c r="Y140" s="3611"/>
      <c r="Z140" s="3609"/>
      <c r="AA140" s="3610"/>
    </row>
    <row r="141" spans="25:27" x14ac:dyDescent="0.25">
      <c r="Y141" s="3611"/>
      <c r="Z141" s="3609"/>
      <c r="AA141" s="3610"/>
    </row>
  </sheetData>
  <conditionalFormatting sqref="O3:O30">
    <cfRule type="cellIs" dxfId="9" priority="7" operator="lessThan">
      <formula>-0.25</formula>
    </cfRule>
    <cfRule type="cellIs" dxfId="8" priority="8" operator="greaterThan">
      <formula>0.25</formula>
    </cfRule>
  </conditionalFormatting>
  <conditionalFormatting sqref="O31">
    <cfRule type="cellIs" dxfId="7" priority="5" operator="lessThan">
      <formula>-0.25</formula>
    </cfRule>
    <cfRule type="cellIs" dxfId="6" priority="6" operator="greaterThan">
      <formula>0.25</formula>
    </cfRule>
  </conditionalFormatting>
  <conditionalFormatting sqref="O32:O37">
    <cfRule type="cellIs" dxfId="5" priority="3" operator="lessThan">
      <formula>-0.25</formula>
    </cfRule>
    <cfRule type="cellIs" dxfId="4" priority="4" operator="greaterThan">
      <formula>0.25</formula>
    </cfRule>
  </conditionalFormatting>
  <conditionalFormatting sqref="O3:O37">
    <cfRule type="cellIs" dxfId="3" priority="1" operator="lessThan">
      <formula>-0.05</formula>
    </cfRule>
    <cfRule type="cellIs" dxfId="2" priority="2" operator="greaterThan">
      <formula>0.05</formula>
    </cfRule>
  </conditionalFormatting>
  <pageMargins left="0.70866141732283472" right="0.70866141732283472" top="0.74803149606299213" bottom="0.74803149606299213" header="0.31496062992125984" footer="0.31496062992125984"/>
  <pageSetup paperSize="9" scale="50" fitToHeight="2"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D112"/>
  <sheetViews>
    <sheetView zoomScale="80" zoomScaleNormal="80" zoomScaleSheetLayoutView="85" workbookViewId="0">
      <selection activeCell="D29" sqref="D29"/>
    </sheetView>
  </sheetViews>
  <sheetFormatPr baseColWidth="10" defaultRowHeight="15" x14ac:dyDescent="0.25"/>
  <cols>
    <col min="1" max="1" width="4.85546875" style="1342" customWidth="1"/>
    <col min="2" max="2" width="15.140625" style="1342" customWidth="1"/>
    <col min="3" max="3" width="16" style="1343" customWidth="1"/>
    <col min="4" max="4" width="56.140625" style="2383" customWidth="1"/>
    <col min="5" max="5" width="50" style="1342" customWidth="1"/>
    <col min="6" max="6" width="14" style="1342" customWidth="1"/>
    <col min="7" max="7" width="11.28515625" style="1342" customWidth="1"/>
    <col min="8" max="8" width="7.85546875" style="1574" customWidth="1"/>
    <col min="9" max="9" width="4.7109375" style="1343" customWidth="1"/>
    <col min="10" max="11" width="8.42578125" style="1342" customWidth="1"/>
    <col min="12" max="12" width="11" style="1342" customWidth="1"/>
    <col min="13" max="13" width="11.42578125" style="751" customWidth="1"/>
    <col min="14" max="14" width="11.42578125" style="3215" customWidth="1"/>
    <col min="15" max="15" width="17.140625" style="3215" customWidth="1"/>
    <col min="16" max="16" width="18" style="1342" customWidth="1"/>
    <col min="17" max="17" width="17.42578125" style="751" customWidth="1"/>
    <col min="18" max="18" width="14.28515625" style="1342" customWidth="1"/>
    <col min="19" max="19" width="8" style="1342" customWidth="1"/>
    <col min="20" max="20" width="11.42578125" style="1342" customWidth="1"/>
    <col min="21" max="21" width="13.7109375" style="1342" customWidth="1"/>
    <col min="22" max="22" width="11.42578125" style="1342" customWidth="1"/>
    <col min="23" max="23" width="18.7109375" style="1342" customWidth="1"/>
    <col min="24" max="24" width="23.85546875" style="3724" customWidth="1"/>
    <col min="25" max="25" width="16.5703125" style="1342" customWidth="1"/>
    <col min="26" max="26" width="23.7109375" style="3724" customWidth="1"/>
    <col min="27" max="27" width="15.5703125" style="1342" customWidth="1"/>
    <col min="28" max="28" width="12.5703125" style="1342" customWidth="1"/>
    <col min="29" max="16384" width="11.42578125" style="1342"/>
  </cols>
  <sheetData>
    <row r="1" spans="1:30" ht="15.75" customHeight="1" thickBot="1" x14ac:dyDescent="0.3">
      <c r="A1" s="1360" t="s">
        <v>3107</v>
      </c>
      <c r="D1" s="1346" t="s">
        <v>3634</v>
      </c>
      <c r="L1" s="3203" t="s">
        <v>2940</v>
      </c>
      <c r="M1" s="3203" t="s">
        <v>255</v>
      </c>
      <c r="N1" s="3111" t="s">
        <v>3278</v>
      </c>
      <c r="O1" s="3203" t="s">
        <v>3279</v>
      </c>
      <c r="P1" s="3112" t="s">
        <v>3205</v>
      </c>
      <c r="Q1" s="3203" t="s">
        <v>2949</v>
      </c>
      <c r="W1" s="3724"/>
      <c r="X1" s="1342"/>
      <c r="Y1" s="3724"/>
      <c r="Z1" s="1342"/>
    </row>
    <row r="2" spans="1:30" ht="16.5" thickBot="1" x14ac:dyDescent="0.3">
      <c r="A2" s="1389" t="s">
        <v>2586</v>
      </c>
      <c r="B2" s="1384"/>
      <c r="C2" s="2390"/>
      <c r="D2" s="2380"/>
      <c r="E2" s="1384"/>
      <c r="F2" s="1384"/>
      <c r="G2" s="4289" t="s">
        <v>3197</v>
      </c>
      <c r="H2" s="4289"/>
      <c r="I2" s="4290"/>
      <c r="L2" s="3240" t="s">
        <v>3028</v>
      </c>
      <c r="M2" s="3240" t="s">
        <v>2947</v>
      </c>
      <c r="N2" s="3109">
        <v>4</v>
      </c>
      <c r="O2" s="3240">
        <v>4</v>
      </c>
      <c r="P2" s="3109" t="s">
        <v>2947</v>
      </c>
      <c r="Q2" s="3240" t="s">
        <v>2947</v>
      </c>
      <c r="W2" s="3724"/>
      <c r="X2" s="1342"/>
      <c r="Y2" s="3724"/>
      <c r="Z2" s="1342"/>
    </row>
    <row r="3" spans="1:30" s="2383" customFormat="1" ht="30.75" customHeight="1" thickBot="1" x14ac:dyDescent="0.3">
      <c r="A3" s="4315" t="s">
        <v>79</v>
      </c>
      <c r="B3" s="4316"/>
      <c r="C3" s="3200" t="s">
        <v>326</v>
      </c>
      <c r="D3" s="4317" t="s">
        <v>250</v>
      </c>
      <c r="E3" s="4318"/>
      <c r="F3" s="3200" t="s">
        <v>2481</v>
      </c>
      <c r="G3" s="3200" t="s">
        <v>2482</v>
      </c>
      <c r="H3" s="3200" t="s">
        <v>1281</v>
      </c>
      <c r="I3" s="3200" t="s">
        <v>1282</v>
      </c>
      <c r="J3" s="3554" t="s">
        <v>1380</v>
      </c>
      <c r="K3" s="3554" t="s">
        <v>3360</v>
      </c>
      <c r="L3" s="3567" t="s">
        <v>745</v>
      </c>
      <c r="M3" s="3242" t="s">
        <v>2449</v>
      </c>
      <c r="N3" s="3233" t="s">
        <v>959</v>
      </c>
      <c r="O3" s="3242" t="s">
        <v>2981</v>
      </c>
      <c r="P3" s="3242" t="s">
        <v>2980</v>
      </c>
      <c r="Q3" s="3242" t="s">
        <v>3175</v>
      </c>
      <c r="R3" s="3559" t="s">
        <v>2762</v>
      </c>
      <c r="U3" s="3595" t="s">
        <v>76</v>
      </c>
      <c r="W3" s="4325" t="s">
        <v>3489</v>
      </c>
      <c r="X3" s="4325"/>
      <c r="Y3" s="4325" t="s">
        <v>3490</v>
      </c>
      <c r="Z3" s="4325"/>
      <c r="AA3" s="4325" t="s">
        <v>3491</v>
      </c>
      <c r="AB3" s="4325"/>
      <c r="AC3" s="4325" t="s">
        <v>3492</v>
      </c>
      <c r="AD3" s="4325"/>
    </row>
    <row r="4" spans="1:30" ht="19.5" customHeight="1" thickBot="1" x14ac:dyDescent="0.3">
      <c r="A4" s="4217" t="s">
        <v>2483</v>
      </c>
      <c r="B4" s="4322" t="s">
        <v>263</v>
      </c>
      <c r="C4" s="2462">
        <v>106118976</v>
      </c>
      <c r="D4" s="2744" t="s">
        <v>3187</v>
      </c>
      <c r="E4" s="2745" t="s">
        <v>3188</v>
      </c>
      <c r="F4" s="2829">
        <v>1</v>
      </c>
      <c r="G4" s="2829"/>
      <c r="H4" s="2980" t="s">
        <v>3157</v>
      </c>
      <c r="I4" s="2395"/>
      <c r="J4" s="3347">
        <f>'Lista global'!I250</f>
        <v>137</v>
      </c>
      <c r="K4" s="3347">
        <f>'Lista global'!P250</f>
        <v>190.57499999999999</v>
      </c>
      <c r="L4" s="3347">
        <f>'Lista global'!Q250</f>
        <v>160.48421052631579</v>
      </c>
      <c r="M4" s="2453">
        <f>IF($M$2=$S$5,1,0)</f>
        <v>0</v>
      </c>
      <c r="N4" s="3124">
        <f>M4*($N$2*F4+G4)</f>
        <v>0</v>
      </c>
      <c r="O4" s="3118">
        <f>IF(ROUNDDOWN(($O$2*N4/4)/10,0)&lt;M4,M4,ROUNDDOWN(($O$2*N4/4)/10,0))</f>
        <v>0</v>
      </c>
      <c r="P4" s="3128">
        <f t="shared" ref="P4:P31" si="0">K4*O4</f>
        <v>0</v>
      </c>
      <c r="Q4" s="3568">
        <f t="shared" ref="Q4:Q11" si="1">L4*O4</f>
        <v>0</v>
      </c>
      <c r="R4" s="3230"/>
      <c r="S4" s="1383" t="s">
        <v>2947</v>
      </c>
      <c r="T4" s="1766" t="s">
        <v>2942</v>
      </c>
      <c r="U4" s="1342">
        <f>O4*J4</f>
        <v>0</v>
      </c>
      <c r="W4" s="1342" t="s">
        <v>3589</v>
      </c>
    </row>
    <row r="5" spans="1:30" ht="19.5" hidden="1" customHeight="1" x14ac:dyDescent="0.25">
      <c r="A5" s="4218"/>
      <c r="B5" s="4323"/>
      <c r="C5" s="2722">
        <v>106118967</v>
      </c>
      <c r="D5" s="3072" t="s">
        <v>3189</v>
      </c>
      <c r="E5" s="2108" t="s">
        <v>3190</v>
      </c>
      <c r="F5" s="2469">
        <v>1</v>
      </c>
      <c r="G5" s="2469"/>
      <c r="H5" s="2473"/>
      <c r="I5" s="2474"/>
      <c r="J5" s="3347">
        <f>'Lista global'!I263</f>
        <v>110.3111111111111</v>
      </c>
      <c r="K5" s="3347">
        <f>'Lista global'!P263</f>
        <v>137.89999999999998</v>
      </c>
      <c r="L5" s="3347">
        <f>'Lista global'!Q2651</f>
        <v>0</v>
      </c>
      <c r="M5" s="2473" t="s">
        <v>0</v>
      </c>
      <c r="N5" s="3124">
        <f t="shared" ref="N5:N56" si="2">$N$2*F5+G5</f>
        <v>4</v>
      </c>
      <c r="O5" s="1463">
        <v>0</v>
      </c>
      <c r="P5" s="3134">
        <f t="shared" si="0"/>
        <v>0</v>
      </c>
      <c r="Q5" s="3568">
        <f t="shared" si="1"/>
        <v>0</v>
      </c>
      <c r="R5" s="3230"/>
      <c r="S5" s="1383" t="s">
        <v>2948</v>
      </c>
      <c r="T5" s="1766" t="s">
        <v>2943</v>
      </c>
      <c r="U5" s="1342">
        <f t="shared" ref="U5:U64" si="3">O5*J5</f>
        <v>0</v>
      </c>
      <c r="W5" s="1342" t="s">
        <v>3589</v>
      </c>
      <c r="X5" s="3724" t="s">
        <v>3587</v>
      </c>
    </row>
    <row r="6" spans="1:30" ht="19.5" hidden="1" customHeight="1" x14ac:dyDescent="0.25">
      <c r="A6" s="4218"/>
      <c r="B6" s="4323"/>
      <c r="C6" s="3025">
        <v>106118986</v>
      </c>
      <c r="D6" s="2724" t="s">
        <v>2526</v>
      </c>
      <c r="E6" s="2749" t="s">
        <v>2517</v>
      </c>
      <c r="F6" s="2729">
        <v>1</v>
      </c>
      <c r="G6" s="2729"/>
      <c r="H6" s="2731"/>
      <c r="I6" s="2452"/>
      <c r="J6" s="3347">
        <f>'Lista global'!I164</f>
        <v>9.4444444444444446</v>
      </c>
      <c r="K6" s="3347">
        <f>'Lista global'!P164</f>
        <v>11.8375</v>
      </c>
      <c r="L6" s="3347">
        <f>'Lista global'!Q164</f>
        <v>9.9684210526315802</v>
      </c>
      <c r="M6" s="2731" t="s">
        <v>0</v>
      </c>
      <c r="N6" s="3124">
        <f t="shared" si="2"/>
        <v>4</v>
      </c>
      <c r="O6" s="2728">
        <v>0</v>
      </c>
      <c r="P6" s="3135">
        <f t="shared" si="0"/>
        <v>0</v>
      </c>
      <c r="Q6" s="3568">
        <f t="shared" si="1"/>
        <v>0</v>
      </c>
      <c r="R6" s="3230"/>
      <c r="T6" s="1766" t="s">
        <v>3027</v>
      </c>
      <c r="U6" s="1342">
        <f t="shared" si="3"/>
        <v>0</v>
      </c>
      <c r="W6" s="1342" t="s">
        <v>3589</v>
      </c>
      <c r="X6" s="3724" t="s">
        <v>3590</v>
      </c>
    </row>
    <row r="7" spans="1:30" ht="19.5" hidden="1" customHeight="1" x14ac:dyDescent="0.25">
      <c r="A7" s="4218"/>
      <c r="B7" s="4323"/>
      <c r="C7" s="3555">
        <v>106119494</v>
      </c>
      <c r="D7" s="2873" t="s">
        <v>2525</v>
      </c>
      <c r="E7" s="2749" t="s">
        <v>2518</v>
      </c>
      <c r="F7" s="2729">
        <v>1</v>
      </c>
      <c r="G7" s="2729"/>
      <c r="H7" s="2731"/>
      <c r="I7" s="2452"/>
      <c r="J7" s="3347">
        <f>'Lista global'!I264</f>
        <v>5</v>
      </c>
      <c r="K7" s="3347">
        <f>'Lista global'!P264</f>
        <v>6.25</v>
      </c>
      <c r="L7" s="3347">
        <f>'Lista global'!Q264</f>
        <v>5.2631578947368425</v>
      </c>
      <c r="M7" s="2731" t="s">
        <v>0</v>
      </c>
      <c r="N7" s="3124">
        <f t="shared" si="2"/>
        <v>4</v>
      </c>
      <c r="O7" s="2728">
        <v>0</v>
      </c>
      <c r="P7" s="3135">
        <f t="shared" si="0"/>
        <v>0</v>
      </c>
      <c r="Q7" s="3568">
        <f t="shared" si="1"/>
        <v>0</v>
      </c>
      <c r="R7" s="3230"/>
      <c r="T7" s="1766" t="s">
        <v>2944</v>
      </c>
      <c r="U7" s="1342">
        <f t="shared" si="3"/>
        <v>0</v>
      </c>
      <c r="W7" s="1342" t="s">
        <v>3589</v>
      </c>
      <c r="X7" s="3724" t="s">
        <v>3588</v>
      </c>
    </row>
    <row r="8" spans="1:30" ht="19.5" hidden="1" customHeight="1" x14ac:dyDescent="0.25">
      <c r="A8" s="4218"/>
      <c r="B8" s="4323"/>
      <c r="C8" s="3555">
        <v>106118968</v>
      </c>
      <c r="D8" s="2873" t="s">
        <v>2524</v>
      </c>
      <c r="E8" s="2749" t="s">
        <v>2519</v>
      </c>
      <c r="F8" s="2729">
        <v>1</v>
      </c>
      <c r="G8" s="2729"/>
      <c r="H8" s="2731"/>
      <c r="I8" s="2452"/>
      <c r="J8" s="3347">
        <f>'Lista global'!I265</f>
        <v>4.3666666666666671</v>
      </c>
      <c r="K8" s="3347">
        <f>'Lista global'!P265</f>
        <v>5.4624999999999995</v>
      </c>
      <c r="L8" s="3347">
        <f>'Lista global'!Q265</f>
        <v>4.6000000000000005</v>
      </c>
      <c r="M8" s="2731" t="s">
        <v>0</v>
      </c>
      <c r="N8" s="3124">
        <f t="shared" si="2"/>
        <v>4</v>
      </c>
      <c r="O8" s="2728">
        <v>0</v>
      </c>
      <c r="P8" s="3135">
        <f t="shared" si="0"/>
        <v>0</v>
      </c>
      <c r="Q8" s="3568">
        <f t="shared" si="1"/>
        <v>0</v>
      </c>
      <c r="R8" s="3230"/>
      <c r="T8" s="1766" t="s">
        <v>2945</v>
      </c>
      <c r="U8" s="1342">
        <f t="shared" si="3"/>
        <v>0</v>
      </c>
      <c r="W8" s="1342" t="s">
        <v>3589</v>
      </c>
      <c r="X8" s="3724" t="s">
        <v>3591</v>
      </c>
    </row>
    <row r="9" spans="1:30" ht="19.5" hidden="1" customHeight="1" x14ac:dyDescent="0.25">
      <c r="A9" s="4218"/>
      <c r="B9" s="4323"/>
      <c r="C9" s="3555">
        <v>106118969</v>
      </c>
      <c r="D9" s="2873" t="s">
        <v>2523</v>
      </c>
      <c r="E9" s="2749" t="s">
        <v>2520</v>
      </c>
      <c r="F9" s="2729">
        <v>1</v>
      </c>
      <c r="G9" s="2729"/>
      <c r="H9" s="2731"/>
      <c r="I9" s="2452"/>
      <c r="J9" s="3347">
        <f>'Lista global'!I266</f>
        <v>4.3666666666666671</v>
      </c>
      <c r="K9" s="3347">
        <f>'Lista global'!P266</f>
        <v>5.4624999999999995</v>
      </c>
      <c r="L9" s="3347">
        <f>'Lista global'!Q266</f>
        <v>4.6000000000000005</v>
      </c>
      <c r="M9" s="2731" t="s">
        <v>0</v>
      </c>
      <c r="N9" s="3124">
        <f t="shared" si="2"/>
        <v>4</v>
      </c>
      <c r="O9" s="2728">
        <v>0</v>
      </c>
      <c r="P9" s="3135">
        <f t="shared" si="0"/>
        <v>0</v>
      </c>
      <c r="Q9" s="3568">
        <f t="shared" si="1"/>
        <v>0</v>
      </c>
      <c r="R9" s="3230"/>
      <c r="T9" s="1766" t="s">
        <v>2946</v>
      </c>
      <c r="U9" s="1342">
        <f t="shared" si="3"/>
        <v>0</v>
      </c>
      <c r="W9" s="1342" t="s">
        <v>3589</v>
      </c>
      <c r="X9" s="3724" t="s">
        <v>3592</v>
      </c>
    </row>
    <row r="10" spans="1:30" ht="19.5" hidden="1" customHeight="1" thickBot="1" x14ac:dyDescent="0.3">
      <c r="A10" s="4218"/>
      <c r="B10" s="4323"/>
      <c r="C10" s="3556">
        <v>106118975</v>
      </c>
      <c r="D10" s="2454" t="s">
        <v>2522</v>
      </c>
      <c r="E10" s="2105" t="s">
        <v>2521</v>
      </c>
      <c r="F10" s="2394">
        <v>1</v>
      </c>
      <c r="G10" s="2394"/>
      <c r="H10" s="2106"/>
      <c r="I10" s="3063"/>
      <c r="J10" s="3347">
        <f>'Lista global'!I267</f>
        <v>3.333333333333333</v>
      </c>
      <c r="K10" s="3347">
        <f>'Lista global'!P267</f>
        <v>4.1749999999999998</v>
      </c>
      <c r="L10" s="3347">
        <f>'Lista global'!Q267</f>
        <v>3.5157894736842104</v>
      </c>
      <c r="M10" s="2453" t="s">
        <v>0</v>
      </c>
      <c r="N10" s="3124">
        <f t="shared" si="2"/>
        <v>4</v>
      </c>
      <c r="O10" s="3142">
        <v>0</v>
      </c>
      <c r="P10" s="3566">
        <f t="shared" si="0"/>
        <v>0</v>
      </c>
      <c r="Q10" s="3568">
        <f t="shared" si="1"/>
        <v>0</v>
      </c>
      <c r="R10" s="3230"/>
      <c r="T10" s="1766" t="s">
        <v>3028</v>
      </c>
      <c r="U10" s="1342">
        <f t="shared" si="3"/>
        <v>0</v>
      </c>
      <c r="W10" s="1342" t="s">
        <v>3589</v>
      </c>
      <c r="X10" s="3724" t="s">
        <v>3593</v>
      </c>
    </row>
    <row r="11" spans="1:30" ht="19.5" customHeight="1" thickBot="1" x14ac:dyDescent="0.3">
      <c r="A11" s="4218"/>
      <c r="B11" s="4323"/>
      <c r="C11" s="2462">
        <v>106207101</v>
      </c>
      <c r="D11" s="2744" t="s">
        <v>3201</v>
      </c>
      <c r="E11" s="2745" t="s">
        <v>3202</v>
      </c>
      <c r="F11" s="2829"/>
      <c r="G11" s="2829">
        <v>1</v>
      </c>
      <c r="H11" s="2830" t="s">
        <v>3160</v>
      </c>
      <c r="I11" s="3561"/>
      <c r="J11" s="3347">
        <f>'Lista global'!I355</f>
        <v>698.36666666666667</v>
      </c>
      <c r="K11" s="3347">
        <f>'Lista global'!P355</f>
        <v>872.96249999999998</v>
      </c>
      <c r="L11" s="3347">
        <f>'Lista global'!Q355</f>
        <v>735.12631578947378</v>
      </c>
      <c r="M11" s="2381">
        <f>IF(AND($M$2=$S$4,$N$2=2),1,0)</f>
        <v>0</v>
      </c>
      <c r="N11" s="3124">
        <f>M11*($N$2*F11+G11)</f>
        <v>0</v>
      </c>
      <c r="O11" s="3118">
        <f>IF(ROUNDDOWN(($O$2*N11/4)/10,0)&lt;M11,M11,ROUNDDOWN(($O$2*N11/4)/10,0))</f>
        <v>0</v>
      </c>
      <c r="P11" s="3128">
        <f t="shared" si="0"/>
        <v>0</v>
      </c>
      <c r="Q11" s="3568">
        <f t="shared" si="1"/>
        <v>0</v>
      </c>
      <c r="R11" s="3230"/>
      <c r="T11" s="1766"/>
      <c r="U11" s="1342">
        <v>0</v>
      </c>
      <c r="W11" s="1342" t="s">
        <v>3589</v>
      </c>
    </row>
    <row r="12" spans="1:30" ht="19.5" customHeight="1" thickBot="1" x14ac:dyDescent="0.3">
      <c r="A12" s="4218"/>
      <c r="B12" s="4323"/>
      <c r="C12" s="2757">
        <v>106204784</v>
      </c>
      <c r="D12" s="2744" t="s">
        <v>2938</v>
      </c>
      <c r="E12" s="2745" t="s">
        <v>2939</v>
      </c>
      <c r="F12" s="2829"/>
      <c r="G12" s="2829">
        <v>1</v>
      </c>
      <c r="H12" s="2830" t="s">
        <v>3161</v>
      </c>
      <c r="I12" s="3561"/>
      <c r="J12" s="3564">
        <f>'Lista global'!I278</f>
        <v>994.80000000000007</v>
      </c>
      <c r="K12" s="3564">
        <f>'Lista global'!P278</f>
        <v>1243.2249999999999</v>
      </c>
      <c r="L12" s="3564">
        <f>'Lista global'!Q278</f>
        <v>1046.9263157894738</v>
      </c>
      <c r="M12" s="2381">
        <f>IF(AND($M$2=$S$4,OR($N$2=3,$N$2=4)),1,0)</f>
        <v>1</v>
      </c>
      <c r="N12" s="3124">
        <f>M12*($N$2*F12+G12)</f>
        <v>1</v>
      </c>
      <c r="O12" s="3118">
        <f>IF(ROUNDDOWN(($O$2*N12/4)/10,0)&lt;M12,M12,ROUNDDOWN(($O$2*N12/4)/10,0))</f>
        <v>1</v>
      </c>
      <c r="P12" s="3128">
        <f t="shared" si="0"/>
        <v>1243.2249999999999</v>
      </c>
      <c r="Q12" s="3568">
        <f>L12*O12</f>
        <v>1046.9263157894738</v>
      </c>
      <c r="R12" s="3230"/>
      <c r="T12" s="1766"/>
      <c r="U12" s="1342">
        <f t="shared" si="3"/>
        <v>994.80000000000007</v>
      </c>
      <c r="W12" s="1342" t="s">
        <v>3589</v>
      </c>
    </row>
    <row r="13" spans="1:30" ht="19.5" hidden="1" customHeight="1" x14ac:dyDescent="0.25">
      <c r="A13" s="4218"/>
      <c r="B13" s="4323"/>
      <c r="C13" s="3169">
        <v>106118132</v>
      </c>
      <c r="D13" s="3072" t="s">
        <v>2975</v>
      </c>
      <c r="E13" s="2108" t="s">
        <v>2976</v>
      </c>
      <c r="F13" s="3060"/>
      <c r="G13" s="3060">
        <v>1</v>
      </c>
      <c r="H13" s="3367"/>
      <c r="I13" s="3560"/>
      <c r="J13" s="3565"/>
      <c r="K13" s="3564"/>
      <c r="L13" s="3564"/>
      <c r="M13" s="2397" t="s">
        <v>0</v>
      </c>
      <c r="N13" s="3124">
        <v>1</v>
      </c>
      <c r="O13" s="1463">
        <v>0</v>
      </c>
      <c r="P13" s="3135">
        <f t="shared" si="0"/>
        <v>0</v>
      </c>
      <c r="Q13" s="3568">
        <f t="shared" ref="Q13:Q76" si="4">L13*O13</f>
        <v>0</v>
      </c>
      <c r="R13" s="3230"/>
      <c r="T13" s="1766"/>
      <c r="U13" s="1342">
        <f t="shared" si="3"/>
        <v>0</v>
      </c>
      <c r="W13" s="1342" t="s">
        <v>3589</v>
      </c>
      <c r="X13" s="3724" t="s">
        <v>3594</v>
      </c>
    </row>
    <row r="14" spans="1:30" ht="19.5" hidden="1" customHeight="1" x14ac:dyDescent="0.25">
      <c r="A14" s="4218"/>
      <c r="B14" s="4323"/>
      <c r="C14" s="3562">
        <v>106119671</v>
      </c>
      <c r="D14" s="3072" t="s">
        <v>2977</v>
      </c>
      <c r="E14" s="2108" t="s">
        <v>2978</v>
      </c>
      <c r="F14" s="3060"/>
      <c r="G14" s="3060">
        <v>1</v>
      </c>
      <c r="H14" s="3367"/>
      <c r="I14" s="3560"/>
      <c r="J14" s="3565"/>
      <c r="K14" s="3564"/>
      <c r="L14" s="3564"/>
      <c r="M14" s="2731" t="s">
        <v>0</v>
      </c>
      <c r="N14" s="3124">
        <v>1</v>
      </c>
      <c r="O14" s="2728">
        <v>0</v>
      </c>
      <c r="P14" s="3135">
        <f t="shared" si="0"/>
        <v>0</v>
      </c>
      <c r="Q14" s="3568">
        <f t="shared" si="4"/>
        <v>0</v>
      </c>
      <c r="R14" s="3230"/>
      <c r="T14" s="1766"/>
      <c r="U14" s="1342">
        <f t="shared" si="3"/>
        <v>0</v>
      </c>
      <c r="W14" s="1342" t="s">
        <v>3589</v>
      </c>
      <c r="X14" s="3724" t="s">
        <v>3595</v>
      </c>
    </row>
    <row r="15" spans="1:30" ht="19.5" hidden="1" customHeight="1" x14ac:dyDescent="0.25">
      <c r="A15" s="4218"/>
      <c r="B15" s="4323"/>
      <c r="C15" s="3562">
        <v>106119673</v>
      </c>
      <c r="D15" s="2832" t="s">
        <v>2807</v>
      </c>
      <c r="E15" s="2749" t="s">
        <v>2808</v>
      </c>
      <c r="F15" s="3060"/>
      <c r="G15" s="3060">
        <v>1</v>
      </c>
      <c r="H15" s="3367"/>
      <c r="I15" s="3560"/>
      <c r="J15" s="3565"/>
      <c r="K15" s="3564"/>
      <c r="L15" s="3564"/>
      <c r="M15" s="2731" t="s">
        <v>0</v>
      </c>
      <c r="N15" s="3124">
        <v>1</v>
      </c>
      <c r="O15" s="2728">
        <v>0</v>
      </c>
      <c r="P15" s="3135">
        <f t="shared" si="0"/>
        <v>0</v>
      </c>
      <c r="Q15" s="3568">
        <f t="shared" si="4"/>
        <v>0</v>
      </c>
      <c r="R15" s="3230"/>
      <c r="T15" s="1766"/>
      <c r="U15" s="1342">
        <f t="shared" si="3"/>
        <v>0</v>
      </c>
      <c r="W15" s="1342" t="s">
        <v>3589</v>
      </c>
      <c r="X15" s="3724" t="s">
        <v>3596</v>
      </c>
    </row>
    <row r="16" spans="1:30" ht="19.5" hidden="1" customHeight="1" thickBot="1" x14ac:dyDescent="0.3">
      <c r="A16" s="4218"/>
      <c r="B16" s="4324"/>
      <c r="C16" s="2499">
        <v>106120955</v>
      </c>
      <c r="D16" s="2104" t="s">
        <v>2809</v>
      </c>
      <c r="E16" s="2105" t="s">
        <v>2810</v>
      </c>
      <c r="F16" s="2387"/>
      <c r="G16" s="2387">
        <v>1</v>
      </c>
      <c r="H16" s="3142"/>
      <c r="I16" s="3563"/>
      <c r="J16" s="3565"/>
      <c r="K16" s="3564"/>
      <c r="L16" s="3564"/>
      <c r="M16" s="2381" t="s">
        <v>0</v>
      </c>
      <c r="N16" s="3124">
        <v>1</v>
      </c>
      <c r="O16" s="3142">
        <v>0</v>
      </c>
      <c r="P16" s="3136">
        <f t="shared" si="0"/>
        <v>0</v>
      </c>
      <c r="Q16" s="3568">
        <f t="shared" si="4"/>
        <v>0</v>
      </c>
      <c r="R16" s="3230"/>
      <c r="T16" s="1766"/>
      <c r="U16" s="1342">
        <f t="shared" si="3"/>
        <v>0</v>
      </c>
      <c r="W16" s="1342" t="s">
        <v>3589</v>
      </c>
      <c r="X16" s="3724" t="s">
        <v>3597</v>
      </c>
    </row>
    <row r="17" spans="1:30" ht="19.5" customHeight="1" thickBot="1" x14ac:dyDescent="0.3">
      <c r="A17" s="4218"/>
      <c r="B17" s="3580" t="s">
        <v>3164</v>
      </c>
      <c r="C17" s="2763">
        <v>106105692</v>
      </c>
      <c r="D17" s="2724" t="s">
        <v>3210</v>
      </c>
      <c r="E17" s="2749" t="s">
        <v>3211</v>
      </c>
      <c r="F17" s="2449"/>
      <c r="G17" s="2449">
        <v>1</v>
      </c>
      <c r="H17" s="1463">
        <v>7</v>
      </c>
      <c r="I17" s="2463"/>
      <c r="J17" s="3564">
        <f>'Lista global'!I280</f>
        <v>3.5666666666666664</v>
      </c>
      <c r="K17" s="3564">
        <f>'Lista global'!P280</f>
        <v>4.4624999999999995</v>
      </c>
      <c r="L17" s="3564">
        <f>'Lista global'!Q280</f>
        <v>3.7578947368421054</v>
      </c>
      <c r="M17" s="2381">
        <f>IF($M$2=$S$4,1,0)</f>
        <v>1</v>
      </c>
      <c r="N17" s="3124">
        <f>M17*($N$2*F17+G17)</f>
        <v>1</v>
      </c>
      <c r="O17" s="3118">
        <f>IF(ROUNDDOWN(($O$2*N17/4)/10,0)&lt;M17,M17,ROUNDDOWN(($O$2*N17/4)/10,0))</f>
        <v>1</v>
      </c>
      <c r="P17" s="3125">
        <f t="shared" si="0"/>
        <v>4.4624999999999995</v>
      </c>
      <c r="Q17" s="3568">
        <f t="shared" si="4"/>
        <v>3.7578947368421054</v>
      </c>
      <c r="R17" s="3230"/>
      <c r="T17" s="1766"/>
      <c r="U17" s="1342">
        <f t="shared" si="3"/>
        <v>3.5666666666666664</v>
      </c>
      <c r="W17" s="1342" t="s">
        <v>3551</v>
      </c>
      <c r="X17" s="3725" t="s">
        <v>3600</v>
      </c>
    </row>
    <row r="18" spans="1:30" ht="19.5" customHeight="1" thickBot="1" x14ac:dyDescent="0.3">
      <c r="A18" s="4218"/>
      <c r="B18" s="3145" t="s">
        <v>2803</v>
      </c>
      <c r="C18" s="3032">
        <v>106125859</v>
      </c>
      <c r="D18" s="2724" t="s">
        <v>3875</v>
      </c>
      <c r="E18" s="2733" t="s">
        <v>3876</v>
      </c>
      <c r="F18" s="3060"/>
      <c r="G18" s="3060">
        <v>1</v>
      </c>
      <c r="H18" s="3367" t="s">
        <v>3165</v>
      </c>
      <c r="I18" s="3560"/>
      <c r="J18" s="3564">
        <f>'Lista global'!I365</f>
        <v>47.89</v>
      </c>
      <c r="K18" s="3564">
        <f>'Lista global'!P365</f>
        <v>59.862499999999997</v>
      </c>
      <c r="L18" s="3564">
        <f>'Lista global'!Q365</f>
        <v>50.410526315789475</v>
      </c>
      <c r="M18" s="2381">
        <f>IF($M$2=$S$4,1,0)</f>
        <v>1</v>
      </c>
      <c r="N18" s="3124">
        <f>M18*($N$2*F18+G18)</f>
        <v>1</v>
      </c>
      <c r="O18" s="3118">
        <f>IF(ROUNDDOWN(($O$2*N18/4)/10,0)&lt;M18,M18,ROUNDDOWN(($O$2*N18/4)/10,0))</f>
        <v>1</v>
      </c>
      <c r="P18" s="3128">
        <f t="shared" si="0"/>
        <v>59.862499999999997</v>
      </c>
      <c r="Q18" s="3568">
        <f t="shared" si="4"/>
        <v>50.410526315789475</v>
      </c>
      <c r="R18" s="3230"/>
      <c r="T18" s="1766"/>
      <c r="U18" s="1342">
        <f t="shared" si="3"/>
        <v>47.89</v>
      </c>
      <c r="W18" s="1342" t="s">
        <v>3526</v>
      </c>
      <c r="X18" s="3724" t="s">
        <v>3598</v>
      </c>
      <c r="Y18" s="1342" t="s">
        <v>3526</v>
      </c>
      <c r="Z18" s="3724" t="s">
        <v>3599</v>
      </c>
    </row>
    <row r="19" spans="1:30" ht="19.5" customHeight="1" thickBot="1" x14ac:dyDescent="0.3">
      <c r="A19" s="4218"/>
      <c r="B19" s="2386" t="s">
        <v>261</v>
      </c>
      <c r="C19" s="2755">
        <v>106114701</v>
      </c>
      <c r="D19" s="2457" t="s">
        <v>1243</v>
      </c>
      <c r="E19" s="2458" t="s">
        <v>1244</v>
      </c>
      <c r="F19" s="2459">
        <v>1</v>
      </c>
      <c r="G19" s="2460"/>
      <c r="H19" s="2461" t="s">
        <v>3203</v>
      </c>
      <c r="I19" s="2494"/>
      <c r="J19" s="3564">
        <f>'Lista global'!I146</f>
        <v>74.277777777777771</v>
      </c>
      <c r="K19" s="3564">
        <f>'Lista global'!P146</f>
        <v>92.85</v>
      </c>
      <c r="L19" s="3564">
        <f>'Lista global'!Q146</f>
        <v>78.189473684210526</v>
      </c>
      <c r="M19" s="2980">
        <v>1</v>
      </c>
      <c r="N19" s="3124">
        <f>IF($M$2=$S$5,$N$2*F19+G19,1)</f>
        <v>1</v>
      </c>
      <c r="O19" s="3116">
        <f>IF(ROUND(N19*$O$2/4,0)&lt;M19,M19,ROUND(N19*$O$2/4,0))</f>
        <v>1</v>
      </c>
      <c r="P19" s="3126">
        <f t="shared" si="0"/>
        <v>92.85</v>
      </c>
      <c r="Q19" s="3568">
        <f t="shared" si="4"/>
        <v>78.189473684210526</v>
      </c>
      <c r="R19" s="3230"/>
      <c r="U19" s="1342">
        <f t="shared" si="3"/>
        <v>74.277777777777771</v>
      </c>
      <c r="W19" s="1342" t="s">
        <v>3516</v>
      </c>
      <c r="X19" s="3724" t="s">
        <v>3534</v>
      </c>
      <c r="Y19" s="1342" t="s">
        <v>3535</v>
      </c>
      <c r="Z19" s="3724" t="s">
        <v>3536</v>
      </c>
    </row>
    <row r="20" spans="1:30" ht="19.5" customHeight="1" thickBot="1" x14ac:dyDescent="0.3">
      <c r="A20" s="4218"/>
      <c r="B20" s="4323" t="s">
        <v>71</v>
      </c>
      <c r="C20" s="2757">
        <v>106204781</v>
      </c>
      <c r="D20" s="2742" t="s">
        <v>2508</v>
      </c>
      <c r="E20" s="2743" t="s">
        <v>2509</v>
      </c>
      <c r="F20" s="2830"/>
      <c r="G20" s="2829">
        <v>1</v>
      </c>
      <c r="H20" s="2830" t="s">
        <v>3633</v>
      </c>
      <c r="I20" s="3561"/>
      <c r="J20" s="3347">
        <f>'Lista global'!I268</f>
        <v>1356.0444444444445</v>
      </c>
      <c r="K20" s="3347">
        <f>'Lista global'!P268</f>
        <v>2164.4874999999997</v>
      </c>
      <c r="L20" s="3347">
        <f>'Lista global'!Q268</f>
        <v>1822.7263157894736</v>
      </c>
      <c r="M20" s="2980">
        <f>IF($P$2=$S$4,1,0)</f>
        <v>1</v>
      </c>
      <c r="N20" s="3124">
        <f>IF($P$2=$S$4,$N$2*F20+G20,0)</f>
        <v>1</v>
      </c>
      <c r="O20" s="3116">
        <f>IF(ROUNDDOWN(N20*$O$2/20,0)&lt;M20,M20,ROUNDDOWN(N20*$O$2/20,0))</f>
        <v>1</v>
      </c>
      <c r="P20" s="3126">
        <f t="shared" si="0"/>
        <v>2164.4874999999997</v>
      </c>
      <c r="Q20" s="3568">
        <f t="shared" si="4"/>
        <v>1822.7263157894736</v>
      </c>
      <c r="R20" s="3230" t="s">
        <v>2309</v>
      </c>
      <c r="U20" s="1342">
        <f t="shared" si="3"/>
        <v>1356.0444444444445</v>
      </c>
      <c r="W20" s="1342" t="s">
        <v>3538</v>
      </c>
    </row>
    <row r="21" spans="1:30" ht="19.5" hidden="1" customHeight="1" x14ac:dyDescent="0.25">
      <c r="A21" s="4218"/>
      <c r="B21" s="4323"/>
      <c r="C21" s="2722">
        <v>106101365</v>
      </c>
      <c r="D21" s="2467" t="s">
        <v>2504</v>
      </c>
      <c r="E21" s="2468" t="s">
        <v>2505</v>
      </c>
      <c r="F21" s="2109"/>
      <c r="G21" s="2469">
        <v>1</v>
      </c>
      <c r="H21" s="2109"/>
      <c r="I21" s="2470"/>
      <c r="J21" s="3347"/>
      <c r="K21" s="3347"/>
      <c r="L21" s="3347">
        <f>'Lista global'!Q269</f>
        <v>1706.5473684210529</v>
      </c>
      <c r="M21" s="2473" t="s">
        <v>0</v>
      </c>
      <c r="N21" s="3124">
        <f t="shared" si="2"/>
        <v>1</v>
      </c>
      <c r="O21" s="2728">
        <v>0</v>
      </c>
      <c r="P21" s="3135">
        <f t="shared" si="0"/>
        <v>0</v>
      </c>
      <c r="Q21" s="3568">
        <f t="shared" si="4"/>
        <v>0</v>
      </c>
      <c r="R21" s="3230"/>
      <c r="U21" s="1342">
        <f t="shared" si="3"/>
        <v>0</v>
      </c>
      <c r="W21" s="1342" t="s">
        <v>3538</v>
      </c>
      <c r="X21" s="3724">
        <v>33482</v>
      </c>
    </row>
    <row r="22" spans="1:30" ht="19.5" hidden="1" customHeight="1" x14ac:dyDescent="0.25">
      <c r="A22" s="4218"/>
      <c r="B22" s="4323"/>
      <c r="C22" s="3025">
        <v>106104092</v>
      </c>
      <c r="D22" s="2832" t="s">
        <v>1361</v>
      </c>
      <c r="E22" s="2749" t="s">
        <v>1362</v>
      </c>
      <c r="F22" s="2728"/>
      <c r="G22" s="2729">
        <v>1</v>
      </c>
      <c r="H22" s="2728"/>
      <c r="I22" s="2464"/>
      <c r="J22" s="3347"/>
      <c r="K22" s="3347"/>
      <c r="L22" s="3347">
        <f>'Lista global'!Q16</f>
        <v>5.957894736842106</v>
      </c>
      <c r="M22" s="2731" t="s">
        <v>0</v>
      </c>
      <c r="N22" s="3124">
        <f t="shared" si="2"/>
        <v>1</v>
      </c>
      <c r="O22" s="2728">
        <v>0</v>
      </c>
      <c r="P22" s="3135">
        <f t="shared" si="0"/>
        <v>0</v>
      </c>
      <c r="Q22" s="3568">
        <f t="shared" si="4"/>
        <v>0</v>
      </c>
      <c r="R22" s="3230"/>
      <c r="U22" s="1342">
        <f t="shared" si="3"/>
        <v>0</v>
      </c>
      <c r="W22" s="1342" t="s">
        <v>3538</v>
      </c>
      <c r="X22" s="3724">
        <v>29450</v>
      </c>
    </row>
    <row r="23" spans="1:30" ht="19.5" hidden="1" customHeight="1" x14ac:dyDescent="0.25">
      <c r="A23" s="4218"/>
      <c r="B23" s="4323"/>
      <c r="C23" s="3025">
        <v>106101464</v>
      </c>
      <c r="D23" s="2724" t="s">
        <v>2542</v>
      </c>
      <c r="E23" s="2117" t="s">
        <v>2543</v>
      </c>
      <c r="F23" s="2728"/>
      <c r="G23" s="2729">
        <v>1</v>
      </c>
      <c r="H23" s="2728"/>
      <c r="I23" s="2464"/>
      <c r="J23" s="3347"/>
      <c r="K23" s="3347"/>
      <c r="L23" s="3347">
        <f>'Lista global'!Q270</f>
        <v>90.273684210526326</v>
      </c>
      <c r="M23" s="2731" t="s">
        <v>0</v>
      </c>
      <c r="N23" s="3124">
        <f t="shared" si="2"/>
        <v>1</v>
      </c>
      <c r="O23" s="2728">
        <v>0</v>
      </c>
      <c r="P23" s="3135">
        <f t="shared" si="0"/>
        <v>0</v>
      </c>
      <c r="Q23" s="3568">
        <f t="shared" si="4"/>
        <v>0</v>
      </c>
      <c r="R23" s="3230"/>
      <c r="U23" s="1342">
        <f t="shared" si="3"/>
        <v>0</v>
      </c>
      <c r="W23" s="1342" t="s">
        <v>3538</v>
      </c>
      <c r="X23" s="3724">
        <v>33875</v>
      </c>
    </row>
    <row r="24" spans="1:30" ht="19.5" hidden="1" customHeight="1" thickBot="1" x14ac:dyDescent="0.3">
      <c r="A24" s="4218"/>
      <c r="B24" s="4323"/>
      <c r="C24" s="3032">
        <v>106110738</v>
      </c>
      <c r="D24" s="2454" t="s">
        <v>2554</v>
      </c>
      <c r="E24" s="2105" t="s">
        <v>2555</v>
      </c>
      <c r="F24" s="2106"/>
      <c r="G24" s="2394">
        <v>1</v>
      </c>
      <c r="H24" s="2106"/>
      <c r="I24" s="3063"/>
      <c r="J24" s="3347"/>
      <c r="K24" s="3347"/>
      <c r="L24" s="3347">
        <f>'Lista global'!Q271</f>
        <v>47.221052631578949</v>
      </c>
      <c r="M24" s="2453" t="s">
        <v>0</v>
      </c>
      <c r="N24" s="3124">
        <f t="shared" si="2"/>
        <v>1</v>
      </c>
      <c r="O24" s="2106">
        <v>0</v>
      </c>
      <c r="P24" s="3136">
        <f t="shared" si="0"/>
        <v>0</v>
      </c>
      <c r="Q24" s="3568">
        <f t="shared" si="4"/>
        <v>0</v>
      </c>
      <c r="R24" s="3230"/>
      <c r="U24" s="1342">
        <f t="shared" si="3"/>
        <v>0</v>
      </c>
      <c r="W24" s="1342" t="s">
        <v>3601</v>
      </c>
      <c r="X24" s="3724">
        <v>33662</v>
      </c>
    </row>
    <row r="25" spans="1:30" ht="19.5" customHeight="1" x14ac:dyDescent="0.25">
      <c r="A25" s="4218"/>
      <c r="B25" s="3162" t="s">
        <v>213</v>
      </c>
      <c r="C25" s="3028">
        <v>106117401</v>
      </c>
      <c r="D25" s="2448" t="s">
        <v>1894</v>
      </c>
      <c r="E25" s="1441" t="s">
        <v>1518</v>
      </c>
      <c r="F25" s="2721"/>
      <c r="G25" s="2721">
        <v>1</v>
      </c>
      <c r="H25" s="2396" t="s">
        <v>649</v>
      </c>
      <c r="I25" s="2839"/>
      <c r="J25" s="3238">
        <f>'Lista global'!I152</f>
        <v>0.93333333333333324</v>
      </c>
      <c r="K25" s="3238">
        <f>'Lista global'!P152</f>
        <v>1.1625000000000001</v>
      </c>
      <c r="L25" s="3661">
        <f>'Lista global'!Q152</f>
        <v>0.97894736842105268</v>
      </c>
      <c r="M25" s="2473">
        <v>1</v>
      </c>
      <c r="N25" s="3124">
        <f>M25*($N$2*F25+G25)</f>
        <v>1</v>
      </c>
      <c r="O25" s="3363">
        <f>G25*($O$57+$O$58+$O$59+$O$60+$O$61+$O62+$O$63+$O$64+$O$65+$O$66+$O$67+$O$68+$O$69+$O$70)</f>
        <v>1</v>
      </c>
      <c r="P25" s="3244">
        <f t="shared" si="0"/>
        <v>1.1625000000000001</v>
      </c>
      <c r="Q25" s="3568">
        <f t="shared" si="4"/>
        <v>0.97894736842105268</v>
      </c>
      <c r="U25" s="1342">
        <f t="shared" si="3"/>
        <v>0.93333333333333324</v>
      </c>
      <c r="W25" s="1342" t="s">
        <v>3602</v>
      </c>
      <c r="X25" s="3724">
        <v>420004</v>
      </c>
      <c r="Y25" s="1342" t="s">
        <v>3603</v>
      </c>
      <c r="Z25" s="3724" t="s">
        <v>3604</v>
      </c>
    </row>
    <row r="26" spans="1:30" s="2227" customFormat="1" ht="19.5" customHeight="1" thickBot="1" x14ac:dyDescent="0.3">
      <c r="A26" s="4218"/>
      <c r="B26" s="3145" t="s">
        <v>341</v>
      </c>
      <c r="C26" s="2763">
        <v>106127312</v>
      </c>
      <c r="D26" s="2724" t="s">
        <v>3637</v>
      </c>
      <c r="E26" s="2831" t="s">
        <v>3638</v>
      </c>
      <c r="F26" s="2845">
        <v>1</v>
      </c>
      <c r="G26" s="2845"/>
      <c r="H26" s="3562">
        <v>13</v>
      </c>
      <c r="I26" s="4090"/>
      <c r="J26" s="3347">
        <f>'Lista global'!I138</f>
        <v>171.11111111111111</v>
      </c>
      <c r="K26" s="3347">
        <f>'Lista global'!P138</f>
        <v>213.88750000000002</v>
      </c>
      <c r="L26" s="3347">
        <f>'Lista global'!Q138</f>
        <v>180.11578947368423</v>
      </c>
      <c r="M26" s="2499">
        <v>1</v>
      </c>
      <c r="N26" s="3193">
        <f>IF($P$2=$S$5,$N$2*F26+G26,1)</f>
        <v>1</v>
      </c>
      <c r="O26" s="3254">
        <f>IF(ROUND(N26*$O$2/4,0)&lt;M26,M26,ROUND(N26*$O$2/4,0))</f>
        <v>1</v>
      </c>
      <c r="P26" s="4091">
        <f t="shared" si="0"/>
        <v>213.88750000000002</v>
      </c>
      <c r="Q26" s="4086">
        <f t="shared" si="4"/>
        <v>180.11578947368423</v>
      </c>
      <c r="R26" s="3230" t="s">
        <v>2309</v>
      </c>
      <c r="T26" s="1351"/>
      <c r="U26" s="1351">
        <f t="shared" si="3"/>
        <v>171.11111111111111</v>
      </c>
      <c r="W26" s="1351" t="s">
        <v>3516</v>
      </c>
      <c r="X26" s="4087">
        <v>516092</v>
      </c>
      <c r="Y26" s="1351"/>
      <c r="Z26" s="4092"/>
      <c r="AA26" s="1351"/>
      <c r="AB26" s="1351"/>
      <c r="AC26" s="1351"/>
      <c r="AD26" s="1351"/>
    </row>
    <row r="27" spans="1:30" s="3191" customFormat="1" ht="19.5" customHeight="1" thickBot="1" x14ac:dyDescent="0.3">
      <c r="A27" s="4219"/>
      <c r="B27" s="3145" t="s">
        <v>138</v>
      </c>
      <c r="C27" s="2763">
        <v>106205336</v>
      </c>
      <c r="D27" s="2724" t="s">
        <v>1985</v>
      </c>
      <c r="E27" s="2733" t="s">
        <v>1468</v>
      </c>
      <c r="F27" s="3060"/>
      <c r="G27" s="3060">
        <v>1</v>
      </c>
      <c r="H27" s="3367" t="s">
        <v>2861</v>
      </c>
      <c r="I27" s="3560"/>
      <c r="J27" s="3564">
        <f>'Lista global'!I335</f>
        <v>11.755555555555555</v>
      </c>
      <c r="K27" s="3564">
        <f>'Lista global'!P335</f>
        <v>14.7</v>
      </c>
      <c r="L27" s="3564">
        <f>'Lista global'!Q335</f>
        <v>12.378947368421054</v>
      </c>
      <c r="M27" s="2605">
        <v>1</v>
      </c>
      <c r="N27" s="3124">
        <f t="shared" si="2"/>
        <v>1</v>
      </c>
      <c r="O27" s="3252">
        <f>IF(ROUNDDOWN($O$2/10,0)&lt;M27,M27,ROUNDDOWN($O$2/10,0))</f>
        <v>1</v>
      </c>
      <c r="P27" s="3381">
        <f>K27*O27</f>
        <v>14.7</v>
      </c>
      <c r="Q27" s="3568">
        <f t="shared" si="4"/>
        <v>12.378947368421054</v>
      </c>
      <c r="W27" s="1342" t="s">
        <v>3493</v>
      </c>
      <c r="X27" s="3724">
        <v>185078</v>
      </c>
      <c r="Y27" s="1342" t="s">
        <v>3549</v>
      </c>
      <c r="Z27" s="3724" t="s">
        <v>3550</v>
      </c>
    </row>
    <row r="28" spans="1:30" s="1574" customFormat="1" ht="24" customHeight="1" x14ac:dyDescent="0.25">
      <c r="A28" s="4217" t="s">
        <v>2484</v>
      </c>
      <c r="B28" s="3163" t="s">
        <v>2485</v>
      </c>
      <c r="C28" s="2447">
        <v>106122352</v>
      </c>
      <c r="D28" s="2448" t="s">
        <v>2954</v>
      </c>
      <c r="E28" s="1397" t="s">
        <v>2955</v>
      </c>
      <c r="F28" s="2449">
        <v>1</v>
      </c>
      <c r="G28" s="2449"/>
      <c r="H28" s="2397">
        <v>4</v>
      </c>
      <c r="I28" s="2398"/>
      <c r="J28" s="3347">
        <f>'Lista global'!I287</f>
        <v>153.56666666666666</v>
      </c>
      <c r="K28" s="3347">
        <f>'Lista global'!P287</f>
        <v>198.88750000000002</v>
      </c>
      <c r="L28" s="3347">
        <f>'Lista global'!Q287</f>
        <v>167.48421052631582</v>
      </c>
      <c r="M28" s="2473">
        <v>1</v>
      </c>
      <c r="N28" s="3124">
        <f>IF($N2=4,6,IF($N2=3,5,3))</f>
        <v>6</v>
      </c>
      <c r="O28" s="3243">
        <f>IF(ROUND(N28*$O$2/10,0)&lt;M28,M28,ROUND(N28*$O$2/10,0))</f>
        <v>2</v>
      </c>
      <c r="P28" s="3244">
        <f t="shared" si="0"/>
        <v>397.77500000000003</v>
      </c>
      <c r="Q28" s="3568">
        <f t="shared" si="4"/>
        <v>334.96842105263164</v>
      </c>
      <c r="R28" s="3230" t="s">
        <v>2309</v>
      </c>
      <c r="U28" s="1342">
        <f t="shared" si="3"/>
        <v>307.13333333333333</v>
      </c>
      <c r="W28" s="1342" t="s">
        <v>3605</v>
      </c>
      <c r="X28" s="3724" t="s">
        <v>3606</v>
      </c>
      <c r="Y28" s="1342"/>
      <c r="Z28" s="3724"/>
      <c r="AA28" s="1342"/>
      <c r="AB28" s="1342"/>
      <c r="AC28" s="1342"/>
      <c r="AD28" s="1342"/>
    </row>
    <row r="29" spans="1:30" s="1574" customFormat="1" ht="24" customHeight="1" thickBot="1" x14ac:dyDescent="0.3">
      <c r="A29" s="4218"/>
      <c r="B29" s="3164" t="s">
        <v>3126</v>
      </c>
      <c r="C29" s="2484">
        <v>106206368</v>
      </c>
      <c r="D29" s="2454" t="s">
        <v>2906</v>
      </c>
      <c r="E29" s="2105" t="s">
        <v>2956</v>
      </c>
      <c r="F29" s="2394">
        <v>1</v>
      </c>
      <c r="G29" s="2394"/>
      <c r="H29" s="2453">
        <v>4</v>
      </c>
      <c r="I29" s="2595"/>
      <c r="J29" s="3347">
        <f>'Lista global'!I308</f>
        <v>19.477777777777778</v>
      </c>
      <c r="K29" s="3347">
        <f>'Lista global'!P308</f>
        <v>48.699999999999996</v>
      </c>
      <c r="L29" s="3347">
        <f>'Lista global'!Q308</f>
        <v>32.466666666666669</v>
      </c>
      <c r="M29" s="2453">
        <v>1</v>
      </c>
      <c r="N29" s="3124">
        <f>$N$28</f>
        <v>6</v>
      </c>
      <c r="O29" s="3118">
        <f>IF(ROUNDDOWN(N29*$O$2/20,0)&lt;M29,M29,ROUNDDOWN(N29*$O$2/20,0))</f>
        <v>1</v>
      </c>
      <c r="P29" s="3128">
        <f t="shared" si="0"/>
        <v>48.699999999999996</v>
      </c>
      <c r="Q29" s="3568">
        <f t="shared" si="4"/>
        <v>32.466666666666669</v>
      </c>
      <c r="R29" s="3230"/>
      <c r="U29" s="1342">
        <f t="shared" si="3"/>
        <v>19.477777777777778</v>
      </c>
      <c r="W29" s="1342" t="s">
        <v>3502</v>
      </c>
      <c r="X29" s="3724"/>
      <c r="Y29" s="1342"/>
      <c r="Z29" s="3724"/>
      <c r="AA29" s="1342"/>
      <c r="AB29" s="1342"/>
      <c r="AC29" s="1342"/>
      <c r="AD29" s="1342"/>
    </row>
    <row r="30" spans="1:30" ht="19.5" customHeight="1" thickBot="1" x14ac:dyDescent="0.3">
      <c r="A30" s="4218"/>
      <c r="B30" s="2386" t="s">
        <v>3350</v>
      </c>
      <c r="C30" s="2868">
        <v>106206886</v>
      </c>
      <c r="D30" s="2493" t="s">
        <v>3352</v>
      </c>
      <c r="E30" s="2487" t="s">
        <v>3353</v>
      </c>
      <c r="F30" s="3060"/>
      <c r="G30" s="3060">
        <v>1</v>
      </c>
      <c r="H30" s="2947"/>
      <c r="I30" s="3061"/>
      <c r="J30" s="3347">
        <f>'Lista global'!I200</f>
        <v>42.277777777777771</v>
      </c>
      <c r="K30" s="3347">
        <f>'Lista global'!P200</f>
        <v>95</v>
      </c>
      <c r="L30" s="3347">
        <f>'Lista global'!Q200</f>
        <v>63.333333333333336</v>
      </c>
      <c r="M30" s="2980">
        <v>1</v>
      </c>
      <c r="N30" s="3124">
        <f t="shared" si="2"/>
        <v>1</v>
      </c>
      <c r="O30" s="3116">
        <f>IF(ROUNDDOWN(O2/4,0)&lt;M30,M30,ROUNDDOWN(O2/4,0))</f>
        <v>1</v>
      </c>
      <c r="P30" s="3126">
        <f t="shared" si="0"/>
        <v>95</v>
      </c>
      <c r="Q30" s="3568">
        <f t="shared" si="4"/>
        <v>63.333333333333336</v>
      </c>
      <c r="R30" s="3230"/>
      <c r="T30" s="1574"/>
      <c r="U30" s="1342">
        <f t="shared" si="3"/>
        <v>42.277777777777771</v>
      </c>
      <c r="W30" s="1342" t="s">
        <v>3502</v>
      </c>
    </row>
    <row r="31" spans="1:30" ht="19.5" customHeight="1" thickBot="1" x14ac:dyDescent="0.3">
      <c r="A31" s="4218"/>
      <c r="B31" s="4322" t="s">
        <v>21</v>
      </c>
      <c r="C31" s="3729">
        <v>106204083</v>
      </c>
      <c r="D31" s="2742" t="s">
        <v>1357</v>
      </c>
      <c r="E31" s="2743" t="s">
        <v>1358</v>
      </c>
      <c r="F31" s="2829">
        <v>1</v>
      </c>
      <c r="G31" s="2842"/>
      <c r="H31" s="2980">
        <v>1</v>
      </c>
      <c r="I31" s="2395"/>
      <c r="J31" s="3347">
        <f>'Lista global'!I230</f>
        <v>338.38888888888891</v>
      </c>
      <c r="K31" s="3347">
        <f>'Lista global'!P230</f>
        <v>443.33749999999998</v>
      </c>
      <c r="L31" s="3347">
        <f>'Lista global'!Q230</f>
        <v>373.3368421052632</v>
      </c>
      <c r="M31" s="2381">
        <v>1</v>
      </c>
      <c r="N31" s="3124">
        <f t="shared" si="2"/>
        <v>4</v>
      </c>
      <c r="O31" s="3115">
        <f>IF(ROUNDDOWN(($O$2*N31/4)/10,0)&lt;M31,M31,ROUNDDOWN(($O$2*N31/4)/10,0))</f>
        <v>1</v>
      </c>
      <c r="P31" s="3125">
        <f t="shared" si="0"/>
        <v>443.33749999999998</v>
      </c>
      <c r="Q31" s="3568">
        <f t="shared" si="4"/>
        <v>373.3368421052632</v>
      </c>
      <c r="R31" s="3230"/>
      <c r="U31" s="1342">
        <f t="shared" si="3"/>
        <v>338.38888888888891</v>
      </c>
      <c r="W31" s="1342" t="s">
        <v>3601</v>
      </c>
    </row>
    <row r="32" spans="1:30" ht="19.5" hidden="1" customHeight="1" x14ac:dyDescent="0.25">
      <c r="A32" s="4218"/>
      <c r="B32" s="4323"/>
      <c r="C32" s="2496">
        <v>106104119</v>
      </c>
      <c r="D32" s="2467" t="s">
        <v>1363</v>
      </c>
      <c r="E32" s="2468" t="s">
        <v>1363</v>
      </c>
      <c r="F32" s="2469">
        <v>1</v>
      </c>
      <c r="G32" s="2485"/>
      <c r="H32" s="2473"/>
      <c r="I32" s="2474"/>
      <c r="J32" s="3347">
        <f>'Lista global'!I26</f>
        <v>244.0888888888889</v>
      </c>
      <c r="K32" s="3347"/>
      <c r="L32" s="3347"/>
      <c r="M32" s="2473" t="s">
        <v>0</v>
      </c>
      <c r="N32" s="3124">
        <f t="shared" si="2"/>
        <v>4</v>
      </c>
      <c r="O32" s="2109">
        <v>0</v>
      </c>
      <c r="P32" s="3137">
        <f t="shared" ref="P32:P63" si="5">K32*O32</f>
        <v>0</v>
      </c>
      <c r="Q32" s="3568">
        <f t="shared" si="4"/>
        <v>0</v>
      </c>
      <c r="R32" s="3230"/>
      <c r="U32" s="1342">
        <f t="shared" si="3"/>
        <v>0</v>
      </c>
      <c r="W32" s="1342" t="s">
        <v>3497</v>
      </c>
      <c r="X32" s="3724" t="s">
        <v>3501</v>
      </c>
    </row>
    <row r="33" spans="1:30" ht="19.5" hidden="1" customHeight="1" x14ac:dyDescent="0.25">
      <c r="A33" s="4218"/>
      <c r="B33" s="4323"/>
      <c r="C33" s="2763">
        <v>106104084</v>
      </c>
      <c r="D33" s="2748" t="s">
        <v>1354</v>
      </c>
      <c r="E33" s="2831" t="s">
        <v>1355</v>
      </c>
      <c r="F33" s="2729">
        <v>1</v>
      </c>
      <c r="G33" s="2728"/>
      <c r="H33" s="2731"/>
      <c r="I33" s="2452"/>
      <c r="J33" s="3347">
        <f>'Lista global'!I13</f>
        <v>48.833333333333336</v>
      </c>
      <c r="K33" s="3347"/>
      <c r="L33" s="3347"/>
      <c r="M33" s="2731" t="s">
        <v>0</v>
      </c>
      <c r="N33" s="3124">
        <f t="shared" si="2"/>
        <v>4</v>
      </c>
      <c r="O33" s="2728">
        <v>0</v>
      </c>
      <c r="P33" s="3135">
        <f t="shared" si="5"/>
        <v>0</v>
      </c>
      <c r="Q33" s="3568">
        <f t="shared" si="4"/>
        <v>0</v>
      </c>
      <c r="R33" s="3230"/>
      <c r="U33" s="1342">
        <f t="shared" si="3"/>
        <v>0</v>
      </c>
      <c r="W33" s="1342" t="s">
        <v>3497</v>
      </c>
      <c r="X33" s="3724" t="s">
        <v>3607</v>
      </c>
    </row>
    <row r="34" spans="1:30" ht="19.5" hidden="1" customHeight="1" x14ac:dyDescent="0.25">
      <c r="A34" s="4218"/>
      <c r="B34" s="4323"/>
      <c r="C34" s="2763">
        <v>106104094</v>
      </c>
      <c r="D34" s="2748" t="s">
        <v>1575</v>
      </c>
      <c r="E34" s="2831" t="s">
        <v>1576</v>
      </c>
      <c r="F34" s="2729">
        <v>1</v>
      </c>
      <c r="G34" s="2728"/>
      <c r="H34" s="2731"/>
      <c r="I34" s="2452"/>
      <c r="J34" s="3347">
        <f>'Lista global'!I18</f>
        <v>2.3666666666666667</v>
      </c>
      <c r="K34" s="3347"/>
      <c r="L34" s="3347"/>
      <c r="M34" s="2731" t="s">
        <v>0</v>
      </c>
      <c r="N34" s="3124">
        <f t="shared" si="2"/>
        <v>4</v>
      </c>
      <c r="O34" s="2728">
        <v>0</v>
      </c>
      <c r="P34" s="3135">
        <f t="shared" si="5"/>
        <v>0</v>
      </c>
      <c r="Q34" s="3568">
        <f t="shared" si="4"/>
        <v>0</v>
      </c>
      <c r="R34" s="3230"/>
      <c r="U34" s="1342">
        <f t="shared" si="3"/>
        <v>0</v>
      </c>
      <c r="W34" s="1342" t="s">
        <v>3497</v>
      </c>
      <c r="X34" s="3724" t="s">
        <v>3608</v>
      </c>
    </row>
    <row r="35" spans="1:30" ht="19.5" hidden="1" customHeight="1" x14ac:dyDescent="0.25">
      <c r="A35" s="4218"/>
      <c r="B35" s="4323"/>
      <c r="C35" s="2763">
        <v>106104126</v>
      </c>
      <c r="D35" s="2748" t="s">
        <v>1505</v>
      </c>
      <c r="E35" s="2831" t="s">
        <v>1506</v>
      </c>
      <c r="F35" s="2729">
        <v>1</v>
      </c>
      <c r="G35" s="2730"/>
      <c r="H35" s="2731"/>
      <c r="I35" s="2452"/>
      <c r="J35" s="3347">
        <f>'Lista global'!I27</f>
        <v>19.033333333333331</v>
      </c>
      <c r="K35" s="3347"/>
      <c r="L35" s="3347"/>
      <c r="M35" s="2731" t="s">
        <v>0</v>
      </c>
      <c r="N35" s="3124">
        <f t="shared" si="2"/>
        <v>4</v>
      </c>
      <c r="O35" s="2728">
        <v>0</v>
      </c>
      <c r="P35" s="3135">
        <f t="shared" si="5"/>
        <v>0</v>
      </c>
      <c r="Q35" s="3568">
        <f t="shared" si="4"/>
        <v>0</v>
      </c>
      <c r="R35" s="3230"/>
      <c r="U35" s="1342">
        <f t="shared" si="3"/>
        <v>0</v>
      </c>
      <c r="W35" s="1342" t="s">
        <v>3601</v>
      </c>
      <c r="X35" s="3724" t="s">
        <v>3609</v>
      </c>
    </row>
    <row r="36" spans="1:30" ht="19.5" hidden="1" customHeight="1" thickBot="1" x14ac:dyDescent="0.3">
      <c r="A36" s="4218"/>
      <c r="B36" s="4324"/>
      <c r="C36" s="2484">
        <v>106114314</v>
      </c>
      <c r="D36" s="3071" t="s">
        <v>1356</v>
      </c>
      <c r="E36" s="3752" t="s">
        <v>1252</v>
      </c>
      <c r="F36" s="2394">
        <v>6</v>
      </c>
      <c r="G36" s="2482"/>
      <c r="H36" s="2453"/>
      <c r="I36" s="2595"/>
      <c r="J36" s="3347">
        <f>'Lista global'!I142</f>
        <v>3.6777777777777776</v>
      </c>
      <c r="K36" s="3347"/>
      <c r="L36" s="3347"/>
      <c r="M36" s="2453" t="s">
        <v>0</v>
      </c>
      <c r="N36" s="3124">
        <f t="shared" si="2"/>
        <v>24</v>
      </c>
      <c r="O36" s="2106">
        <v>0</v>
      </c>
      <c r="P36" s="3136">
        <f t="shared" si="5"/>
        <v>0</v>
      </c>
      <c r="Q36" s="3568">
        <f t="shared" si="4"/>
        <v>0</v>
      </c>
      <c r="R36" s="3230"/>
      <c r="U36" s="1342">
        <f t="shared" si="3"/>
        <v>0</v>
      </c>
      <c r="W36" s="1342" t="s">
        <v>3601</v>
      </c>
      <c r="X36" s="3724" t="s">
        <v>3610</v>
      </c>
    </row>
    <row r="37" spans="1:30" ht="19.5" customHeight="1" thickBot="1" x14ac:dyDescent="0.3">
      <c r="A37" s="4218"/>
      <c r="B37" s="3064" t="s">
        <v>2486</v>
      </c>
      <c r="C37" s="2746">
        <v>106125296</v>
      </c>
      <c r="D37" s="2744" t="s">
        <v>2587</v>
      </c>
      <c r="E37" s="2745" t="s">
        <v>2587</v>
      </c>
      <c r="F37" s="2829">
        <v>1</v>
      </c>
      <c r="G37" s="2842"/>
      <c r="H37" s="2980">
        <v>8</v>
      </c>
      <c r="I37" s="2395"/>
      <c r="J37" s="3347">
        <f>'Lista global'!I316</f>
        <v>473.42222222222222</v>
      </c>
      <c r="K37" s="3347">
        <f>'Lista global'!P316</f>
        <v>881.25</v>
      </c>
      <c r="L37" s="3347">
        <f>'Lista global'!Q316</f>
        <v>742.1052631578948</v>
      </c>
      <c r="M37" s="2381">
        <f>IF($M$2=$S$5,1,0)</f>
        <v>0</v>
      </c>
      <c r="N37" s="3124">
        <f>M37*($N$2*F37+G37)</f>
        <v>0</v>
      </c>
      <c r="O37" s="3115">
        <f>IF(ROUNDDOWN(($O$2*N37/4)/20,0)&lt;M37,M37,ROUNDDOWN(($O$2*N37/4)/20,0))</f>
        <v>0</v>
      </c>
      <c r="P37" s="3125">
        <f t="shared" si="5"/>
        <v>0</v>
      </c>
      <c r="Q37" s="3568">
        <f t="shared" si="4"/>
        <v>0</v>
      </c>
      <c r="R37" s="3230" t="s">
        <v>2309</v>
      </c>
      <c r="U37" s="1342">
        <f t="shared" si="3"/>
        <v>0</v>
      </c>
      <c r="W37" s="1342" t="s">
        <v>3611</v>
      </c>
      <c r="X37" s="3726" t="s">
        <v>3613</v>
      </c>
      <c r="Y37" s="1342" t="s">
        <v>3611</v>
      </c>
      <c r="Z37" s="3724" t="s">
        <v>3612</v>
      </c>
    </row>
    <row r="38" spans="1:30" s="1574" customFormat="1" ht="19.5" customHeight="1" x14ac:dyDescent="0.25">
      <c r="A38" s="4218"/>
      <c r="B38" s="3065" t="s">
        <v>3162</v>
      </c>
      <c r="C38" s="2722">
        <v>106205276</v>
      </c>
      <c r="D38" s="2467" t="s">
        <v>2811</v>
      </c>
      <c r="E38" s="2108" t="s">
        <v>2812</v>
      </c>
      <c r="F38" s="2706"/>
      <c r="G38" s="2485">
        <v>1</v>
      </c>
      <c r="H38" s="2473" t="s">
        <v>3163</v>
      </c>
      <c r="I38" s="2474"/>
      <c r="J38" s="3347">
        <f>'Lista global'!I277</f>
        <v>31.088888888888889</v>
      </c>
      <c r="K38" s="3347">
        <f>'Lista global'!P277</f>
        <v>38.862499999999997</v>
      </c>
      <c r="L38" s="3347">
        <f>'Lista global'!Q277</f>
        <v>32.726315789473688</v>
      </c>
      <c r="M38" s="2473">
        <v>1</v>
      </c>
      <c r="N38" s="3124">
        <f>IF($M$2=$S$5,$N$2*F38+G38,$N$2*F38+G38+1)</f>
        <v>2</v>
      </c>
      <c r="O38" s="3243">
        <f>IF(ROUND(N38*$O$2/8,0)&lt;M38,M38,ROUND(N38*$O$2/8,0))</f>
        <v>1</v>
      </c>
      <c r="P38" s="3244">
        <f t="shared" si="5"/>
        <v>38.862499999999997</v>
      </c>
      <c r="Q38" s="3568">
        <f t="shared" si="4"/>
        <v>32.726315789473688</v>
      </c>
      <c r="R38" s="3230" t="s">
        <v>2309</v>
      </c>
      <c r="T38" s="1342"/>
      <c r="U38" s="1342">
        <f t="shared" si="3"/>
        <v>31.088888888888889</v>
      </c>
      <c r="W38" s="1342" t="s">
        <v>3497</v>
      </c>
      <c r="X38" s="3724" t="s">
        <v>3498</v>
      </c>
      <c r="Y38" s="1342"/>
      <c r="Z38" s="3724"/>
      <c r="AA38" s="1342"/>
      <c r="AB38" s="1342"/>
      <c r="AC38" s="1342"/>
      <c r="AD38" s="1342"/>
    </row>
    <row r="39" spans="1:30" ht="19.5" customHeight="1" x14ac:dyDescent="0.25">
      <c r="A39" s="4218"/>
      <c r="B39" s="3066" t="s">
        <v>328</v>
      </c>
      <c r="C39" s="2747">
        <v>106119611</v>
      </c>
      <c r="D39" s="2748" t="s">
        <v>2547</v>
      </c>
      <c r="E39" s="2749" t="s">
        <v>2548</v>
      </c>
      <c r="F39" s="2845">
        <v>1</v>
      </c>
      <c r="G39" s="2846"/>
      <c r="H39" s="2731" t="s">
        <v>1471</v>
      </c>
      <c r="I39" s="2452"/>
      <c r="J39" s="3347">
        <f>'Lista global'!I272</f>
        <v>97.066666666666663</v>
      </c>
      <c r="K39" s="3347">
        <f>'Lista global'!P272</f>
        <v>121.33749999999999</v>
      </c>
      <c r="L39" s="3347">
        <f>'Lista global'!Q272</f>
        <v>102.17894736842105</v>
      </c>
      <c r="M39" s="2731">
        <v>1</v>
      </c>
      <c r="N39" s="3124">
        <f t="shared" si="2"/>
        <v>4</v>
      </c>
      <c r="O39" s="3121">
        <f>IF(ROUND(N39*$O$2/8,0)&lt;M39,M39,ROUND(N39*$O$2/8,0))</f>
        <v>2</v>
      </c>
      <c r="P39" s="3131">
        <f t="shared" si="5"/>
        <v>242.67499999999998</v>
      </c>
      <c r="Q39" s="3568">
        <f t="shared" si="4"/>
        <v>204.3578947368421</v>
      </c>
      <c r="R39" s="3230" t="s">
        <v>2309</v>
      </c>
      <c r="T39" s="1574"/>
      <c r="U39" s="1342">
        <f t="shared" si="3"/>
        <v>194.13333333333333</v>
      </c>
      <c r="W39" s="1342" t="s">
        <v>3493</v>
      </c>
      <c r="X39" s="3724">
        <v>566858</v>
      </c>
      <c r="Y39" s="1342" t="s">
        <v>3494</v>
      </c>
      <c r="Z39" s="3724" t="s">
        <v>3495</v>
      </c>
    </row>
    <row r="40" spans="1:30" ht="19.5" customHeight="1" thickBot="1" x14ac:dyDescent="0.3">
      <c r="A40" s="4218"/>
      <c r="B40" s="3067" t="s">
        <v>285</v>
      </c>
      <c r="C40" s="2758">
        <v>106202883</v>
      </c>
      <c r="D40" s="2402" t="s">
        <v>1303</v>
      </c>
      <c r="E40" s="2403" t="s">
        <v>1304</v>
      </c>
      <c r="F40" s="2481">
        <v>1</v>
      </c>
      <c r="G40" s="2481"/>
      <c r="H40" s="2404" t="s">
        <v>1471</v>
      </c>
      <c r="I40" s="2479"/>
      <c r="J40" s="3347">
        <f>'Lista global'!I217</f>
        <v>21.977777777777778</v>
      </c>
      <c r="K40" s="3347">
        <f>'Lista global'!P217</f>
        <v>27.474999999999998</v>
      </c>
      <c r="L40" s="3347">
        <f>'Lista global'!Q217</f>
        <v>23.13684210526316</v>
      </c>
      <c r="M40" s="2453">
        <v>1</v>
      </c>
      <c r="N40" s="3124">
        <f t="shared" si="2"/>
        <v>4</v>
      </c>
      <c r="O40" s="3118">
        <f>IF(ROUND(N40*$O$2/8,0)&lt;M40,M40,ROUND(N40*$O$2/8,0))</f>
        <v>2</v>
      </c>
      <c r="P40" s="3128">
        <f t="shared" si="5"/>
        <v>54.949999999999996</v>
      </c>
      <c r="Q40" s="3568">
        <f t="shared" si="4"/>
        <v>46.273684210526319</v>
      </c>
      <c r="R40" s="3230"/>
      <c r="U40" s="1342">
        <f t="shared" si="3"/>
        <v>43.955555555555556</v>
      </c>
      <c r="W40" s="1342" t="s">
        <v>3493</v>
      </c>
      <c r="X40" s="3724">
        <v>101234</v>
      </c>
      <c r="Y40" s="1342" t="s">
        <v>3497</v>
      </c>
      <c r="Z40" s="3724" t="s">
        <v>3500</v>
      </c>
    </row>
    <row r="41" spans="1:30" s="1360" customFormat="1" ht="19.5" customHeight="1" x14ac:dyDescent="0.25">
      <c r="A41" s="4218"/>
      <c r="B41" s="4232" t="s">
        <v>3030</v>
      </c>
      <c r="C41" s="2718">
        <v>106206611</v>
      </c>
      <c r="D41" s="1411" t="s">
        <v>3031</v>
      </c>
      <c r="E41" s="1441" t="s">
        <v>3032</v>
      </c>
      <c r="F41" s="2605">
        <v>3</v>
      </c>
      <c r="G41" s="2447"/>
      <c r="H41" s="2605"/>
      <c r="I41" s="2719"/>
      <c r="J41" s="3347">
        <f>'Lista global'!I305</f>
        <v>47.022222222222219</v>
      </c>
      <c r="K41" s="3347">
        <f>'Lista global'!P305</f>
        <v>117.55</v>
      </c>
      <c r="L41" s="3347">
        <f>'Lista global'!Q305</f>
        <v>78.366666666666674</v>
      </c>
      <c r="M41" s="2473">
        <v>1</v>
      </c>
      <c r="N41" s="3124">
        <f t="shared" si="2"/>
        <v>12</v>
      </c>
      <c r="O41" s="3243">
        <f>IF(ROUNDUP((N41*$O$2/4)/10,0)&lt;M41,M41,ROUNDUP((N41*$O$2/4)/10,0))</f>
        <v>2</v>
      </c>
      <c r="P41" s="3244">
        <f t="shared" si="5"/>
        <v>235.1</v>
      </c>
      <c r="Q41" s="3568">
        <f t="shared" si="4"/>
        <v>156.73333333333335</v>
      </c>
      <c r="R41" s="3230" t="s">
        <v>2309</v>
      </c>
      <c r="T41" s="1342"/>
      <c r="U41" s="1342">
        <f t="shared" si="3"/>
        <v>94.044444444444437</v>
      </c>
      <c r="W41" s="1342" t="s">
        <v>3502</v>
      </c>
      <c r="X41" s="3724"/>
      <c r="Y41" s="1342"/>
      <c r="Z41" s="3724"/>
      <c r="AA41" s="1342"/>
      <c r="AB41" s="1342"/>
      <c r="AC41" s="1342"/>
      <c r="AD41" s="1342"/>
    </row>
    <row r="42" spans="1:30" s="1351" customFormat="1" ht="19.5" customHeight="1" thickBot="1" x14ac:dyDescent="0.3">
      <c r="A42" s="4218"/>
      <c r="B42" s="4234"/>
      <c r="C42" s="3557">
        <v>106204234</v>
      </c>
      <c r="D42" s="2402" t="s">
        <v>1608</v>
      </c>
      <c r="E42" s="3106" t="s">
        <v>1609</v>
      </c>
      <c r="F42" s="2481">
        <v>3</v>
      </c>
      <c r="G42" s="3166"/>
      <c r="H42" s="2726" t="s">
        <v>649</v>
      </c>
      <c r="I42" s="3167"/>
      <c r="J42" s="3347">
        <f>'Lista global'!I231</f>
        <v>13.311111111111112</v>
      </c>
      <c r="K42" s="3347">
        <f>'Lista global'!P231</f>
        <v>18.462499999999999</v>
      </c>
      <c r="L42" s="3347">
        <f>'Lista global'!Q231</f>
        <v>15.547368421052632</v>
      </c>
      <c r="M42" s="2453">
        <v>1</v>
      </c>
      <c r="N42" s="3124">
        <f t="shared" si="2"/>
        <v>12</v>
      </c>
      <c r="O42" s="3118">
        <f>$O$41</f>
        <v>2</v>
      </c>
      <c r="P42" s="3128">
        <f t="shared" si="5"/>
        <v>36.924999999999997</v>
      </c>
      <c r="Q42" s="3568">
        <f t="shared" si="4"/>
        <v>31.094736842105263</v>
      </c>
      <c r="R42" s="3230"/>
      <c r="T42" s="1360"/>
      <c r="U42" s="1342">
        <f t="shared" si="3"/>
        <v>26.622222222222224</v>
      </c>
      <c r="W42" s="1342" t="s">
        <v>3503</v>
      </c>
      <c r="X42" s="3724" t="s">
        <v>3504</v>
      </c>
      <c r="Y42" s="1342" t="s">
        <v>3505</v>
      </c>
      <c r="Z42" s="3724" t="s">
        <v>3506</v>
      </c>
      <c r="AA42" s="1342" t="s">
        <v>3503</v>
      </c>
      <c r="AB42" s="1342" t="s">
        <v>3507</v>
      </c>
      <c r="AC42" s="1342" t="s">
        <v>3614</v>
      </c>
      <c r="AD42" s="1342" t="s">
        <v>3615</v>
      </c>
    </row>
    <row r="43" spans="1:30" ht="19.5" customHeight="1" x14ac:dyDescent="0.25">
      <c r="A43" s="4218"/>
      <c r="B43" s="1439" t="s">
        <v>2771</v>
      </c>
      <c r="C43" s="2718">
        <v>106206389</v>
      </c>
      <c r="D43" s="2448" t="s">
        <v>2588</v>
      </c>
      <c r="E43" s="1441" t="s">
        <v>2589</v>
      </c>
      <c r="F43" s="2449">
        <v>1</v>
      </c>
      <c r="G43" s="3171"/>
      <c r="H43" s="2396"/>
      <c r="I43" s="2398"/>
      <c r="J43" s="3347">
        <f>'Lista global'!I306</f>
        <v>19.688888888888886</v>
      </c>
      <c r="K43" s="3347">
        <f>'Lista global'!P306</f>
        <v>49.225000000000001</v>
      </c>
      <c r="L43" s="3347">
        <f>'Lista global'!Q306</f>
        <v>32.81666666666667</v>
      </c>
      <c r="M43" s="2473">
        <v>1</v>
      </c>
      <c r="N43" s="3124">
        <f t="shared" si="2"/>
        <v>4</v>
      </c>
      <c r="O43" s="3243">
        <f>IF(ROUND(($O$2*N43/4)/2,0)&lt;M43,M43,ROUND(($O$2*N43/4)/2,0))</f>
        <v>2</v>
      </c>
      <c r="P43" s="3244">
        <f t="shared" si="5"/>
        <v>98.45</v>
      </c>
      <c r="Q43" s="3568">
        <f t="shared" si="4"/>
        <v>65.63333333333334</v>
      </c>
      <c r="R43" s="3230" t="s">
        <v>2309</v>
      </c>
      <c r="T43" s="1351"/>
      <c r="U43" s="1342">
        <f t="shared" si="3"/>
        <v>39.377777777777773</v>
      </c>
      <c r="W43" s="1342" t="s">
        <v>3502</v>
      </c>
    </row>
    <row r="44" spans="1:30" ht="19.5" customHeight="1" thickBot="1" x14ac:dyDescent="0.3">
      <c r="A44" s="4218"/>
      <c r="B44" s="2498" t="s">
        <v>3645</v>
      </c>
      <c r="C44" s="2484">
        <v>106115113</v>
      </c>
      <c r="D44" s="2454" t="s">
        <v>3648</v>
      </c>
      <c r="E44" s="2734" t="s">
        <v>3649</v>
      </c>
      <c r="F44" s="2394">
        <v>1</v>
      </c>
      <c r="G44" s="2482"/>
      <c r="H44" s="2453" t="s">
        <v>649</v>
      </c>
      <c r="I44" s="2595"/>
      <c r="J44" s="3756">
        <f>'Lista global'!I$345</f>
        <v>0.23333333333333331</v>
      </c>
      <c r="K44" s="3347">
        <f>'Lista global'!P$345</f>
        <v>0.28749999999999998</v>
      </c>
      <c r="L44" s="3347">
        <f>'Lista global'!Q$345</f>
        <v>0.24210526315789477</v>
      </c>
      <c r="M44" s="2453">
        <v>1</v>
      </c>
      <c r="N44" s="3124">
        <v>1</v>
      </c>
      <c r="O44" s="3121">
        <f>O43</f>
        <v>2</v>
      </c>
      <c r="P44" s="3131">
        <f>K44*O44</f>
        <v>0.57499999999999996</v>
      </c>
      <c r="Q44" s="3568">
        <f t="shared" si="4"/>
        <v>0.48421052631578954</v>
      </c>
      <c r="R44" s="3230"/>
      <c r="W44" s="1342" t="s">
        <v>3521</v>
      </c>
      <c r="X44" s="1342" t="s">
        <v>3653</v>
      </c>
      <c r="Y44" s="1342" t="s">
        <v>3521</v>
      </c>
      <c r="Z44" s="1342" t="s">
        <v>3654</v>
      </c>
    </row>
    <row r="45" spans="1:30" ht="19.5" customHeight="1" x14ac:dyDescent="0.25">
      <c r="A45" s="4218"/>
      <c r="B45" s="2880" t="s">
        <v>1507</v>
      </c>
      <c r="C45" s="3558">
        <v>106203799</v>
      </c>
      <c r="D45" s="2724" t="s">
        <v>2957</v>
      </c>
      <c r="E45" s="2749" t="s">
        <v>2958</v>
      </c>
      <c r="F45" s="2729">
        <v>1</v>
      </c>
      <c r="G45" s="3110"/>
      <c r="H45" s="2730">
        <v>12</v>
      </c>
      <c r="I45" s="2452"/>
      <c r="J45" s="3347">
        <f>'Lista global'!I228</f>
        <v>20.033333333333335</v>
      </c>
      <c r="K45" s="3347">
        <f>'Lista global'!P228</f>
        <v>50.075000000000003</v>
      </c>
      <c r="L45" s="3347">
        <f>'Lista global'!Q228</f>
        <v>33.38333333333334</v>
      </c>
      <c r="M45" s="2731">
        <v>1</v>
      </c>
      <c r="N45" s="3124">
        <f>IF($M$2=$S$5,$N$2*F45+G45,1)</f>
        <v>1</v>
      </c>
      <c r="O45" s="3121">
        <f>IF(ROUND(($O$2*N45/4)/2,0)&lt;M45,M45,ROUND(($O$2*N45/4)/2,0))</f>
        <v>1</v>
      </c>
      <c r="P45" s="3131">
        <f t="shared" si="5"/>
        <v>50.075000000000003</v>
      </c>
      <c r="Q45" s="3568">
        <f t="shared" si="4"/>
        <v>33.38333333333334</v>
      </c>
      <c r="R45" s="3230"/>
      <c r="U45" s="1342">
        <f t="shared" si="3"/>
        <v>20.033333333333335</v>
      </c>
      <c r="W45" s="1342" t="s">
        <v>3502</v>
      </c>
    </row>
    <row r="46" spans="1:30" ht="19.5" customHeight="1" x14ac:dyDescent="0.25">
      <c r="A46" s="4218"/>
      <c r="B46" s="2880" t="s">
        <v>3207</v>
      </c>
      <c r="C46" s="3558">
        <v>106126857</v>
      </c>
      <c r="D46" s="2724" t="s">
        <v>1896</v>
      </c>
      <c r="E46" s="2749" t="s">
        <v>1511</v>
      </c>
      <c r="F46" s="2729">
        <v>2</v>
      </c>
      <c r="G46" s="3110"/>
      <c r="H46" s="2730" t="s">
        <v>3206</v>
      </c>
      <c r="I46" s="2452"/>
      <c r="J46" s="3347">
        <f>'Lista global'!I363</f>
        <v>5.56</v>
      </c>
      <c r="K46" s="3347">
        <f>'Lista global'!P363</f>
        <v>6.9499999999999993</v>
      </c>
      <c r="L46" s="3347">
        <f>'Lista global'!Q363</f>
        <v>5.852631578947368</v>
      </c>
      <c r="M46" s="2731">
        <v>2</v>
      </c>
      <c r="N46" s="3124">
        <f>IF($M$2=$S$5,$N$2*F46+G46,2)</f>
        <v>2</v>
      </c>
      <c r="O46" s="3253">
        <f>N46*($O$57+$O$58+$O$59+$O$60+$O$61+$O$62+$O$63+$O$64+$O$65+$O$66+$O$67+$O$68+$O$69+$O$70)</f>
        <v>2</v>
      </c>
      <c r="P46" s="3131">
        <f t="shared" si="5"/>
        <v>13.899999999999999</v>
      </c>
      <c r="Q46" s="3568">
        <f t="shared" si="4"/>
        <v>11.705263157894736</v>
      </c>
      <c r="R46" s="3230"/>
      <c r="U46" s="1342">
        <f t="shared" si="3"/>
        <v>11.12</v>
      </c>
      <c r="W46" s="1342" t="s">
        <v>3511</v>
      </c>
      <c r="X46" s="3724" t="s">
        <v>3523</v>
      </c>
      <c r="Y46" s="1342" t="s">
        <v>3508</v>
      </c>
      <c r="Z46" s="3724">
        <v>491630</v>
      </c>
      <c r="AA46" s="1342" t="s">
        <v>3524</v>
      </c>
      <c r="AB46" s="1342" t="s">
        <v>3525</v>
      </c>
    </row>
    <row r="47" spans="1:30" ht="19.5" customHeight="1" x14ac:dyDescent="0.25">
      <c r="A47" s="4218"/>
      <c r="B47" s="2880" t="s">
        <v>3208</v>
      </c>
      <c r="C47" s="3558">
        <v>106105886</v>
      </c>
      <c r="D47" s="2724" t="s">
        <v>1502</v>
      </c>
      <c r="E47" s="2749" t="s">
        <v>1233</v>
      </c>
      <c r="F47" s="2729">
        <v>2</v>
      </c>
      <c r="G47" s="3110"/>
      <c r="H47" s="2730" t="s">
        <v>3206</v>
      </c>
      <c r="I47" s="2452"/>
      <c r="J47" s="3347">
        <f>'Lista global'!I72</f>
        <v>3.333333333333333</v>
      </c>
      <c r="K47" s="3347">
        <f>'Lista global'!P72</f>
        <v>4.1624999999999996</v>
      </c>
      <c r="L47" s="3347">
        <f>'Lista global'!Q72</f>
        <v>3.5052631578947371</v>
      </c>
      <c r="M47" s="2731">
        <v>1</v>
      </c>
      <c r="N47" s="3124">
        <f>IF($M$2=$S$5,$N$2*F47+G47,2)</f>
        <v>2</v>
      </c>
      <c r="O47" s="3253">
        <f>IF(ROUNDDOWN(N47*$O$2/20,0)&lt;M47,M47,ROUNDDOWN(N47*$O$2/20,0))</f>
        <v>1</v>
      </c>
      <c r="P47" s="3131">
        <f t="shared" si="5"/>
        <v>4.1624999999999996</v>
      </c>
      <c r="Q47" s="3568">
        <f t="shared" si="4"/>
        <v>3.5052631578947371</v>
      </c>
      <c r="R47" s="3230"/>
      <c r="U47" s="1342">
        <f t="shared" si="3"/>
        <v>3.333333333333333</v>
      </c>
      <c r="W47" s="1342" t="s">
        <v>3616</v>
      </c>
      <c r="X47" s="3724" t="s">
        <v>3617</v>
      </c>
      <c r="Y47" s="1342" t="s">
        <v>3510</v>
      </c>
      <c r="Z47" s="3724">
        <v>31971</v>
      </c>
      <c r="AA47" s="1342" t="s">
        <v>3602</v>
      </c>
      <c r="AB47" s="1342">
        <v>481033</v>
      </c>
      <c r="AC47" s="1342" t="s">
        <v>3511</v>
      </c>
      <c r="AD47" s="1342" t="s">
        <v>3618</v>
      </c>
    </row>
    <row r="48" spans="1:30" ht="19.5" customHeight="1" x14ac:dyDescent="0.25">
      <c r="A48" s="4218"/>
      <c r="B48" s="2880" t="s">
        <v>2489</v>
      </c>
      <c r="C48" s="3558">
        <v>106126866</v>
      </c>
      <c r="D48" s="2724" t="s">
        <v>3855</v>
      </c>
      <c r="E48" s="2749" t="s">
        <v>3856</v>
      </c>
      <c r="F48" s="2729">
        <v>3</v>
      </c>
      <c r="G48" s="3110"/>
      <c r="H48" s="2730" t="s">
        <v>649</v>
      </c>
      <c r="I48" s="2452"/>
      <c r="J48" s="3347">
        <f>'Lista global'!I359</f>
        <v>14.72</v>
      </c>
      <c r="K48" s="3347">
        <f>'Lista global'!P359</f>
        <v>18.399999999999999</v>
      </c>
      <c r="L48" s="3347">
        <f>'Lista global'!Q359</f>
        <v>15.494736842105265</v>
      </c>
      <c r="M48" s="2731">
        <v>3</v>
      </c>
      <c r="N48" s="3124">
        <f t="shared" si="2"/>
        <v>12</v>
      </c>
      <c r="O48" s="3121">
        <f>F48*($O$57+$O$58+$O$59+$O$60+$O$61+$O$62+$O$63+$O$64+$O$65+$O$66+$O$67+$O$68+$O$69+$O$70)</f>
        <v>3</v>
      </c>
      <c r="P48" s="3131">
        <f t="shared" si="5"/>
        <v>55.199999999999996</v>
      </c>
      <c r="Q48" s="3568">
        <f t="shared" si="4"/>
        <v>46.484210526315792</v>
      </c>
      <c r="R48" s="3230" t="s">
        <v>2309</v>
      </c>
      <c r="U48" s="1342">
        <f t="shared" si="3"/>
        <v>44.160000000000004</v>
      </c>
      <c r="W48" s="1342" t="s">
        <v>3602</v>
      </c>
      <c r="X48" s="3724">
        <v>381380</v>
      </c>
      <c r="Y48" s="1342" t="s">
        <v>3603</v>
      </c>
      <c r="Z48" s="3724" t="s">
        <v>3619</v>
      </c>
      <c r="AA48" s="1342" t="s">
        <v>3524</v>
      </c>
      <c r="AB48" s="1342" t="s">
        <v>3620</v>
      </c>
    </row>
    <row r="49" spans="1:30" ht="19.5" customHeight="1" x14ac:dyDescent="0.25">
      <c r="A49" s="4218"/>
      <c r="B49" s="2880" t="s">
        <v>2490</v>
      </c>
      <c r="C49" s="3558">
        <v>106119669</v>
      </c>
      <c r="D49" s="2724" t="s">
        <v>2594</v>
      </c>
      <c r="E49" s="2749" t="s">
        <v>2595</v>
      </c>
      <c r="F49" s="2729">
        <v>3</v>
      </c>
      <c r="G49" s="3110"/>
      <c r="H49" s="2730" t="s">
        <v>649</v>
      </c>
      <c r="I49" s="2452"/>
      <c r="J49" s="3347">
        <f>'Lista global'!I275</f>
        <v>13.366666666666665</v>
      </c>
      <c r="K49" s="3347">
        <f>'Lista global'!P275</f>
        <v>16.712499999999999</v>
      </c>
      <c r="L49" s="3347">
        <f>'Lista global'!Q275</f>
        <v>14.073684210526316</v>
      </c>
      <c r="M49" s="2731">
        <v>1</v>
      </c>
      <c r="N49" s="3124">
        <f t="shared" si="2"/>
        <v>12</v>
      </c>
      <c r="O49" s="3121">
        <f>IF(ROUNDDOWN($O$2/10,0)&lt;M49,M49,ROUNDDOWN($O$2/10,0))</f>
        <v>1</v>
      </c>
      <c r="P49" s="3131">
        <f t="shared" si="5"/>
        <v>16.712499999999999</v>
      </c>
      <c r="Q49" s="3568">
        <f t="shared" si="4"/>
        <v>14.073684210526316</v>
      </c>
      <c r="R49" s="3230" t="s">
        <v>2309</v>
      </c>
      <c r="U49" s="1342">
        <f t="shared" si="3"/>
        <v>13.366666666666665</v>
      </c>
      <c r="W49" s="1342" t="s">
        <v>3621</v>
      </c>
      <c r="X49" s="3724" t="s">
        <v>3622</v>
      </c>
      <c r="Y49" s="1342" t="s">
        <v>3623</v>
      </c>
      <c r="Z49" s="3724" t="s">
        <v>3624</v>
      </c>
    </row>
    <row r="50" spans="1:30" s="1351" customFormat="1" ht="19.5" customHeight="1" thickBot="1" x14ac:dyDescent="0.3">
      <c r="A50" s="4218"/>
      <c r="B50" s="3758" t="s">
        <v>2823</v>
      </c>
      <c r="C50" s="2484">
        <v>106122954</v>
      </c>
      <c r="D50" s="2112" t="s">
        <v>2773</v>
      </c>
      <c r="E50" s="2615" t="s">
        <v>2774</v>
      </c>
      <c r="F50" s="2489">
        <v>3</v>
      </c>
      <c r="G50" s="2484"/>
      <c r="H50" s="2484"/>
      <c r="I50" s="3761"/>
      <c r="J50" s="3347">
        <f>'Lista global'!I286</f>
        <v>6.6555555555555559</v>
      </c>
      <c r="K50" s="3347">
        <f>'Lista global'!P286</f>
        <v>8.3249999999999993</v>
      </c>
      <c r="L50" s="3347">
        <f>'Lista global'!Q286</f>
        <v>7.0105263157894742</v>
      </c>
      <c r="M50" s="2731">
        <v>3</v>
      </c>
      <c r="N50" s="3124">
        <f>$N$2*F50+G50</f>
        <v>12</v>
      </c>
      <c r="O50" s="3121">
        <f>F50*($O$57+$O$58+$O$59+$O$60+$O$61+$O$62+$O$63+$O$64+$O$65+$O$66+$O$67+$O$68+$O$69+$O$70)</f>
        <v>3</v>
      </c>
      <c r="P50" s="3131">
        <f t="shared" si="5"/>
        <v>24.974999999999998</v>
      </c>
      <c r="Q50" s="3568">
        <f t="shared" si="4"/>
        <v>21.031578947368423</v>
      </c>
      <c r="R50" s="3230" t="s">
        <v>2309</v>
      </c>
      <c r="T50" s="1342"/>
      <c r="U50" s="1342">
        <f t="shared" si="3"/>
        <v>19.966666666666669</v>
      </c>
      <c r="W50" s="1342" t="s">
        <v>3625</v>
      </c>
      <c r="X50" s="3724" t="s">
        <v>3626</v>
      </c>
      <c r="Y50" s="1342"/>
      <c r="Z50" s="3724"/>
      <c r="AA50" s="1342"/>
      <c r="AB50" s="1342"/>
      <c r="AC50" s="1342"/>
      <c r="AD50" s="1342"/>
    </row>
    <row r="51" spans="1:30" ht="19.5" customHeight="1" x14ac:dyDescent="0.25">
      <c r="A51" s="4217"/>
      <c r="B51" s="2608" t="s">
        <v>2491</v>
      </c>
      <c r="C51" s="2765">
        <v>106111785</v>
      </c>
      <c r="D51" s="3072" t="s">
        <v>2590</v>
      </c>
      <c r="E51" s="2108" t="s">
        <v>2591</v>
      </c>
      <c r="F51" s="2469"/>
      <c r="G51" s="2109">
        <v>1</v>
      </c>
      <c r="H51" s="2473"/>
      <c r="I51" s="2474"/>
      <c r="J51" s="3347">
        <f>'Lista global'!I99</f>
        <v>23.266666666666669</v>
      </c>
      <c r="K51" s="3347">
        <f>'Lista global'!P99</f>
        <v>29.087499999999999</v>
      </c>
      <c r="L51" s="3347">
        <f>'Lista global'!Q99</f>
        <v>24.494736842105265</v>
      </c>
      <c r="M51" s="2731">
        <v>1</v>
      </c>
      <c r="N51" s="3124">
        <f>$N$2*F51+G51</f>
        <v>1</v>
      </c>
      <c r="O51" s="3121">
        <f>IF(ROUNDDOWN(N51*$O$2/10,0)&lt;M51,M51,ROUNDDOWN(N51*$O$2/10,0))</f>
        <v>1</v>
      </c>
      <c r="P51" s="3131">
        <f>K51*O51</f>
        <v>29.087499999999999</v>
      </c>
      <c r="Q51" s="3568">
        <f>L51*O51</f>
        <v>24.494736842105265</v>
      </c>
      <c r="R51" s="3230" t="s">
        <v>2309</v>
      </c>
      <c r="T51" s="1351"/>
      <c r="U51" s="1342">
        <f t="shared" si="3"/>
        <v>23.266666666666669</v>
      </c>
      <c r="W51" s="1342" t="s">
        <v>3627</v>
      </c>
      <c r="X51" s="3724" t="s">
        <v>3628</v>
      </c>
    </row>
    <row r="52" spans="1:30" s="1351" customFormat="1" ht="19.5" customHeight="1" x14ac:dyDescent="0.25">
      <c r="A52" s="4218"/>
      <c r="B52" s="3168" t="s">
        <v>2772</v>
      </c>
      <c r="C52" s="2496">
        <v>106205983</v>
      </c>
      <c r="D52" s="3072" t="s">
        <v>1951</v>
      </c>
      <c r="E52" s="2468" t="s">
        <v>576</v>
      </c>
      <c r="F52" s="2723"/>
      <c r="G52" s="2496">
        <v>1</v>
      </c>
      <c r="H52" s="3169"/>
      <c r="I52" s="3170"/>
      <c r="J52" s="3347">
        <f>'Lista global'!I307</f>
        <v>58.411111111111111</v>
      </c>
      <c r="K52" s="3347">
        <f>'Lista global'!P307</f>
        <v>145.54999999999998</v>
      </c>
      <c r="L52" s="3347">
        <f>'Lista global'!Q307</f>
        <v>97.033333333333331</v>
      </c>
      <c r="M52" s="2473">
        <v>1</v>
      </c>
      <c r="N52" s="3124">
        <f t="shared" si="2"/>
        <v>1</v>
      </c>
      <c r="O52" s="3243">
        <f>IF(ROUNDDOWN(N52*$O$2/10,0)&lt;M52,M52,ROUNDDOWN(N52*$O$2/10,0))</f>
        <v>1</v>
      </c>
      <c r="P52" s="3244">
        <f t="shared" si="5"/>
        <v>145.54999999999998</v>
      </c>
      <c r="Q52" s="3568">
        <f t="shared" si="4"/>
        <v>97.033333333333331</v>
      </c>
      <c r="R52" s="3230" t="s">
        <v>2309</v>
      </c>
      <c r="T52" s="1342"/>
      <c r="U52" s="1342">
        <f t="shared" si="3"/>
        <v>58.411111111111111</v>
      </c>
      <c r="W52" s="1342" t="s">
        <v>3502</v>
      </c>
      <c r="X52" s="3724"/>
      <c r="Y52" s="1342"/>
      <c r="Z52" s="3724"/>
      <c r="AA52" s="1342"/>
      <c r="AB52" s="1342"/>
      <c r="AC52" s="1342"/>
      <c r="AD52" s="1342"/>
    </row>
    <row r="53" spans="1:30" s="1360" customFormat="1" ht="19.5" customHeight="1" x14ac:dyDescent="0.25">
      <c r="A53" s="4218"/>
      <c r="B53" s="2497" t="s">
        <v>204</v>
      </c>
      <c r="C53" s="2450">
        <v>106110898</v>
      </c>
      <c r="D53" s="2110" t="s">
        <v>1836</v>
      </c>
      <c r="E53" s="2101" t="s">
        <v>575</v>
      </c>
      <c r="F53" s="2451">
        <v>1</v>
      </c>
      <c r="G53" s="2476"/>
      <c r="H53" s="2401"/>
      <c r="I53" s="2452"/>
      <c r="J53" s="3347">
        <f>'Lista global'!I93</f>
        <v>13.866666666666667</v>
      </c>
      <c r="K53" s="3347">
        <f>'Lista global'!P93</f>
        <v>23.116666666666667</v>
      </c>
      <c r="L53" s="3347">
        <f>'Lista global'!Q93</f>
        <v>17.337499999999999</v>
      </c>
      <c r="M53" s="2731">
        <v>1</v>
      </c>
      <c r="N53" s="3124">
        <f>N2</f>
        <v>4</v>
      </c>
      <c r="O53" s="3121">
        <f>IF(ROUND(N53*$O$2/16,0)&lt;M53,M53,ROUND(N53*$O$2/16,0))</f>
        <v>1</v>
      </c>
      <c r="P53" s="3131">
        <f t="shared" si="5"/>
        <v>23.116666666666667</v>
      </c>
      <c r="Q53" s="3568">
        <f t="shared" si="4"/>
        <v>17.337499999999999</v>
      </c>
      <c r="R53" s="3230"/>
      <c r="T53" s="1351"/>
      <c r="U53" s="1342">
        <f t="shared" si="3"/>
        <v>13.866666666666667</v>
      </c>
      <c r="W53" s="1342" t="s">
        <v>3502</v>
      </c>
      <c r="X53" s="3724"/>
      <c r="Y53" s="1342"/>
      <c r="Z53" s="3724"/>
      <c r="AA53" s="1342"/>
      <c r="AB53" s="1342"/>
      <c r="AC53" s="1342"/>
      <c r="AD53" s="1342"/>
    </row>
    <row r="54" spans="1:30" s="1360" customFormat="1" ht="19.5" customHeight="1" thickBot="1" x14ac:dyDescent="0.3">
      <c r="A54" s="4219"/>
      <c r="B54" s="2498" t="s">
        <v>1593</v>
      </c>
      <c r="C54" s="2484">
        <v>106101089</v>
      </c>
      <c r="D54" s="2454" t="s">
        <v>1594</v>
      </c>
      <c r="E54" s="2105" t="s">
        <v>1595</v>
      </c>
      <c r="F54" s="2489" t="s">
        <v>0</v>
      </c>
      <c r="G54" s="2484" t="s">
        <v>0</v>
      </c>
      <c r="H54" s="2499">
        <v>5</v>
      </c>
      <c r="I54" s="2490"/>
      <c r="J54" s="3347">
        <f>'Lista global'!I5</f>
        <v>7.3666666666666663</v>
      </c>
      <c r="K54" s="3347">
        <f>'Lista global'!P5</f>
        <v>9.6125000000000007</v>
      </c>
      <c r="L54" s="3347">
        <f>'Lista global'!Q5</f>
        <v>8.0947368421052648</v>
      </c>
      <c r="M54" s="2453">
        <v>1</v>
      </c>
      <c r="N54" s="3124">
        <f>IF($P$2=$S$5,IF(N2=2,1,2),IF(N2=2,2,3))</f>
        <v>3</v>
      </c>
      <c r="O54" s="3118">
        <f>IF(ROUND(N54*$O$2/16,0)&lt;M54,M54,ROUND(N54*$O$2/16,0))</f>
        <v>1</v>
      </c>
      <c r="P54" s="3128">
        <f t="shared" si="5"/>
        <v>9.6125000000000007</v>
      </c>
      <c r="Q54" s="3568">
        <f t="shared" si="4"/>
        <v>8.0947368421052648</v>
      </c>
      <c r="R54" s="3230" t="s">
        <v>2309</v>
      </c>
      <c r="U54" s="1342">
        <f t="shared" si="3"/>
        <v>7.3666666666666663</v>
      </c>
      <c r="W54" s="1342" t="s">
        <v>3629</v>
      </c>
      <c r="X54" s="3724" t="s">
        <v>3630</v>
      </c>
      <c r="Y54" s="1342"/>
      <c r="Z54" s="3724"/>
      <c r="AA54" s="1342"/>
      <c r="AB54" s="1342"/>
      <c r="AC54" s="1342"/>
      <c r="AD54" s="1342"/>
    </row>
    <row r="55" spans="1:30" ht="19.5" customHeight="1" x14ac:dyDescent="0.25">
      <c r="A55" s="4209" t="s">
        <v>2492</v>
      </c>
      <c r="B55" s="3162"/>
      <c r="C55" s="2718">
        <v>106112878</v>
      </c>
      <c r="D55" s="1411" t="s">
        <v>1558</v>
      </c>
      <c r="E55" s="1397" t="s">
        <v>1559</v>
      </c>
      <c r="F55" s="2449">
        <v>5</v>
      </c>
      <c r="G55" s="2447"/>
      <c r="H55" s="2447"/>
      <c r="I55" s="2851"/>
      <c r="J55" s="3347">
        <f>'Lista global'!I120</f>
        <v>1.9444444444444444</v>
      </c>
      <c r="K55" s="3347">
        <f>'Lista global'!P120</f>
        <v>2.4249999999999998</v>
      </c>
      <c r="L55" s="3347">
        <f>'Lista global'!Q120</f>
        <v>2.0421052631578949</v>
      </c>
      <c r="M55" s="2473">
        <v>5</v>
      </c>
      <c r="N55" s="3124">
        <f t="shared" si="2"/>
        <v>20</v>
      </c>
      <c r="O55" s="3243">
        <f>F55*($O$57+$O$58+$O$59+$O$60+$O$61+$O$62+$O$63+$O$64+$O$65+$O$66+$O$67+$O$68+$O$69+$O$70)</f>
        <v>5</v>
      </c>
      <c r="P55" s="3244">
        <f t="shared" si="5"/>
        <v>12.125</v>
      </c>
      <c r="Q55" s="3568">
        <f t="shared" si="4"/>
        <v>10.210526315789474</v>
      </c>
      <c r="R55" s="3230"/>
      <c r="T55" s="1360"/>
      <c r="U55" s="1342">
        <f t="shared" si="3"/>
        <v>9.7222222222222214</v>
      </c>
      <c r="W55" s="1342" t="s">
        <v>3551</v>
      </c>
      <c r="X55" s="3724" t="s">
        <v>3552</v>
      </c>
    </row>
    <row r="56" spans="1:30" ht="19.5" customHeight="1" thickBot="1" x14ac:dyDescent="0.3">
      <c r="A56" s="4210"/>
      <c r="B56" s="2725"/>
      <c r="C56" s="2726">
        <v>106107580</v>
      </c>
      <c r="D56" s="2402" t="s">
        <v>1277</v>
      </c>
      <c r="E56" s="2403" t="s">
        <v>1278</v>
      </c>
      <c r="F56" s="2477">
        <v>3</v>
      </c>
      <c r="G56" s="2726"/>
      <c r="H56" s="2726"/>
      <c r="I56" s="2727"/>
      <c r="J56" s="3347">
        <f>'Lista global'!I78</f>
        <v>0.8666666666666667</v>
      </c>
      <c r="K56" s="3347">
        <f>'Lista global'!P78</f>
        <v>1.0874999999999999</v>
      </c>
      <c r="L56" s="3347">
        <f>'Lista global'!Q78</f>
        <v>0.9157894736842106</v>
      </c>
      <c r="M56" s="2453">
        <v>3</v>
      </c>
      <c r="N56" s="3124">
        <f t="shared" si="2"/>
        <v>12</v>
      </c>
      <c r="O56" s="3118">
        <f>F56*($O$57+$O$58+$O$59+$O$60+$O$61+$O$62+$O$63+$O$64+$O$65+$O$66+$O$67+$O$68+$O$69+$O$70)</f>
        <v>3</v>
      </c>
      <c r="P56" s="3128">
        <f t="shared" si="5"/>
        <v>3.2624999999999997</v>
      </c>
      <c r="Q56" s="3568">
        <f t="shared" si="4"/>
        <v>2.7473684210526317</v>
      </c>
      <c r="R56" s="3230"/>
      <c r="U56" s="1342">
        <f t="shared" si="3"/>
        <v>2.6</v>
      </c>
      <c r="W56" s="1342" t="s">
        <v>3553</v>
      </c>
      <c r="X56" s="3724" t="s">
        <v>3554</v>
      </c>
    </row>
    <row r="57" spans="1:30" ht="19.5" customHeight="1" x14ac:dyDescent="0.25">
      <c r="A57" s="4210"/>
      <c r="B57" s="2720" t="s">
        <v>2493</v>
      </c>
      <c r="C57" s="2447">
        <v>106205966</v>
      </c>
      <c r="D57" s="2448" t="s">
        <v>2775</v>
      </c>
      <c r="E57" s="2732" t="s">
        <v>2785</v>
      </c>
      <c r="F57" s="2449">
        <v>1</v>
      </c>
      <c r="G57" s="2396"/>
      <c r="H57" s="2397" t="s">
        <v>3156</v>
      </c>
      <c r="I57" s="2398"/>
      <c r="J57" s="3347">
        <f>'Lista global'!I295</f>
        <v>2072.2111111111112</v>
      </c>
      <c r="K57" s="3347">
        <f>'Lista global'!P295</f>
        <v>6373.6</v>
      </c>
      <c r="L57" s="3347">
        <f>'Lista global'!Q295</f>
        <v>3649.4500000000003</v>
      </c>
      <c r="M57" s="2473">
        <f t="shared" ref="M57:M63" si="6">IF(AND($L$2=T4,$M$2=$S$5),1,0)</f>
        <v>0</v>
      </c>
      <c r="N57" s="3124">
        <f>$N$2*M57</f>
        <v>0</v>
      </c>
      <c r="O57" s="3243">
        <f>ROUNDUP($N$2*$O$2*3/100,0)*M57</f>
        <v>0</v>
      </c>
      <c r="P57" s="3244">
        <f t="shared" si="5"/>
        <v>0</v>
      </c>
      <c r="Q57" s="3568">
        <f t="shared" si="4"/>
        <v>0</v>
      </c>
      <c r="R57" s="3230" t="s">
        <v>2309</v>
      </c>
      <c r="U57" s="1342">
        <f t="shared" si="3"/>
        <v>0</v>
      </c>
      <c r="W57" s="1342" t="s">
        <v>3502</v>
      </c>
    </row>
    <row r="58" spans="1:30" ht="19.5" customHeight="1" x14ac:dyDescent="0.25">
      <c r="A58" s="4210"/>
      <c r="B58" s="2497" t="s">
        <v>2494</v>
      </c>
      <c r="C58" s="2763">
        <v>106205968</v>
      </c>
      <c r="D58" s="2724" t="s">
        <v>2776</v>
      </c>
      <c r="E58" s="2733" t="s">
        <v>2777</v>
      </c>
      <c r="F58" s="2729">
        <v>1</v>
      </c>
      <c r="G58" s="2730"/>
      <c r="H58" s="2731" t="s">
        <v>3156</v>
      </c>
      <c r="I58" s="2452"/>
      <c r="J58" s="3347">
        <f>'Lista global'!I296</f>
        <v>2072.2111111111112</v>
      </c>
      <c r="K58" s="3347">
        <f>'Lista global'!P296</f>
        <v>7712.0560000000005</v>
      </c>
      <c r="L58" s="3347">
        <f>'Lista global'!Q296</f>
        <v>4415.8344999999999</v>
      </c>
      <c r="M58" s="2473">
        <f t="shared" si="6"/>
        <v>0</v>
      </c>
      <c r="N58" s="3124">
        <f t="shared" ref="N58:N63" si="7">$N$2*M58</f>
        <v>0</v>
      </c>
      <c r="O58" s="3121">
        <f t="shared" ref="O58:O63" si="8">ROUNDUP($N$2*$O$2*3/100,0)*M58</f>
        <v>0</v>
      </c>
      <c r="P58" s="3131">
        <f t="shared" si="5"/>
        <v>0</v>
      </c>
      <c r="Q58" s="3568">
        <f t="shared" si="4"/>
        <v>0</v>
      </c>
      <c r="R58" s="3230" t="s">
        <v>2309</v>
      </c>
      <c r="U58" s="1342">
        <f t="shared" si="3"/>
        <v>0</v>
      </c>
      <c r="W58" s="1342" t="s">
        <v>3502</v>
      </c>
    </row>
    <row r="59" spans="1:30" ht="19.5" customHeight="1" x14ac:dyDescent="0.25">
      <c r="A59" s="4210"/>
      <c r="B59" s="2735" t="s">
        <v>2827</v>
      </c>
      <c r="C59" s="2763">
        <v>106206534</v>
      </c>
      <c r="D59" s="2724" t="s">
        <v>2825</v>
      </c>
      <c r="E59" s="2733" t="s">
        <v>2826</v>
      </c>
      <c r="F59" s="2729">
        <v>1</v>
      </c>
      <c r="G59" s="2730"/>
      <c r="H59" s="2731" t="s">
        <v>3156</v>
      </c>
      <c r="I59" s="2452"/>
      <c r="J59" s="3347">
        <f>'Lista global'!I297</f>
        <v>2070.6222222222223</v>
      </c>
      <c r="K59" s="3347">
        <f>'Lista global'!P297</f>
        <v>8374.0499999999993</v>
      </c>
      <c r="L59" s="3347">
        <f>'Lista global'!Q297</f>
        <v>4794.91</v>
      </c>
      <c r="M59" s="2473">
        <f t="shared" si="6"/>
        <v>0</v>
      </c>
      <c r="N59" s="3124">
        <f t="shared" si="7"/>
        <v>0</v>
      </c>
      <c r="O59" s="3121">
        <f t="shared" si="8"/>
        <v>0</v>
      </c>
      <c r="P59" s="3131">
        <f t="shared" si="5"/>
        <v>0</v>
      </c>
      <c r="Q59" s="3568">
        <f t="shared" si="4"/>
        <v>0</v>
      </c>
      <c r="R59" s="3230" t="s">
        <v>2309</v>
      </c>
      <c r="U59" s="1342">
        <f t="shared" si="3"/>
        <v>0</v>
      </c>
      <c r="W59" s="1342" t="s">
        <v>3502</v>
      </c>
    </row>
    <row r="60" spans="1:30" ht="19.5" customHeight="1" x14ac:dyDescent="0.25">
      <c r="A60" s="4210"/>
      <c r="B60" s="2735" t="s">
        <v>2495</v>
      </c>
      <c r="C60" s="2763">
        <v>106205970</v>
      </c>
      <c r="D60" s="2724" t="s">
        <v>2778</v>
      </c>
      <c r="E60" s="2733" t="s">
        <v>2786</v>
      </c>
      <c r="F60" s="2729">
        <v>1</v>
      </c>
      <c r="G60" s="2730"/>
      <c r="H60" s="2731" t="s">
        <v>3156</v>
      </c>
      <c r="I60" s="2452"/>
      <c r="J60" s="3347">
        <f>'Lista global'!I299</f>
        <v>2072.2111111111112</v>
      </c>
      <c r="K60" s="3347">
        <f>'Lista global'!P299</f>
        <v>8808.8644000000004</v>
      </c>
      <c r="L60" s="3347">
        <f>'Lista global'!Q299</f>
        <v>5043.88</v>
      </c>
      <c r="M60" s="2473">
        <f t="shared" si="6"/>
        <v>0</v>
      </c>
      <c r="N60" s="3124">
        <f t="shared" si="7"/>
        <v>0</v>
      </c>
      <c r="O60" s="3121">
        <f t="shared" si="8"/>
        <v>0</v>
      </c>
      <c r="P60" s="3131">
        <f t="shared" si="5"/>
        <v>0</v>
      </c>
      <c r="Q60" s="3568">
        <f t="shared" si="4"/>
        <v>0</v>
      </c>
      <c r="R60" s="3230" t="s">
        <v>2309</v>
      </c>
      <c r="U60" s="1342">
        <f t="shared" si="3"/>
        <v>0</v>
      </c>
      <c r="W60" s="1342" t="s">
        <v>3502</v>
      </c>
    </row>
    <row r="61" spans="1:30" ht="19.5" customHeight="1" x14ac:dyDescent="0.25">
      <c r="A61" s="4210"/>
      <c r="B61" s="2497" t="s">
        <v>2496</v>
      </c>
      <c r="C61" s="2763">
        <v>106205972</v>
      </c>
      <c r="D61" s="2724" t="s">
        <v>2779</v>
      </c>
      <c r="E61" s="2733" t="s">
        <v>2782</v>
      </c>
      <c r="F61" s="2729">
        <v>1</v>
      </c>
      <c r="G61" s="2730"/>
      <c r="H61" s="2731" t="s">
        <v>3156</v>
      </c>
      <c r="I61" s="2452"/>
      <c r="J61" s="3347">
        <f>'Lista global'!I300</f>
        <v>2072.2111111111112</v>
      </c>
      <c r="K61" s="3347">
        <f>'Lista global'!P300</f>
        <v>9401</v>
      </c>
      <c r="L61" s="3347">
        <f>'Lista global'!Q300</f>
        <v>5358.57</v>
      </c>
      <c r="M61" s="2473">
        <f t="shared" si="6"/>
        <v>0</v>
      </c>
      <c r="N61" s="3124">
        <f t="shared" si="7"/>
        <v>0</v>
      </c>
      <c r="O61" s="3121">
        <f t="shared" si="8"/>
        <v>0</v>
      </c>
      <c r="P61" s="3131">
        <f t="shared" si="5"/>
        <v>0</v>
      </c>
      <c r="Q61" s="3568">
        <f t="shared" si="4"/>
        <v>0</v>
      </c>
      <c r="R61" s="3230" t="s">
        <v>2309</v>
      </c>
      <c r="U61" s="1342">
        <f t="shared" si="3"/>
        <v>0</v>
      </c>
      <c r="W61" s="1342" t="s">
        <v>3502</v>
      </c>
    </row>
    <row r="62" spans="1:30" ht="19.5" customHeight="1" x14ac:dyDescent="0.25">
      <c r="A62" s="4210"/>
      <c r="B62" s="4093" t="s">
        <v>2497</v>
      </c>
      <c r="C62" s="2763">
        <v>106205974</v>
      </c>
      <c r="D62" s="2724" t="s">
        <v>2780</v>
      </c>
      <c r="E62" s="2733" t="s">
        <v>2783</v>
      </c>
      <c r="F62" s="2729">
        <v>1</v>
      </c>
      <c r="G62" s="2730"/>
      <c r="H62" s="2731" t="s">
        <v>3156</v>
      </c>
      <c r="I62" s="2452"/>
      <c r="J62" s="3347">
        <f>'Lista global'!I301</f>
        <v>2072.2111111111112</v>
      </c>
      <c r="K62" s="3347">
        <f>'Lista global'!P301</f>
        <v>9495.01</v>
      </c>
      <c r="L62" s="3347">
        <f>'Lista global'!Q301</f>
        <v>5412.15</v>
      </c>
      <c r="M62" s="2473">
        <f t="shared" si="6"/>
        <v>0</v>
      </c>
      <c r="N62" s="3124">
        <f t="shared" si="7"/>
        <v>0</v>
      </c>
      <c r="O62" s="3121">
        <f t="shared" si="8"/>
        <v>0</v>
      </c>
      <c r="P62" s="3131">
        <f t="shared" si="5"/>
        <v>0</v>
      </c>
      <c r="Q62" s="3568">
        <f t="shared" si="4"/>
        <v>0</v>
      </c>
      <c r="R62" s="3230" t="s">
        <v>2309</v>
      </c>
      <c r="U62" s="1342">
        <f t="shared" si="3"/>
        <v>0</v>
      </c>
      <c r="W62" s="1342" t="s">
        <v>3502</v>
      </c>
    </row>
    <row r="63" spans="1:30" ht="19.5" customHeight="1" thickBot="1" x14ac:dyDescent="0.3">
      <c r="A63" s="4210"/>
      <c r="B63" s="2498" t="s">
        <v>2498</v>
      </c>
      <c r="C63" s="2484">
        <v>106205976</v>
      </c>
      <c r="D63" s="2454" t="s">
        <v>2781</v>
      </c>
      <c r="E63" s="2734" t="s">
        <v>2784</v>
      </c>
      <c r="F63" s="2394">
        <v>1</v>
      </c>
      <c r="G63" s="2482"/>
      <c r="H63" s="2731" t="s">
        <v>3156</v>
      </c>
      <c r="I63" s="2595"/>
      <c r="J63" s="3347">
        <f>'Lista global'!I302</f>
        <v>2072.2111111111112</v>
      </c>
      <c r="K63" s="3347">
        <f>'Lista global'!P302</f>
        <v>9495.01</v>
      </c>
      <c r="L63" s="3347">
        <f>'Lista global'!Q302</f>
        <v>5412.15</v>
      </c>
      <c r="M63" s="2453">
        <f t="shared" si="6"/>
        <v>0</v>
      </c>
      <c r="N63" s="3124">
        <f t="shared" si="7"/>
        <v>0</v>
      </c>
      <c r="O63" s="3118">
        <f t="shared" si="8"/>
        <v>0</v>
      </c>
      <c r="P63" s="3128">
        <f t="shared" si="5"/>
        <v>0</v>
      </c>
      <c r="Q63" s="3568">
        <f t="shared" si="4"/>
        <v>0</v>
      </c>
      <c r="R63" s="3230" t="s">
        <v>2309</v>
      </c>
      <c r="U63" s="1342">
        <f t="shared" si="3"/>
        <v>0</v>
      </c>
      <c r="W63" s="1342" t="s">
        <v>3502</v>
      </c>
    </row>
    <row r="64" spans="1:30" ht="19.5" customHeight="1" x14ac:dyDescent="0.25">
      <c r="A64" s="4210"/>
      <c r="B64" s="2720" t="s">
        <v>3135</v>
      </c>
      <c r="C64" s="2447">
        <v>106205967</v>
      </c>
      <c r="D64" s="2448" t="s">
        <v>3136</v>
      </c>
      <c r="E64" s="2732" t="s">
        <v>3137</v>
      </c>
      <c r="F64" s="2449">
        <v>1</v>
      </c>
      <c r="G64" s="2396"/>
      <c r="H64" s="2397" t="s">
        <v>3155</v>
      </c>
      <c r="I64" s="2398"/>
      <c r="J64" s="3347">
        <f>'Lista global'!I309</f>
        <v>2072.2111111111112</v>
      </c>
      <c r="K64" s="3347">
        <f>'Lista global'!P309</f>
        <v>6373.6</v>
      </c>
      <c r="L64" s="3347">
        <f>'Lista global'!Q309</f>
        <v>3649.4500000000003</v>
      </c>
      <c r="M64" s="2473">
        <f t="shared" ref="M64:M68" si="9">IF(AND($L$2=T4,$M$2=$S$4),1,0)</f>
        <v>0</v>
      </c>
      <c r="N64" s="3124">
        <f t="shared" ref="N64:N70" si="10">$N$2*M64</f>
        <v>0</v>
      </c>
      <c r="O64" s="3243">
        <f t="shared" ref="O64:O70" si="11">ROUNDUP($N$2*$O$2*3/100,0)*M64</f>
        <v>0</v>
      </c>
      <c r="P64" s="3244">
        <f t="shared" ref="P64:P70" si="12">K64*O64</f>
        <v>0</v>
      </c>
      <c r="Q64" s="3568">
        <f t="shared" si="4"/>
        <v>0</v>
      </c>
      <c r="R64" s="3230" t="s">
        <v>2309</v>
      </c>
      <c r="U64" s="1342">
        <f t="shared" si="3"/>
        <v>0</v>
      </c>
      <c r="W64" s="1342" t="s">
        <v>3502</v>
      </c>
    </row>
    <row r="65" spans="1:30" ht="19.5" customHeight="1" x14ac:dyDescent="0.25">
      <c r="A65" s="4210"/>
      <c r="B65" s="2497" t="s">
        <v>3138</v>
      </c>
      <c r="C65" s="2763">
        <v>106205969</v>
      </c>
      <c r="D65" s="2724" t="s">
        <v>3139</v>
      </c>
      <c r="E65" s="2733" t="s">
        <v>3140</v>
      </c>
      <c r="F65" s="2729">
        <v>1</v>
      </c>
      <c r="G65" s="2730"/>
      <c r="H65" s="2731" t="s">
        <v>3155</v>
      </c>
      <c r="I65" s="2452"/>
      <c r="J65" s="3347">
        <f>'Lista global'!I310</f>
        <v>2072.2111111111112</v>
      </c>
      <c r="K65" s="3347">
        <f>'Lista global'!P310</f>
        <v>7712.0560000000005</v>
      </c>
      <c r="L65" s="3347">
        <f>'Lista global'!Q310</f>
        <v>4415.8344999999999</v>
      </c>
      <c r="M65" s="2473">
        <f t="shared" si="9"/>
        <v>0</v>
      </c>
      <c r="N65" s="3124">
        <f t="shared" si="10"/>
        <v>0</v>
      </c>
      <c r="O65" s="3121">
        <f t="shared" si="11"/>
        <v>0</v>
      </c>
      <c r="P65" s="3131">
        <f t="shared" si="12"/>
        <v>0</v>
      </c>
      <c r="Q65" s="3568">
        <f t="shared" si="4"/>
        <v>0</v>
      </c>
      <c r="R65" s="3230" t="s">
        <v>2309</v>
      </c>
      <c r="U65" s="1342">
        <f t="shared" ref="U65:U70" si="13">O65*J65</f>
        <v>0</v>
      </c>
      <c r="W65" s="1342" t="s">
        <v>3502</v>
      </c>
    </row>
    <row r="66" spans="1:30" ht="19.5" customHeight="1" x14ac:dyDescent="0.25">
      <c r="A66" s="4210"/>
      <c r="B66" s="2735" t="s">
        <v>3141</v>
      </c>
      <c r="C66" s="2763">
        <v>106206543</v>
      </c>
      <c r="D66" s="2724" t="s">
        <v>3142</v>
      </c>
      <c r="E66" s="2733" t="s">
        <v>3143</v>
      </c>
      <c r="F66" s="2729">
        <v>1</v>
      </c>
      <c r="G66" s="2730"/>
      <c r="H66" s="2731" t="s">
        <v>3155</v>
      </c>
      <c r="I66" s="2452"/>
      <c r="J66" s="3347">
        <f>'Lista global'!I311</f>
        <v>2072.2111111111112</v>
      </c>
      <c r="K66" s="3347">
        <f>'Lista global'!P311</f>
        <v>8374.0499999999993</v>
      </c>
      <c r="L66" s="3347">
        <f>'Lista global'!Q311</f>
        <v>4794.91</v>
      </c>
      <c r="M66" s="2473">
        <f t="shared" si="9"/>
        <v>0</v>
      </c>
      <c r="N66" s="3124">
        <f t="shared" si="10"/>
        <v>0</v>
      </c>
      <c r="O66" s="3121">
        <f t="shared" si="11"/>
        <v>0</v>
      </c>
      <c r="P66" s="3131">
        <f t="shared" si="12"/>
        <v>0</v>
      </c>
      <c r="Q66" s="3568">
        <f t="shared" si="4"/>
        <v>0</v>
      </c>
      <c r="R66" s="3230" t="s">
        <v>2309</v>
      </c>
      <c r="U66" s="1342">
        <f t="shared" si="13"/>
        <v>0</v>
      </c>
      <c r="W66" s="1342" t="s">
        <v>3502</v>
      </c>
    </row>
    <row r="67" spans="1:30" ht="19.5" customHeight="1" x14ac:dyDescent="0.25">
      <c r="A67" s="4210"/>
      <c r="B67" s="2735" t="s">
        <v>3144</v>
      </c>
      <c r="C67" s="2763">
        <v>106205971</v>
      </c>
      <c r="D67" s="2724" t="s">
        <v>3145</v>
      </c>
      <c r="E67" s="2733" t="s">
        <v>3146</v>
      </c>
      <c r="F67" s="2729">
        <v>1</v>
      </c>
      <c r="G67" s="2730"/>
      <c r="H67" s="2731" t="s">
        <v>3155</v>
      </c>
      <c r="I67" s="2452"/>
      <c r="J67" s="3347">
        <f>'Lista global'!I312</f>
        <v>2072.2111111111112</v>
      </c>
      <c r="K67" s="3347">
        <f>'Lista global'!P312</f>
        <v>8808.8644000000004</v>
      </c>
      <c r="L67" s="3347">
        <f>'Lista global'!Q312</f>
        <v>5043.88</v>
      </c>
      <c r="M67" s="2473">
        <f t="shared" si="9"/>
        <v>0</v>
      </c>
      <c r="N67" s="3124">
        <f t="shared" si="10"/>
        <v>0</v>
      </c>
      <c r="O67" s="3121">
        <f t="shared" si="11"/>
        <v>0</v>
      </c>
      <c r="P67" s="3131">
        <f t="shared" si="12"/>
        <v>0</v>
      </c>
      <c r="Q67" s="3568">
        <f t="shared" si="4"/>
        <v>0</v>
      </c>
      <c r="R67" s="3230" t="s">
        <v>2309</v>
      </c>
      <c r="U67" s="1342">
        <f t="shared" si="13"/>
        <v>0</v>
      </c>
      <c r="W67" s="1342" t="s">
        <v>3502</v>
      </c>
    </row>
    <row r="68" spans="1:30" ht="19.5" customHeight="1" x14ac:dyDescent="0.25">
      <c r="A68" s="4210"/>
      <c r="B68" s="2497" t="s">
        <v>3147</v>
      </c>
      <c r="C68" s="2763">
        <v>106205973</v>
      </c>
      <c r="D68" s="2724" t="s">
        <v>3148</v>
      </c>
      <c r="E68" s="2733" t="s">
        <v>3149</v>
      </c>
      <c r="F68" s="2729">
        <v>1</v>
      </c>
      <c r="G68" s="2730"/>
      <c r="H68" s="2731" t="s">
        <v>3155</v>
      </c>
      <c r="I68" s="2452"/>
      <c r="J68" s="3347">
        <f>'Lista global'!I313</f>
        <v>2072.2111111111112</v>
      </c>
      <c r="K68" s="3347">
        <f>'Lista global'!P313</f>
        <v>9401</v>
      </c>
      <c r="L68" s="3347">
        <f>'Lista global'!Q313</f>
        <v>5358.57</v>
      </c>
      <c r="M68" s="2473">
        <f t="shared" si="9"/>
        <v>0</v>
      </c>
      <c r="N68" s="3124">
        <f t="shared" si="10"/>
        <v>0</v>
      </c>
      <c r="O68" s="3121">
        <f t="shared" si="11"/>
        <v>0</v>
      </c>
      <c r="P68" s="3131">
        <f t="shared" si="12"/>
        <v>0</v>
      </c>
      <c r="Q68" s="3568">
        <f t="shared" si="4"/>
        <v>0</v>
      </c>
      <c r="R68" s="3230" t="s">
        <v>2309</v>
      </c>
      <c r="U68" s="1342">
        <f t="shared" si="13"/>
        <v>0</v>
      </c>
      <c r="W68" s="1342" t="s">
        <v>3502</v>
      </c>
    </row>
    <row r="69" spans="1:30" ht="19.5" customHeight="1" x14ac:dyDescent="0.25">
      <c r="A69" s="4210"/>
      <c r="B69" s="2497" t="s">
        <v>3150</v>
      </c>
      <c r="C69" s="2763">
        <v>106205975</v>
      </c>
      <c r="D69" s="2724" t="s">
        <v>3151</v>
      </c>
      <c r="E69" s="2733" t="s">
        <v>3152</v>
      </c>
      <c r="F69" s="2729">
        <v>1</v>
      </c>
      <c r="G69" s="2730"/>
      <c r="H69" s="2731" t="s">
        <v>3155</v>
      </c>
      <c r="I69" s="2452"/>
      <c r="J69" s="3347">
        <f>'Lista global'!I314</f>
        <v>2072.2111111111112</v>
      </c>
      <c r="K69" s="3347">
        <f>'Lista global'!P314</f>
        <v>9495.01</v>
      </c>
      <c r="L69" s="3347">
        <f>'Lista global'!Q314</f>
        <v>5412.15</v>
      </c>
      <c r="M69" s="2473">
        <f>IF(AND($L$2=T9,$M$2=$S$4),1,0)</f>
        <v>0</v>
      </c>
      <c r="N69" s="3124">
        <f t="shared" ref="N69" si="14">$N$2*M69</f>
        <v>0</v>
      </c>
      <c r="O69" s="3121">
        <f t="shared" ref="O69" si="15">ROUNDUP($N$2*$O$2*3/100,0)*M69</f>
        <v>0</v>
      </c>
      <c r="P69" s="3131">
        <f t="shared" ref="P69" si="16">K69*O69</f>
        <v>0</v>
      </c>
      <c r="Q69" s="3568">
        <f t="shared" ref="Q69" si="17">L69*O69</f>
        <v>0</v>
      </c>
      <c r="R69" s="3230" t="s">
        <v>2309</v>
      </c>
      <c r="U69" s="1342">
        <f t="shared" si="13"/>
        <v>0</v>
      </c>
      <c r="W69" s="1342" t="s">
        <v>3502</v>
      </c>
    </row>
    <row r="70" spans="1:30" ht="19.5" customHeight="1" thickBot="1" x14ac:dyDescent="0.3">
      <c r="A70" s="4211"/>
      <c r="B70" s="2498" t="s">
        <v>1660</v>
      </c>
      <c r="C70" s="2484" t="s">
        <v>0</v>
      </c>
      <c r="D70" s="2454" t="s">
        <v>3823</v>
      </c>
      <c r="E70" s="2734" t="s">
        <v>3824</v>
      </c>
      <c r="F70" s="2394">
        <v>1</v>
      </c>
      <c r="G70" s="2482"/>
      <c r="H70" s="2453" t="s">
        <v>3155</v>
      </c>
      <c r="I70" s="2595"/>
      <c r="J70" s="3347">
        <f>J69</f>
        <v>2072.2111111111112</v>
      </c>
      <c r="K70" s="3347">
        <f t="shared" ref="K70:L70" si="18">K69</f>
        <v>9495.01</v>
      </c>
      <c r="L70" s="3347">
        <f t="shared" si="18"/>
        <v>5412.15</v>
      </c>
      <c r="M70" s="2473">
        <f>IF(AND($L$2=T10,$M$2=$S$4),1,0)</f>
        <v>1</v>
      </c>
      <c r="N70" s="3124">
        <f t="shared" si="10"/>
        <v>4</v>
      </c>
      <c r="O70" s="3121">
        <f t="shared" si="11"/>
        <v>1</v>
      </c>
      <c r="P70" s="3131">
        <f t="shared" si="12"/>
        <v>9495.01</v>
      </c>
      <c r="Q70" s="3568">
        <f t="shared" si="4"/>
        <v>5412.15</v>
      </c>
      <c r="R70" s="3230" t="s">
        <v>2309</v>
      </c>
      <c r="U70" s="1342">
        <f t="shared" si="13"/>
        <v>2072.2111111111112</v>
      </c>
      <c r="W70" s="1342" t="s">
        <v>3502</v>
      </c>
    </row>
    <row r="71" spans="1:30" ht="15.75" thickBot="1" x14ac:dyDescent="0.3">
      <c r="A71" s="2856"/>
      <c r="B71" s="2544"/>
      <c r="C71" s="3802"/>
      <c r="D71" s="3757"/>
      <c r="E71" s="3235"/>
      <c r="F71" s="2814"/>
      <c r="G71" s="2860"/>
      <c r="H71" s="3553"/>
      <c r="I71" s="3553"/>
      <c r="L71" s="71"/>
      <c r="M71" s="3230"/>
      <c r="N71" s="84"/>
    </row>
    <row r="72" spans="1:30" ht="19.5" customHeight="1" x14ac:dyDescent="0.25">
      <c r="A72" s="4229" t="s">
        <v>3363</v>
      </c>
      <c r="B72" s="2720" t="s">
        <v>1030</v>
      </c>
      <c r="C72" s="2447">
        <v>106200533</v>
      </c>
      <c r="D72" s="1411" t="s">
        <v>3364</v>
      </c>
      <c r="E72" s="2732" t="s">
        <v>3365</v>
      </c>
      <c r="F72" s="2449">
        <v>1</v>
      </c>
      <c r="G72" s="2396"/>
      <c r="H72" s="2397"/>
      <c r="I72" s="2398"/>
      <c r="J72" s="3347">
        <f>tarjetas!$D$20</f>
        <v>17.64</v>
      </c>
      <c r="K72" s="3347">
        <f>J72/0.4</f>
        <v>44.1</v>
      </c>
      <c r="L72" s="3347">
        <f>J72/0.8</f>
        <v>22.05</v>
      </c>
      <c r="M72" s="2731">
        <v>1</v>
      </c>
      <c r="N72" s="3124">
        <f>N2</f>
        <v>4</v>
      </c>
      <c r="O72" s="3121">
        <f>IF(ROUNDDOWN(($O$2*N72/4)/5,0)&lt;M72,M72,ROUNDDOWN(($O$2*N72/4)/5,0))</f>
        <v>1</v>
      </c>
      <c r="P72" s="3131">
        <f>K72*O72</f>
        <v>44.1</v>
      </c>
      <c r="Q72" s="3568">
        <f t="shared" si="4"/>
        <v>22.05</v>
      </c>
      <c r="R72" s="3230"/>
      <c r="W72" s="1342" t="s">
        <v>3502</v>
      </c>
    </row>
    <row r="73" spans="1:30" ht="19.5" customHeight="1" x14ac:dyDescent="0.25">
      <c r="A73" s="4230"/>
      <c r="B73" s="2497" t="s">
        <v>3366</v>
      </c>
      <c r="C73" s="2726">
        <v>106122984</v>
      </c>
      <c r="D73" s="2402" t="s">
        <v>3782</v>
      </c>
      <c r="E73" s="2733" t="s">
        <v>3367</v>
      </c>
      <c r="F73" s="2729"/>
      <c r="G73" s="2730">
        <v>1</v>
      </c>
      <c r="H73" s="2731"/>
      <c r="I73" s="2452"/>
      <c r="J73" s="3347">
        <f>tarjetas!$D$31</f>
        <v>133.32</v>
      </c>
      <c r="K73" s="3347">
        <f>J73/0.4</f>
        <v>333.29999999999995</v>
      </c>
      <c r="L73" s="3347">
        <f>J73/0.8</f>
        <v>166.64999999999998</v>
      </c>
      <c r="M73" s="2473">
        <v>1</v>
      </c>
      <c r="N73" s="3124">
        <v>1</v>
      </c>
      <c r="O73" s="3121">
        <f>IF(ROUNDUP(($O$2*N73/4)/5,0)&lt;M73,M73,ROUNDUP(($O$2*N73/4)/5,0))</f>
        <v>1</v>
      </c>
      <c r="P73" s="3131">
        <f>K73*O73</f>
        <v>333.29999999999995</v>
      </c>
      <c r="Q73" s="3568">
        <f t="shared" si="4"/>
        <v>166.64999999999998</v>
      </c>
      <c r="R73" s="3230"/>
      <c r="W73" s="1342" t="s">
        <v>3502</v>
      </c>
    </row>
    <row r="74" spans="1:30" ht="19.5" customHeight="1" x14ac:dyDescent="0.25">
      <c r="A74" s="4230"/>
      <c r="B74" s="2736" t="s">
        <v>1029</v>
      </c>
      <c r="C74" s="2726">
        <v>106200874</v>
      </c>
      <c r="D74" s="2402" t="s">
        <v>3370</v>
      </c>
      <c r="E74" s="3658" t="s">
        <v>3371</v>
      </c>
      <c r="F74" s="2477"/>
      <c r="G74" s="2478">
        <v>1</v>
      </c>
      <c r="H74" s="2404"/>
      <c r="I74" s="2479"/>
      <c r="J74" s="3347">
        <f>tarjetas!$D$26</f>
        <v>175.24</v>
      </c>
      <c r="K74" s="3347">
        <f>J74/0.6</f>
        <v>292.06666666666672</v>
      </c>
      <c r="L74" s="3347">
        <f>J74/0.8</f>
        <v>219.05</v>
      </c>
      <c r="M74" s="2473">
        <v>1</v>
      </c>
      <c r="N74" s="3124">
        <v>1</v>
      </c>
      <c r="O74" s="3121">
        <v>0</v>
      </c>
      <c r="P74" s="3131">
        <f>K74*O74</f>
        <v>0</v>
      </c>
      <c r="Q74" s="3568">
        <f t="shared" si="4"/>
        <v>0</v>
      </c>
      <c r="R74" s="3230"/>
      <c r="W74" s="1342" t="s">
        <v>3502</v>
      </c>
    </row>
    <row r="75" spans="1:30" ht="19.5" customHeight="1" thickBot="1" x14ac:dyDescent="0.3">
      <c r="A75" s="4231"/>
      <c r="B75" s="2498" t="s">
        <v>3280</v>
      </c>
      <c r="C75" s="2484">
        <v>106124036</v>
      </c>
      <c r="D75" s="2454" t="s">
        <v>3368</v>
      </c>
      <c r="E75" s="2734" t="s">
        <v>3369</v>
      </c>
      <c r="F75" s="2394"/>
      <c r="G75" s="2482">
        <v>1</v>
      </c>
      <c r="H75" s="2453"/>
      <c r="I75" s="2595"/>
      <c r="J75" s="3347">
        <f>'Lista global'!I358</f>
        <v>179.78888888888889</v>
      </c>
      <c r="K75" s="3347">
        <f>'Lista global'!P358</f>
        <v>224.73749999999998</v>
      </c>
      <c r="L75" s="3347">
        <f>'Lista global'!Q358</f>
        <v>189.25263157894736</v>
      </c>
      <c r="M75" s="2473">
        <v>1</v>
      </c>
      <c r="N75" s="3124">
        <v>1</v>
      </c>
      <c r="O75" s="3121">
        <v>0</v>
      </c>
      <c r="P75" s="3131">
        <f>K75*O75</f>
        <v>0</v>
      </c>
      <c r="Q75" s="3568">
        <f t="shared" si="4"/>
        <v>0</v>
      </c>
      <c r="R75" s="3230"/>
      <c r="W75" s="1342" t="s">
        <v>3631</v>
      </c>
      <c r="X75" s="3724" t="s">
        <v>3632</v>
      </c>
    </row>
    <row r="76" spans="1:30" ht="19.5" customHeight="1" x14ac:dyDescent="0.25">
      <c r="A76" s="4235" t="s">
        <v>3382</v>
      </c>
      <c r="B76" s="2720" t="s">
        <v>1425</v>
      </c>
      <c r="C76" s="2447">
        <v>106104195</v>
      </c>
      <c r="D76" s="2448" t="s">
        <v>1743</v>
      </c>
      <c r="E76" s="2732" t="s">
        <v>1744</v>
      </c>
      <c r="F76" s="2449"/>
      <c r="G76" s="2396">
        <v>1</v>
      </c>
      <c r="H76" s="2397"/>
      <c r="I76" s="2398"/>
      <c r="J76" s="3347">
        <f>'Lista global'!$I$39</f>
        <v>52.088888888888889</v>
      </c>
      <c r="K76" s="3347">
        <f>'Lista global'!$P$39</f>
        <v>65.112499999999997</v>
      </c>
      <c r="L76" s="3347">
        <f>'Lista global'!$Q$39</f>
        <v>54.831578947368428</v>
      </c>
      <c r="M76" s="2473">
        <f>IF($M$2=$S$4,1,0)</f>
        <v>1</v>
      </c>
      <c r="N76" s="3124">
        <f>IF($M$2=$S$4,1,0)</f>
        <v>1</v>
      </c>
      <c r="O76" s="3121">
        <v>0</v>
      </c>
      <c r="P76" s="3131">
        <f>K76*O76</f>
        <v>0</v>
      </c>
      <c r="Q76" s="3568">
        <f t="shared" si="4"/>
        <v>0</v>
      </c>
      <c r="R76" s="3230"/>
      <c r="W76" s="1342" t="s">
        <v>3650</v>
      </c>
      <c r="X76" s="3724" t="s">
        <v>3651</v>
      </c>
    </row>
    <row r="77" spans="1:30" ht="19.5" customHeight="1" thickBot="1" x14ac:dyDescent="0.3">
      <c r="A77" s="4236"/>
      <c r="B77" s="3764" t="s">
        <v>3642</v>
      </c>
      <c r="C77" s="2756">
        <v>106112808</v>
      </c>
      <c r="D77" s="2843" t="s">
        <v>3696</v>
      </c>
      <c r="E77" s="3765" t="s">
        <v>3697</v>
      </c>
      <c r="F77" s="2387"/>
      <c r="G77" s="3766">
        <v>1</v>
      </c>
      <c r="H77" s="2381"/>
      <c r="I77" s="2389"/>
      <c r="J77" s="3347">
        <f>'Lista global'!$I$354</f>
        <v>146.11111111111111</v>
      </c>
      <c r="K77" s="3347">
        <f>'Lista global'!$P$354</f>
        <v>182.63750000000002</v>
      </c>
      <c r="L77" s="3347">
        <f>'Lista global'!$Q$354</f>
        <v>153.80000000000001</v>
      </c>
      <c r="M77" s="2473">
        <f>IF($M$2=$S$4,1,0)</f>
        <v>1</v>
      </c>
      <c r="N77" s="3124">
        <f>IF($M$2=$S$4,1,0)</f>
        <v>1</v>
      </c>
      <c r="O77" s="3121">
        <v>0</v>
      </c>
      <c r="P77" s="3131">
        <f t="shared" ref="P77" si="19">K77*O77</f>
        <v>0</v>
      </c>
      <c r="Q77" s="3568">
        <f t="shared" ref="Q77" si="20">L77*O77</f>
        <v>0</v>
      </c>
      <c r="R77" s="3230"/>
      <c r="W77" s="1342" t="s">
        <v>3526</v>
      </c>
      <c r="X77" s="1342" t="s">
        <v>3652</v>
      </c>
      <c r="Z77" s="1342"/>
    </row>
    <row r="78" spans="1:30" ht="15.75" thickBot="1" x14ac:dyDescent="0.3">
      <c r="A78" s="3662"/>
    </row>
    <row r="79" spans="1:30" ht="19.5" customHeight="1" x14ac:dyDescent="0.25">
      <c r="A79" s="4229" t="s">
        <v>3660</v>
      </c>
      <c r="B79" s="3767" t="s">
        <v>2949</v>
      </c>
      <c r="C79" s="2940" t="s">
        <v>1500</v>
      </c>
      <c r="D79" s="2448" t="s">
        <v>1149</v>
      </c>
      <c r="E79" s="1441" t="s">
        <v>1149</v>
      </c>
      <c r="F79" s="2940">
        <v>1</v>
      </c>
      <c r="G79" s="2397"/>
      <c r="H79" s="2789"/>
      <c r="I79" s="2398"/>
      <c r="J79" s="3347">
        <f>'Lista global'!$I$262</f>
        <v>127.06666666666666</v>
      </c>
      <c r="K79" s="3347">
        <f>'Lista global'!$P$262</f>
        <v>318.47499999999997</v>
      </c>
      <c r="L79" s="3347">
        <f>'Lista global'!$Q$262</f>
        <v>212.31666666666666</v>
      </c>
      <c r="M79" s="2731">
        <f>IF($Q$2=$S$4,1,0)</f>
        <v>1</v>
      </c>
      <c r="N79" s="3124">
        <f>IF($Q$2=$S$4,F79*N2,0)</f>
        <v>4</v>
      </c>
      <c r="O79" s="3121">
        <f>IF(ROUNDDOWN(N79*$O$2/20,0)&lt;M79,M79,ROUNDDOWN(N79*$O$2/20,0))</f>
        <v>1</v>
      </c>
      <c r="P79" s="3131">
        <f t="shared" ref="P79:P80" si="21">K79*O79</f>
        <v>318.47499999999997</v>
      </c>
      <c r="Q79" s="3568">
        <f t="shared" ref="Q79:Q80" si="22">L79*O79</f>
        <v>212.31666666666666</v>
      </c>
      <c r="R79" s="3230"/>
      <c r="U79" s="1342">
        <f t="shared" ref="U79" si="23">O79*J79</f>
        <v>127.06666666666666</v>
      </c>
      <c r="W79" s="1342" t="s">
        <v>3502</v>
      </c>
    </row>
    <row r="80" spans="1:30" ht="19.5" customHeight="1" thickBot="1" x14ac:dyDescent="0.3">
      <c r="A80" s="4231"/>
      <c r="B80" s="3764" t="s">
        <v>3644</v>
      </c>
      <c r="C80" s="2756">
        <v>106116005</v>
      </c>
      <c r="D80" s="2843" t="s">
        <v>1498</v>
      </c>
      <c r="E80" s="3765" t="s">
        <v>1499</v>
      </c>
      <c r="F80" s="2387">
        <v>1</v>
      </c>
      <c r="G80" s="3766"/>
      <c r="H80" s="2381" t="s">
        <v>649</v>
      </c>
      <c r="I80" s="2389"/>
      <c r="J80" s="3347">
        <f>'Lista global'!$I$150</f>
        <v>3.1111111111111107</v>
      </c>
      <c r="K80" s="3347">
        <f>'Lista global'!$P$150</f>
        <v>3.8874999999999997</v>
      </c>
      <c r="L80" s="3347">
        <f>'Lista global'!$Q$150</f>
        <v>3.2736842105263158</v>
      </c>
      <c r="M80" s="2473">
        <f>M79</f>
        <v>1</v>
      </c>
      <c r="N80" s="3124">
        <f>N79</f>
        <v>4</v>
      </c>
      <c r="O80" s="3121">
        <f>O79</f>
        <v>1</v>
      </c>
      <c r="P80" s="3131">
        <f t="shared" si="21"/>
        <v>3.8874999999999997</v>
      </c>
      <c r="Q80" s="3568">
        <f t="shared" si="22"/>
        <v>3.2736842105263158</v>
      </c>
      <c r="R80" s="3230"/>
      <c r="W80" s="1342" t="s">
        <v>3511</v>
      </c>
      <c r="X80" s="1342" t="s">
        <v>3518</v>
      </c>
      <c r="Y80" s="1342" t="s">
        <v>3508</v>
      </c>
      <c r="Z80" s="1342">
        <v>491605</v>
      </c>
      <c r="AA80" s="1342" t="s">
        <v>3519</v>
      </c>
      <c r="AB80" s="1342" t="s">
        <v>3520</v>
      </c>
      <c r="AC80" s="1342" t="s">
        <v>3521</v>
      </c>
      <c r="AD80" s="1342" t="s">
        <v>3522</v>
      </c>
    </row>
    <row r="81" spans="1:26" ht="15.75" thickBot="1" x14ac:dyDescent="0.3"/>
    <row r="82" spans="1:26" ht="19.5" customHeight="1" x14ac:dyDescent="0.25">
      <c r="A82" s="4229" t="s">
        <v>3661</v>
      </c>
      <c r="B82" s="2720" t="s">
        <v>3410</v>
      </c>
      <c r="C82" s="2447">
        <v>106124015</v>
      </c>
      <c r="D82" s="1411" t="s">
        <v>3674</v>
      </c>
      <c r="E82" s="2732" t="s">
        <v>3675</v>
      </c>
      <c r="F82" s="2449"/>
      <c r="G82" s="2396">
        <v>1</v>
      </c>
      <c r="H82" s="2397"/>
      <c r="I82" s="2398"/>
      <c r="J82" s="3347">
        <f>'Lista global'!I347</f>
        <v>219.77777777777777</v>
      </c>
      <c r="K82" s="3347">
        <f>'Lista global'!$P$347</f>
        <v>274.72499999999997</v>
      </c>
      <c r="L82" s="3347">
        <f>'Lista global'!$Q$347</f>
        <v>231.34736842105264</v>
      </c>
      <c r="M82" s="2731"/>
      <c r="N82" s="3124"/>
      <c r="O82" s="3121"/>
      <c r="P82" s="3131">
        <f t="shared" ref="P82:P91" si="24">K82*O82</f>
        <v>0</v>
      </c>
      <c r="Q82" s="3568"/>
      <c r="R82" s="3230"/>
    </row>
    <row r="83" spans="1:26" ht="19.5" customHeight="1" x14ac:dyDescent="0.25">
      <c r="A83" s="4230"/>
      <c r="B83" s="4237" t="s">
        <v>3668</v>
      </c>
      <c r="C83" s="2726">
        <v>106129787</v>
      </c>
      <c r="D83" s="2724" t="s">
        <v>3911</v>
      </c>
      <c r="E83" s="2733" t="s">
        <v>3912</v>
      </c>
      <c r="F83" s="2729"/>
      <c r="G83" s="2730">
        <v>3</v>
      </c>
      <c r="H83" s="2731"/>
      <c r="I83" s="2452"/>
      <c r="J83" s="3801">
        <v>0.5</v>
      </c>
      <c r="K83" s="3801">
        <f>J83/0.8</f>
        <v>0.625</v>
      </c>
      <c r="L83" s="3801">
        <f>J83/0.95</f>
        <v>0.52631578947368418</v>
      </c>
      <c r="M83" s="2473"/>
      <c r="N83" s="3124"/>
      <c r="O83" s="3121"/>
      <c r="P83" s="3131">
        <f t="shared" si="24"/>
        <v>0</v>
      </c>
      <c r="Q83" s="3568"/>
      <c r="R83" s="3230"/>
      <c r="W83" s="1342" t="s">
        <v>3602</v>
      </c>
      <c r="X83" s="3724">
        <v>420000</v>
      </c>
      <c r="Y83" s="1342" t="s">
        <v>3603</v>
      </c>
      <c r="Z83" s="3724" t="s">
        <v>3905</v>
      </c>
    </row>
    <row r="84" spans="1:26" ht="19.5" customHeight="1" x14ac:dyDescent="0.25">
      <c r="A84" s="4230"/>
      <c r="B84" s="4238"/>
      <c r="C84" s="2726">
        <v>106120385</v>
      </c>
      <c r="D84" s="2724" t="s">
        <v>3808</v>
      </c>
      <c r="E84" s="2733" t="s">
        <v>3809</v>
      </c>
      <c r="F84" s="2477"/>
      <c r="G84" s="2478">
        <v>2</v>
      </c>
      <c r="H84" s="2404"/>
      <c r="I84" s="2479"/>
      <c r="J84" s="3347">
        <f>'Lista global'!$I$352</f>
        <v>114.54444444444445</v>
      </c>
      <c r="K84" s="3347">
        <f>'Lista global'!$P$352</f>
        <v>143.17500000000001</v>
      </c>
      <c r="L84" s="3347">
        <f>'Lista global'!$Q$352</f>
        <v>120.56842105263159</v>
      </c>
      <c r="M84" s="2473"/>
      <c r="N84" s="3124"/>
      <c r="O84" s="3121"/>
      <c r="P84" s="3131">
        <f t="shared" si="24"/>
        <v>0</v>
      </c>
      <c r="Q84" s="3568"/>
      <c r="R84" s="3230"/>
    </row>
    <row r="85" spans="1:26" ht="19.5" customHeight="1" x14ac:dyDescent="0.25">
      <c r="A85" s="4230"/>
      <c r="B85" s="2497" t="s">
        <v>3669</v>
      </c>
      <c r="C85" s="2763">
        <v>106120384</v>
      </c>
      <c r="D85" s="2724" t="s">
        <v>3810</v>
      </c>
      <c r="E85" s="2733" t="s">
        <v>3811</v>
      </c>
      <c r="F85" s="2729"/>
      <c r="G85" s="2730">
        <v>2</v>
      </c>
      <c r="H85" s="2731"/>
      <c r="I85" s="2452"/>
      <c r="J85" s="3347">
        <f>'Lista global'!$I$353</f>
        <v>41.388888888888886</v>
      </c>
      <c r="K85" s="3347">
        <f>'Lista global'!$P$353</f>
        <v>51.737499999999997</v>
      </c>
      <c r="L85" s="3347">
        <f>'Lista global'!$Q$353</f>
        <v>43.568421052631578</v>
      </c>
      <c r="M85" s="2473"/>
      <c r="N85" s="3124"/>
      <c r="O85" s="3121"/>
      <c r="P85" s="3131">
        <f t="shared" si="24"/>
        <v>0</v>
      </c>
      <c r="Q85" s="3568"/>
      <c r="R85" s="3230"/>
    </row>
    <row r="86" spans="1:26" ht="19.5" customHeight="1" x14ac:dyDescent="0.25">
      <c r="A86" s="4230"/>
      <c r="B86" s="2497" t="s">
        <v>3670</v>
      </c>
      <c r="C86" s="2763">
        <v>106123943</v>
      </c>
      <c r="D86" s="2724" t="s">
        <v>3812</v>
      </c>
      <c r="E86" s="2733" t="s">
        <v>3813</v>
      </c>
      <c r="F86" s="2729"/>
      <c r="G86" s="2730">
        <v>2</v>
      </c>
      <c r="H86" s="2731"/>
      <c r="I86" s="2452"/>
      <c r="J86" s="3347"/>
      <c r="K86" s="3347"/>
      <c r="L86" s="3347"/>
      <c r="M86" s="2473"/>
      <c r="N86" s="3124"/>
      <c r="O86" s="3121"/>
      <c r="P86" s="3131">
        <f t="shared" si="24"/>
        <v>0</v>
      </c>
      <c r="Q86" s="3568"/>
      <c r="R86" s="3230"/>
    </row>
    <row r="87" spans="1:26" ht="19.5" customHeight="1" thickBot="1" x14ac:dyDescent="0.3">
      <c r="A87" s="4231"/>
      <c r="B87" s="3764" t="s">
        <v>3671</v>
      </c>
      <c r="C87" s="2756">
        <v>106124049</v>
      </c>
      <c r="D87" s="2454" t="s">
        <v>3815</v>
      </c>
      <c r="E87" s="2734" t="s">
        <v>3814</v>
      </c>
      <c r="F87" s="2387"/>
      <c r="G87" s="3766">
        <v>2</v>
      </c>
      <c r="H87" s="2381"/>
      <c r="I87" s="2389"/>
      <c r="J87" s="3347"/>
      <c r="K87" s="3347"/>
      <c r="L87" s="3347"/>
      <c r="M87" s="2473"/>
      <c r="N87" s="3124"/>
      <c r="O87" s="3121"/>
      <c r="P87" s="3131">
        <f t="shared" si="24"/>
        <v>0</v>
      </c>
      <c r="Q87" s="3568"/>
      <c r="R87" s="3230"/>
      <c r="X87" s="1342"/>
      <c r="Z87" s="1342"/>
    </row>
    <row r="88" spans="1:26" ht="15.75" thickBot="1" x14ac:dyDescent="0.3"/>
    <row r="89" spans="1:26" s="1360" customFormat="1" ht="19.5" customHeight="1" x14ac:dyDescent="0.25">
      <c r="A89" s="4229" t="s">
        <v>3662</v>
      </c>
      <c r="B89" s="4232" t="s">
        <v>3781</v>
      </c>
      <c r="C89" s="3359">
        <v>106123372</v>
      </c>
      <c r="D89" s="3913" t="s">
        <v>3783</v>
      </c>
      <c r="E89" s="3911" t="s">
        <v>3784</v>
      </c>
      <c r="F89" s="3914"/>
      <c r="G89" s="3094">
        <v>1</v>
      </c>
      <c r="H89" s="3095"/>
      <c r="I89" s="2839"/>
      <c r="J89" s="3801">
        <f>'Lista global'!$I$348</f>
        <v>99.933333333333323</v>
      </c>
      <c r="K89" s="3801">
        <f>'Lista global'!$P$348</f>
        <v>249.6</v>
      </c>
      <c r="L89" s="3801">
        <f>'Lista global'!$Q$348</f>
        <v>166.4</v>
      </c>
      <c r="M89" s="3144"/>
      <c r="N89" s="3464"/>
      <c r="O89" s="3483"/>
      <c r="P89" s="3484">
        <f t="shared" si="24"/>
        <v>0</v>
      </c>
      <c r="Q89" s="3915"/>
      <c r="R89" s="3912"/>
      <c r="W89" s="1360" t="s">
        <v>3502</v>
      </c>
      <c r="X89" s="1688"/>
      <c r="Z89" s="1688"/>
    </row>
    <row r="90" spans="1:26" ht="19.5" customHeight="1" x14ac:dyDescent="0.25">
      <c r="A90" s="4230"/>
      <c r="B90" s="4233"/>
      <c r="C90" s="2726">
        <v>106109925</v>
      </c>
      <c r="D90" s="2724" t="s">
        <v>3680</v>
      </c>
      <c r="E90" s="2733" t="s">
        <v>3681</v>
      </c>
      <c r="F90" s="2477"/>
      <c r="G90" s="2478">
        <v>1</v>
      </c>
      <c r="H90" s="2404"/>
      <c r="I90" s="2479"/>
      <c r="J90" s="3347">
        <f>'Lista global'!$I$349</f>
        <v>42.388888888888886</v>
      </c>
      <c r="K90" s="3347">
        <f>'Lista global'!$P$349</f>
        <v>52.987499999999997</v>
      </c>
      <c r="L90" s="3347">
        <f>'Lista global'!$Q$349</f>
        <v>44.621052631578948</v>
      </c>
      <c r="M90" s="2473"/>
      <c r="N90" s="3124"/>
      <c r="O90" s="3121"/>
      <c r="P90" s="3131">
        <f t="shared" si="24"/>
        <v>0</v>
      </c>
      <c r="Q90" s="3568"/>
      <c r="R90" s="3230"/>
      <c r="W90" s="1342" t="s">
        <v>3627</v>
      </c>
      <c r="X90" s="3724">
        <v>8951340000</v>
      </c>
    </row>
    <row r="91" spans="1:26" ht="19.5" customHeight="1" thickBot="1" x14ac:dyDescent="0.3">
      <c r="A91" s="4231"/>
      <c r="B91" s="4234"/>
      <c r="C91" s="2484">
        <v>106121596</v>
      </c>
      <c r="D91" s="2454" t="s">
        <v>3816</v>
      </c>
      <c r="E91" s="2734" t="s">
        <v>3817</v>
      </c>
      <c r="F91" s="2394"/>
      <c r="G91" s="2482" t="s">
        <v>3659</v>
      </c>
      <c r="H91" s="2453"/>
      <c r="I91" s="2595"/>
      <c r="J91" s="3347">
        <f>'Lista global'!$I$350</f>
        <v>32.355555555555554</v>
      </c>
      <c r="K91" s="3347">
        <f>'Lista global'!$P$350</f>
        <v>40.449999999999996</v>
      </c>
      <c r="L91" s="3347">
        <f>'Lista global'!$Q$350</f>
        <v>34.06315789473684</v>
      </c>
      <c r="M91" s="2473"/>
      <c r="N91" s="3124"/>
      <c r="O91" s="3121"/>
      <c r="P91" s="3131">
        <f t="shared" si="24"/>
        <v>0</v>
      </c>
      <c r="Q91" s="3568"/>
      <c r="R91" s="3230"/>
      <c r="W91" s="1342" t="s">
        <v>3664</v>
      </c>
      <c r="X91" s="3724" t="s">
        <v>3665</v>
      </c>
    </row>
    <row r="92" spans="1:26" ht="19.5" customHeight="1" thickBot="1" x14ac:dyDescent="0.3">
      <c r="A92" s="2856"/>
      <c r="B92" s="2859"/>
      <c r="C92" s="2898"/>
      <c r="D92" s="3234"/>
      <c r="E92" s="3235"/>
      <c r="F92" s="2814"/>
      <c r="G92" s="2860"/>
      <c r="H92" s="3842"/>
      <c r="I92" s="3842"/>
      <c r="J92" s="3347"/>
      <c r="K92" s="3347"/>
      <c r="L92" s="3347"/>
      <c r="M92" s="3842"/>
      <c r="N92" s="3124"/>
      <c r="O92" s="3845"/>
      <c r="P92" s="3568"/>
      <c r="Q92" s="3568"/>
      <c r="R92" s="3230"/>
    </row>
    <row r="93" spans="1:26" ht="19.5" customHeight="1" thickBot="1" x14ac:dyDescent="0.3">
      <c r="A93" s="3663"/>
      <c r="B93" s="3843" t="s">
        <v>0</v>
      </c>
      <c r="C93" s="2757" t="s">
        <v>0</v>
      </c>
      <c r="D93" s="2744" t="s">
        <v>3821</v>
      </c>
      <c r="E93" s="3844" t="s">
        <v>3822</v>
      </c>
      <c r="F93" s="2829"/>
      <c r="G93" s="2842"/>
      <c r="H93" s="2980"/>
      <c r="I93" s="2395"/>
      <c r="J93" s="3347"/>
      <c r="K93" s="3347"/>
      <c r="L93" s="3347"/>
      <c r="M93" s="2473">
        <v>1</v>
      </c>
      <c r="N93" s="3124">
        <f t="shared" ref="N93" si="25">$O$2*F93+G93</f>
        <v>0</v>
      </c>
      <c r="O93" s="3121">
        <v>0</v>
      </c>
      <c r="P93" s="3131"/>
      <c r="Q93" s="3568"/>
      <c r="R93" s="3230"/>
      <c r="X93" s="1342"/>
      <c r="Z93" s="1342"/>
    </row>
    <row r="94" spans="1:26" ht="15.75" thickBot="1" x14ac:dyDescent="0.3">
      <c r="B94" s="3753" t="s">
        <v>3793</v>
      </c>
      <c r="O94" s="3138" t="s">
        <v>941</v>
      </c>
      <c r="P94" s="3139">
        <f>SUM(P4:P93)</f>
        <v>16069.539166666666</v>
      </c>
      <c r="Q94" s="3139">
        <f>SUM(Q4:Q92)</f>
        <v>10643.434868421053</v>
      </c>
      <c r="R94" s="3230"/>
      <c r="U94" s="3139">
        <f>SUM(U4:U92)</f>
        <v>6211.6144444444444</v>
      </c>
    </row>
    <row r="95" spans="1:26" x14ac:dyDescent="0.25">
      <c r="G95" s="1574"/>
      <c r="H95" s="1343"/>
      <c r="I95" s="1342"/>
      <c r="L95" s="751"/>
      <c r="M95" s="3215"/>
      <c r="O95" s="1342"/>
      <c r="P95" s="751"/>
      <c r="Q95" s="1342"/>
      <c r="W95" s="3724"/>
      <c r="X95" s="1342"/>
      <c r="Y95" s="3724"/>
      <c r="Z95" s="1342"/>
    </row>
    <row r="96" spans="1:26" ht="15.75" thickBot="1" x14ac:dyDescent="0.3">
      <c r="A96" s="1383" t="s">
        <v>1287</v>
      </c>
      <c r="B96" s="1383"/>
      <c r="C96" s="86"/>
      <c r="D96" s="3554"/>
      <c r="E96" s="1383"/>
      <c r="F96" s="1383"/>
      <c r="G96" s="1383"/>
      <c r="H96" s="794"/>
      <c r="I96" s="1383"/>
      <c r="J96" s="1383"/>
      <c r="K96" s="1383"/>
      <c r="L96" s="71"/>
      <c r="M96" s="3230"/>
      <c r="N96" s="84"/>
      <c r="O96" s="84"/>
      <c r="P96" s="71"/>
      <c r="Q96" s="3230"/>
    </row>
    <row r="97" spans="1:17" ht="15" customHeight="1" x14ac:dyDescent="0.25">
      <c r="A97" s="4220" t="s">
        <v>1291</v>
      </c>
      <c r="B97" s="4221"/>
      <c r="C97" s="4221"/>
      <c r="D97" s="4221"/>
      <c r="E97" s="4221"/>
      <c r="F97" s="4221"/>
      <c r="G97" s="4221"/>
      <c r="H97" s="4221"/>
      <c r="I97" s="4222"/>
      <c r="J97" s="1345"/>
      <c r="K97" s="1345"/>
      <c r="L97" s="3231"/>
      <c r="M97" s="3232"/>
      <c r="N97" s="84"/>
      <c r="O97" s="3355"/>
      <c r="P97" s="3356"/>
      <c r="Q97" s="3230"/>
    </row>
    <row r="98" spans="1:17" ht="23.25" customHeight="1" x14ac:dyDescent="0.25">
      <c r="A98" s="4223" t="s">
        <v>1292</v>
      </c>
      <c r="B98" s="4224"/>
      <c r="C98" s="4224"/>
      <c r="D98" s="4224"/>
      <c r="E98" s="4224"/>
      <c r="F98" s="4224"/>
      <c r="G98" s="4224"/>
      <c r="H98" s="4224"/>
      <c r="I98" s="4225"/>
      <c r="J98" s="1345"/>
      <c r="K98" s="1345"/>
      <c r="L98" s="3231"/>
      <c r="M98" s="3232"/>
      <c r="N98" s="84"/>
      <c r="O98" s="84"/>
      <c r="P98" s="71"/>
      <c r="Q98" s="3230"/>
    </row>
    <row r="99" spans="1:17" ht="30.75" customHeight="1" x14ac:dyDescent="0.25">
      <c r="A99" s="4223" t="s">
        <v>1293</v>
      </c>
      <c r="B99" s="4224"/>
      <c r="C99" s="4224"/>
      <c r="D99" s="4224"/>
      <c r="E99" s="4224"/>
      <c r="F99" s="4224"/>
      <c r="G99" s="4224"/>
      <c r="H99" s="4224"/>
      <c r="I99" s="4225"/>
      <c r="J99" s="1345"/>
      <c r="K99" s="1345"/>
      <c r="L99" s="3231"/>
      <c r="M99" s="3232"/>
      <c r="N99" s="84"/>
      <c r="O99" s="84"/>
      <c r="P99" s="71"/>
      <c r="Q99" s="3230"/>
    </row>
    <row r="100" spans="1:17" ht="38.25" customHeight="1" x14ac:dyDescent="0.25">
      <c r="A100" s="4223" t="s">
        <v>2503</v>
      </c>
      <c r="B100" s="4224"/>
      <c r="C100" s="4224"/>
      <c r="D100" s="4224"/>
      <c r="E100" s="4224"/>
      <c r="F100" s="4224"/>
      <c r="G100" s="4224"/>
      <c r="H100" s="4224"/>
      <c r="I100" s="4225"/>
      <c r="J100" s="1345"/>
      <c r="K100" s="1345"/>
      <c r="L100" s="3231"/>
      <c r="M100" s="3232"/>
      <c r="N100" s="84"/>
      <c r="O100" s="84"/>
      <c r="P100" s="71"/>
      <c r="Q100" s="3230"/>
    </row>
    <row r="101" spans="1:17" ht="35.25" customHeight="1" x14ac:dyDescent="0.25">
      <c r="A101" s="4223" t="s">
        <v>3212</v>
      </c>
      <c r="B101" s="4224"/>
      <c r="C101" s="4224"/>
      <c r="D101" s="4224"/>
      <c r="E101" s="4224"/>
      <c r="F101" s="4224"/>
      <c r="G101" s="4224"/>
      <c r="H101" s="4224"/>
      <c r="I101" s="4225"/>
      <c r="J101" s="1345"/>
      <c r="K101" s="1345"/>
      <c r="L101" s="3231"/>
      <c r="M101" s="3232"/>
      <c r="N101" s="84"/>
      <c r="O101" s="84"/>
      <c r="P101" s="71"/>
      <c r="Q101" s="3230"/>
    </row>
    <row r="102" spans="1:17" x14ac:dyDescent="0.25">
      <c r="A102" s="4223" t="s">
        <v>3051</v>
      </c>
      <c r="B102" s="4224"/>
      <c r="C102" s="4224"/>
      <c r="D102" s="4224"/>
      <c r="E102" s="4224"/>
      <c r="F102" s="4224"/>
      <c r="G102" s="4224"/>
      <c r="H102" s="4224"/>
      <c r="I102" s="4225"/>
      <c r="J102" s="1345"/>
      <c r="K102" s="1345"/>
      <c r="L102" s="3231"/>
      <c r="M102" s="3232"/>
      <c r="N102" s="84"/>
      <c r="O102" s="84"/>
      <c r="P102" s="71"/>
      <c r="Q102" s="3230"/>
    </row>
    <row r="103" spans="1:17" ht="15" customHeight="1" x14ac:dyDescent="0.25">
      <c r="A103" s="4326" t="s">
        <v>3153</v>
      </c>
      <c r="B103" s="4327"/>
      <c r="C103" s="4327"/>
      <c r="D103" s="4327"/>
      <c r="E103" s="4327"/>
      <c r="F103" s="4327"/>
      <c r="G103" s="4327"/>
      <c r="H103" s="4327"/>
      <c r="I103" s="4328"/>
      <c r="J103" s="1345"/>
      <c r="K103" s="1345"/>
      <c r="L103" s="3231"/>
      <c r="M103" s="3232"/>
      <c r="N103" s="84"/>
      <c r="O103" s="84"/>
      <c r="P103" s="71"/>
      <c r="Q103" s="3230"/>
    </row>
    <row r="104" spans="1:17" ht="15" customHeight="1" x14ac:dyDescent="0.25">
      <c r="A104" s="4326" t="s">
        <v>3154</v>
      </c>
      <c r="B104" s="4327"/>
      <c r="C104" s="4327"/>
      <c r="D104" s="4327"/>
      <c r="E104" s="4327"/>
      <c r="F104" s="4327"/>
      <c r="G104" s="4327"/>
      <c r="H104" s="4327"/>
      <c r="I104" s="4328"/>
      <c r="J104" s="1345"/>
      <c r="K104" s="1345"/>
      <c r="L104" s="3231"/>
      <c r="M104" s="3232"/>
      <c r="N104" s="84"/>
      <c r="O104" s="84"/>
      <c r="P104" s="71"/>
      <c r="Q104" s="3230"/>
    </row>
    <row r="105" spans="1:17" ht="15" customHeight="1" x14ac:dyDescent="0.25">
      <c r="A105" s="4326" t="s">
        <v>3158</v>
      </c>
      <c r="B105" s="4327"/>
      <c r="C105" s="4327"/>
      <c r="D105" s="4327"/>
      <c r="E105" s="4327"/>
      <c r="F105" s="4327"/>
      <c r="G105" s="4327"/>
      <c r="H105" s="4327"/>
      <c r="I105" s="4328"/>
      <c r="J105" s="1345"/>
      <c r="K105" s="1345"/>
      <c r="L105" s="3231"/>
      <c r="M105" s="3232"/>
      <c r="N105" s="84"/>
      <c r="O105" s="84"/>
      <c r="P105" s="71"/>
      <c r="Q105" s="3230"/>
    </row>
    <row r="106" spans="1:17" ht="15" customHeight="1" x14ac:dyDescent="0.25">
      <c r="A106" s="4326" t="s">
        <v>3159</v>
      </c>
      <c r="B106" s="4327"/>
      <c r="C106" s="4327"/>
      <c r="D106" s="4327"/>
      <c r="E106" s="4327"/>
      <c r="F106" s="4327"/>
      <c r="G106" s="4327"/>
      <c r="H106" s="4327"/>
      <c r="I106" s="4328"/>
      <c r="J106" s="1345"/>
      <c r="K106" s="1345"/>
      <c r="L106" s="3231"/>
      <c r="M106" s="3232"/>
      <c r="N106" s="84"/>
      <c r="O106" s="84"/>
      <c r="P106" s="71"/>
      <c r="Q106" s="3230"/>
    </row>
    <row r="107" spans="1:17" ht="15" customHeight="1" x14ac:dyDescent="0.25">
      <c r="A107" s="4326" t="s">
        <v>3167</v>
      </c>
      <c r="B107" s="4327"/>
      <c r="C107" s="4327"/>
      <c r="D107" s="4327"/>
      <c r="E107" s="4327"/>
      <c r="F107" s="4327"/>
      <c r="G107" s="4327"/>
      <c r="H107" s="4327"/>
      <c r="I107" s="4328"/>
      <c r="J107" s="1345"/>
      <c r="K107" s="1345"/>
      <c r="L107" s="3231"/>
      <c r="M107" s="3232"/>
      <c r="N107" s="84"/>
      <c r="O107" s="84"/>
      <c r="P107" s="71"/>
      <c r="Q107" s="3230"/>
    </row>
    <row r="108" spans="1:17" ht="15" customHeight="1" x14ac:dyDescent="0.25">
      <c r="A108" s="4326" t="s">
        <v>3166</v>
      </c>
      <c r="B108" s="4327"/>
      <c r="C108" s="4327"/>
      <c r="D108" s="4327"/>
      <c r="E108" s="4327"/>
      <c r="F108" s="4327"/>
      <c r="G108" s="4327"/>
      <c r="H108" s="4327"/>
      <c r="I108" s="4328"/>
      <c r="J108" s="1345"/>
      <c r="K108" s="1345"/>
      <c r="L108" s="3231"/>
      <c r="M108" s="3232"/>
      <c r="N108" s="84"/>
      <c r="O108" s="84"/>
      <c r="P108" s="71"/>
      <c r="Q108" s="3230"/>
    </row>
    <row r="109" spans="1:17" ht="15" customHeight="1" x14ac:dyDescent="0.25">
      <c r="A109" s="4326" t="s">
        <v>3204</v>
      </c>
      <c r="B109" s="4327"/>
      <c r="C109" s="4327"/>
      <c r="D109" s="4327"/>
      <c r="E109" s="4327"/>
      <c r="F109" s="4327"/>
      <c r="G109" s="4327"/>
      <c r="H109" s="4327"/>
      <c r="I109" s="4328"/>
      <c r="J109" s="1345"/>
      <c r="K109" s="1345"/>
      <c r="L109" s="3231"/>
      <c r="M109" s="3232"/>
      <c r="N109" s="84"/>
      <c r="O109" s="84"/>
      <c r="P109" s="71"/>
      <c r="Q109" s="3230"/>
    </row>
    <row r="110" spans="1:17" x14ac:dyDescent="0.25">
      <c r="A110" s="4223" t="s">
        <v>2500</v>
      </c>
      <c r="B110" s="4224"/>
      <c r="C110" s="4224"/>
      <c r="D110" s="4224"/>
      <c r="E110" s="4224"/>
      <c r="F110" s="4224"/>
      <c r="G110" s="4224"/>
      <c r="H110" s="4224"/>
      <c r="I110" s="4225"/>
      <c r="J110" s="1345"/>
      <c r="K110" s="1345"/>
      <c r="L110" s="3231"/>
      <c r="M110" s="3232"/>
      <c r="N110" s="84"/>
      <c r="O110" s="84"/>
      <c r="P110" s="71"/>
      <c r="Q110" s="3230"/>
    </row>
    <row r="111" spans="1:17" ht="26.25" customHeight="1" x14ac:dyDescent="0.25">
      <c r="A111" s="4223" t="s">
        <v>2501</v>
      </c>
      <c r="B111" s="4224"/>
      <c r="C111" s="4224"/>
      <c r="D111" s="4224"/>
      <c r="E111" s="4224"/>
      <c r="F111" s="4224"/>
      <c r="G111" s="4224"/>
      <c r="H111" s="4224"/>
      <c r="I111" s="4225"/>
      <c r="J111" s="1345"/>
      <c r="K111" s="1345"/>
      <c r="L111" s="3231"/>
      <c r="M111" s="3232"/>
      <c r="N111" s="84"/>
      <c r="O111" s="84"/>
      <c r="P111" s="71"/>
      <c r="Q111" s="3230"/>
    </row>
    <row r="112" spans="1:17" ht="24" customHeight="1" thickBot="1" x14ac:dyDescent="0.3">
      <c r="A112" s="4226" t="s">
        <v>2502</v>
      </c>
      <c r="B112" s="4227"/>
      <c r="C112" s="4227"/>
      <c r="D112" s="4227"/>
      <c r="E112" s="4227"/>
      <c r="F112" s="4227"/>
      <c r="G112" s="4227"/>
      <c r="H112" s="4227"/>
      <c r="I112" s="4228"/>
      <c r="J112" s="1345"/>
      <c r="K112" s="1345"/>
      <c r="L112" s="1345"/>
      <c r="M112" s="2511"/>
    </row>
  </sheetData>
  <mergeCells count="38">
    <mergeCell ref="A112:I112"/>
    <mergeCell ref="A98:I98"/>
    <mergeCell ref="A99:I99"/>
    <mergeCell ref="A100:I100"/>
    <mergeCell ref="A101:I101"/>
    <mergeCell ref="A102:I102"/>
    <mergeCell ref="A110:I110"/>
    <mergeCell ref="A106:I106"/>
    <mergeCell ref="A109:I109"/>
    <mergeCell ref="A103:I103"/>
    <mergeCell ref="A111:I111"/>
    <mergeCell ref="A108:I108"/>
    <mergeCell ref="A107:I107"/>
    <mergeCell ref="A104:I104"/>
    <mergeCell ref="A105:I105"/>
    <mergeCell ref="AC3:AD3"/>
    <mergeCell ref="A72:A75"/>
    <mergeCell ref="W3:X3"/>
    <mergeCell ref="A51:A54"/>
    <mergeCell ref="A28:A50"/>
    <mergeCell ref="Y3:Z3"/>
    <mergeCell ref="AA3:AB3"/>
    <mergeCell ref="B31:B36"/>
    <mergeCell ref="A97:I97"/>
    <mergeCell ref="G2:I2"/>
    <mergeCell ref="A3:B3"/>
    <mergeCell ref="D3:E3"/>
    <mergeCell ref="B20:B24"/>
    <mergeCell ref="B4:B16"/>
    <mergeCell ref="A4:A27"/>
    <mergeCell ref="A79:A80"/>
    <mergeCell ref="A76:A77"/>
    <mergeCell ref="A89:A91"/>
    <mergeCell ref="B89:B91"/>
    <mergeCell ref="B41:B42"/>
    <mergeCell ref="B83:B84"/>
    <mergeCell ref="A82:A87"/>
    <mergeCell ref="A55:A70"/>
  </mergeCells>
  <dataValidations count="3">
    <dataValidation type="whole" allowBlank="1" showInputMessage="1" showErrorMessage="1" promptTitle="Nº de módulos" prompt="Introduzca un valor entre 2 y 4" sqref="N2">
      <formula1>2</formula1>
      <formula2>4</formula2>
    </dataValidation>
    <dataValidation type="list" allowBlank="1" showInputMessage="1" showErrorMessage="1" sqref="L2">
      <formula1>$T$4:$T$10</formula1>
    </dataValidation>
    <dataValidation type="list" allowBlank="1" showInputMessage="1" showErrorMessage="1" sqref="P2:Q2 M2">
      <formula1>$S$4:$S$5</formula1>
    </dataValidation>
  </dataValidations>
  <pageMargins left="0.70866141732283472" right="0.70866141732283472" top="0.74803149606299213" bottom="0.74803149606299213" header="0.31496062992125984" footer="0.31496062992125984"/>
  <pageSetup paperSize="9" scale="46" orientation="landscape" horizontalDpi="200" verticalDpi="200" r:id="rId1"/>
  <ignoredErrors>
    <ignoredError sqref="H11:H12" twoDigitTextYear="1"/>
    <ignoredError sqref="N38 N45 O49 O44" formula="1"/>
  </ignoredErrors>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D111"/>
  <sheetViews>
    <sheetView topLeftCell="A56" zoomScale="80" zoomScaleNormal="80" zoomScaleSheetLayoutView="85" workbookViewId="0">
      <selection activeCell="C24" sqref="C24"/>
    </sheetView>
  </sheetViews>
  <sheetFormatPr baseColWidth="10" defaultRowHeight="15" x14ac:dyDescent="0.25"/>
  <cols>
    <col min="1" max="1" width="4.85546875" style="1342" customWidth="1"/>
    <col min="2" max="2" width="15.140625" style="1342" customWidth="1"/>
    <col min="3" max="3" width="16" style="1343" customWidth="1"/>
    <col min="4" max="4" width="69.5703125" style="2383" customWidth="1"/>
    <col min="5" max="5" width="50.28515625" style="1342" customWidth="1"/>
    <col min="6" max="6" width="14" style="1342" customWidth="1"/>
    <col min="7" max="7" width="11.28515625" style="1342" customWidth="1"/>
    <col min="8" max="8" width="9.7109375" style="1574" customWidth="1"/>
    <col min="9" max="9" width="4.7109375" style="1343" customWidth="1"/>
    <col min="10" max="11" width="8.42578125" style="1342" customWidth="1"/>
    <col min="12" max="12" width="11" style="1342" customWidth="1"/>
    <col min="13" max="13" width="11.42578125" style="751" customWidth="1"/>
    <col min="14" max="14" width="11.42578125" style="3215" customWidth="1"/>
    <col min="15" max="15" width="17.140625" style="3215" customWidth="1"/>
    <col min="16" max="16" width="14.42578125" style="1342" customWidth="1"/>
    <col min="17" max="17" width="17.42578125" style="751" customWidth="1"/>
    <col min="18" max="18" width="14.28515625" style="1342" customWidth="1"/>
    <col min="19" max="19" width="8" style="1342" customWidth="1"/>
    <col min="20" max="20" width="11.42578125" style="1342" customWidth="1"/>
    <col min="21" max="21" width="13.7109375" style="1342" customWidth="1"/>
    <col min="22" max="22" width="11.42578125" style="1342" customWidth="1"/>
    <col min="23" max="23" width="18.7109375" style="1342" customWidth="1"/>
    <col min="24" max="24" width="23.85546875" style="3724" customWidth="1"/>
    <col min="25" max="25" width="11.42578125" style="1342"/>
    <col min="26" max="26" width="23.7109375" style="3724" customWidth="1"/>
    <col min="27" max="27" width="11.42578125" style="1342"/>
    <col min="28" max="28" width="12.5703125" style="1342" customWidth="1"/>
    <col min="29" max="16384" width="11.42578125" style="1342"/>
  </cols>
  <sheetData>
    <row r="1" spans="1:30" ht="15.75" customHeight="1" thickBot="1" x14ac:dyDescent="0.3">
      <c r="A1" s="1343"/>
      <c r="B1" s="1360" t="s">
        <v>3107</v>
      </c>
      <c r="D1" s="1346" t="s">
        <v>3635</v>
      </c>
      <c r="L1" s="3203" t="s">
        <v>2949</v>
      </c>
      <c r="M1" s="3203" t="s">
        <v>2940</v>
      </c>
      <c r="N1" s="3203" t="s">
        <v>255</v>
      </c>
      <c r="O1" s="3111" t="s">
        <v>3278</v>
      </c>
      <c r="P1" s="3203" t="s">
        <v>3279</v>
      </c>
      <c r="Q1" s="3112" t="s">
        <v>3205</v>
      </c>
    </row>
    <row r="2" spans="1:30" ht="16.5" thickBot="1" x14ac:dyDescent="0.3">
      <c r="A2" s="1389" t="s">
        <v>2586</v>
      </c>
      <c r="B2" s="1384"/>
      <c r="C2" s="2390"/>
      <c r="D2" s="2380"/>
      <c r="E2" s="1384"/>
      <c r="F2" s="1384"/>
      <c r="G2" s="4289" t="s">
        <v>3922</v>
      </c>
      <c r="H2" s="4289"/>
      <c r="I2" s="4290"/>
      <c r="L2" s="3240" t="s">
        <v>2948</v>
      </c>
      <c r="M2" s="3240" t="s">
        <v>4148</v>
      </c>
      <c r="N2" s="3240" t="s">
        <v>2947</v>
      </c>
      <c r="O2" s="3109">
        <v>4</v>
      </c>
      <c r="P2" s="3240">
        <v>80</v>
      </c>
      <c r="Q2" s="3109" t="s">
        <v>3780</v>
      </c>
      <c r="R2" s="3559"/>
    </row>
    <row r="3" spans="1:30" s="2383" customFormat="1" ht="30.75" customHeight="1" thickBot="1" x14ac:dyDescent="0.3">
      <c r="A3" s="4315" t="s">
        <v>79</v>
      </c>
      <c r="B3" s="4316"/>
      <c r="C3" s="3200" t="s">
        <v>326</v>
      </c>
      <c r="D3" s="4317" t="s">
        <v>250</v>
      </c>
      <c r="E3" s="4318"/>
      <c r="F3" s="3200" t="s">
        <v>2481</v>
      </c>
      <c r="G3" s="3200" t="s">
        <v>2482</v>
      </c>
      <c r="H3" s="3200" t="s">
        <v>1281</v>
      </c>
      <c r="I3" s="3200" t="s">
        <v>1282</v>
      </c>
      <c r="J3" s="3728" t="s">
        <v>1380</v>
      </c>
      <c r="K3" s="3728" t="s">
        <v>3360</v>
      </c>
      <c r="L3" s="3728" t="s">
        <v>745</v>
      </c>
      <c r="M3" s="3242" t="s">
        <v>2449</v>
      </c>
      <c r="N3" s="3233" t="s">
        <v>959</v>
      </c>
      <c r="O3" s="3242" t="s">
        <v>2981</v>
      </c>
      <c r="P3" s="3242" t="s">
        <v>2980</v>
      </c>
      <c r="Q3" s="3242" t="s">
        <v>3175</v>
      </c>
      <c r="R3" s="3559" t="s">
        <v>2762</v>
      </c>
      <c r="U3" s="3728" t="s">
        <v>76</v>
      </c>
      <c r="W3" s="4325" t="s">
        <v>3489</v>
      </c>
      <c r="X3" s="4325"/>
      <c r="Y3" s="4325" t="s">
        <v>3490</v>
      </c>
      <c r="Z3" s="4325"/>
      <c r="AA3" s="4325" t="s">
        <v>3491</v>
      </c>
      <c r="AB3" s="4325"/>
      <c r="AC3" s="4325" t="s">
        <v>3492</v>
      </c>
      <c r="AD3" s="4325"/>
    </row>
    <row r="4" spans="1:30" ht="19.5" customHeight="1" thickBot="1" x14ac:dyDescent="0.3">
      <c r="A4" s="4217" t="s">
        <v>2483</v>
      </c>
      <c r="B4" s="4322" t="s">
        <v>263</v>
      </c>
      <c r="C4" s="2462">
        <v>106118976</v>
      </c>
      <c r="D4" s="2744" t="s">
        <v>3187</v>
      </c>
      <c r="E4" s="2745" t="s">
        <v>3188</v>
      </c>
      <c r="F4" s="2829">
        <v>1</v>
      </c>
      <c r="G4" s="2829"/>
      <c r="H4" s="2980" t="s">
        <v>3157</v>
      </c>
      <c r="I4" s="2395"/>
      <c r="J4" s="3347">
        <f>'Lista global'!I250</f>
        <v>137</v>
      </c>
      <c r="K4" s="3347">
        <f>'Lista global'!P250</f>
        <v>190.57499999999999</v>
      </c>
      <c r="L4" s="3347">
        <f>'Lista global'!Q250</f>
        <v>160.48421052631579</v>
      </c>
      <c r="M4" s="2453">
        <f>IF($N$2=$S$5,1,0)</f>
        <v>0</v>
      </c>
      <c r="N4" s="3124">
        <f>M4*($O$2*F4+G4)</f>
        <v>0</v>
      </c>
      <c r="O4" s="3118">
        <f>IF(ROUNDDOWN(($P$2*N4/4)/10,0)&lt;M4,M4,ROUNDDOWN(($P$2*N4/4)/10,0))</f>
        <v>0</v>
      </c>
      <c r="P4" s="3128">
        <f t="shared" ref="P4:P73" si="0">K4*O4</f>
        <v>0</v>
      </c>
      <c r="Q4" s="3568">
        <f t="shared" ref="Q4:Q11" si="1">L4*O4</f>
        <v>0</v>
      </c>
      <c r="R4" s="3230"/>
      <c r="S4" s="1383" t="s">
        <v>2947</v>
      </c>
      <c r="T4" s="1766" t="s">
        <v>2942</v>
      </c>
      <c r="U4" s="1342">
        <f>O4*J4</f>
        <v>0</v>
      </c>
      <c r="W4" s="1342" t="s">
        <v>3589</v>
      </c>
    </row>
    <row r="5" spans="1:30" ht="19.5" hidden="1" customHeight="1" x14ac:dyDescent="0.25">
      <c r="A5" s="4218"/>
      <c r="B5" s="4323"/>
      <c r="C5" s="2722">
        <v>106118967</v>
      </c>
      <c r="D5" s="3072" t="s">
        <v>3189</v>
      </c>
      <c r="E5" s="2108" t="s">
        <v>3190</v>
      </c>
      <c r="F5" s="2469">
        <v>1</v>
      </c>
      <c r="G5" s="2469"/>
      <c r="H5" s="2473"/>
      <c r="I5" s="2474"/>
      <c r="J5" s="3347">
        <f>'Lista global'!I263</f>
        <v>110.3111111111111</v>
      </c>
      <c r="K5" s="3347">
        <f>'Lista global'!P263</f>
        <v>137.89999999999998</v>
      </c>
      <c r="L5" s="3347">
        <f>'Lista global'!Q263</f>
        <v>116.12631578947368</v>
      </c>
      <c r="M5" s="2473" t="s">
        <v>0</v>
      </c>
      <c r="N5" s="3124">
        <f t="shared" ref="N5:N60" si="2">$O$2*F5+G5</f>
        <v>4</v>
      </c>
      <c r="O5" s="1463">
        <v>0</v>
      </c>
      <c r="P5" s="3134">
        <f t="shared" si="0"/>
        <v>0</v>
      </c>
      <c r="Q5" s="3568">
        <f t="shared" si="1"/>
        <v>0</v>
      </c>
      <c r="R5" s="3230"/>
      <c r="S5" s="1383" t="s">
        <v>2948</v>
      </c>
      <c r="T5" s="1766" t="s">
        <v>2943</v>
      </c>
      <c r="U5" s="1342">
        <f t="shared" ref="U5:U76" si="3">O5*J5</f>
        <v>0</v>
      </c>
      <c r="W5" s="1342" t="s">
        <v>3589</v>
      </c>
      <c r="X5" s="3724" t="s">
        <v>3587</v>
      </c>
    </row>
    <row r="6" spans="1:30" ht="19.5" hidden="1" customHeight="1" x14ac:dyDescent="0.25">
      <c r="A6" s="4218"/>
      <c r="B6" s="4323"/>
      <c r="C6" s="3025">
        <v>106118986</v>
      </c>
      <c r="D6" s="2724" t="s">
        <v>2526</v>
      </c>
      <c r="E6" s="2749" t="s">
        <v>2517</v>
      </c>
      <c r="F6" s="2729">
        <v>1</v>
      </c>
      <c r="G6" s="2729"/>
      <c r="H6" s="2731"/>
      <c r="I6" s="2452"/>
      <c r="J6" s="3347">
        <f>'Lista global'!I164</f>
        <v>9.4444444444444446</v>
      </c>
      <c r="K6" s="3347">
        <f>'Lista global'!P164</f>
        <v>11.8375</v>
      </c>
      <c r="L6" s="3347">
        <f>'Lista global'!Q164</f>
        <v>9.9684210526315802</v>
      </c>
      <c r="M6" s="2731" t="s">
        <v>0</v>
      </c>
      <c r="N6" s="3124">
        <f t="shared" si="2"/>
        <v>4</v>
      </c>
      <c r="O6" s="2728">
        <v>0</v>
      </c>
      <c r="P6" s="3135">
        <f t="shared" si="0"/>
        <v>0</v>
      </c>
      <c r="Q6" s="3568">
        <f t="shared" si="1"/>
        <v>0</v>
      </c>
      <c r="R6" s="3230"/>
      <c r="S6" s="1342" t="s">
        <v>3780</v>
      </c>
      <c r="T6" s="1766" t="s">
        <v>3027</v>
      </c>
      <c r="U6" s="1342">
        <f t="shared" si="3"/>
        <v>0</v>
      </c>
      <c r="W6" s="1342" t="s">
        <v>3589</v>
      </c>
      <c r="X6" s="3724" t="s">
        <v>3590</v>
      </c>
    </row>
    <row r="7" spans="1:30" ht="19.5" hidden="1" customHeight="1" x14ac:dyDescent="0.25">
      <c r="A7" s="4218"/>
      <c r="B7" s="4323"/>
      <c r="C7" s="3555">
        <v>106119494</v>
      </c>
      <c r="D7" s="2873" t="s">
        <v>2525</v>
      </c>
      <c r="E7" s="2749" t="s">
        <v>2518</v>
      </c>
      <c r="F7" s="2729">
        <v>1</v>
      </c>
      <c r="G7" s="2729"/>
      <c r="H7" s="2731"/>
      <c r="I7" s="2452"/>
      <c r="J7" s="3347">
        <f>'Lista global'!I264</f>
        <v>5</v>
      </c>
      <c r="K7" s="3347">
        <f>'Lista global'!P264</f>
        <v>6.25</v>
      </c>
      <c r="L7" s="3347">
        <f>'Lista global'!Q264</f>
        <v>5.2631578947368425</v>
      </c>
      <c r="M7" s="2731" t="s">
        <v>0</v>
      </c>
      <c r="N7" s="3124">
        <f t="shared" si="2"/>
        <v>4</v>
      </c>
      <c r="O7" s="2728">
        <v>0</v>
      </c>
      <c r="P7" s="3135">
        <f t="shared" si="0"/>
        <v>0</v>
      </c>
      <c r="Q7" s="3568">
        <f t="shared" si="1"/>
        <v>0</v>
      </c>
      <c r="R7" s="3230"/>
      <c r="T7" s="1766" t="s">
        <v>2944</v>
      </c>
      <c r="U7" s="1342">
        <f t="shared" si="3"/>
        <v>0</v>
      </c>
      <c r="W7" s="1342" t="s">
        <v>3589</v>
      </c>
      <c r="X7" s="3724" t="s">
        <v>3588</v>
      </c>
    </row>
    <row r="8" spans="1:30" ht="19.5" hidden="1" customHeight="1" x14ac:dyDescent="0.25">
      <c r="A8" s="4218"/>
      <c r="B8" s="4323"/>
      <c r="C8" s="3555">
        <v>106118968</v>
      </c>
      <c r="D8" s="2873" t="s">
        <v>2524</v>
      </c>
      <c r="E8" s="2749" t="s">
        <v>2519</v>
      </c>
      <c r="F8" s="2729">
        <v>1</v>
      </c>
      <c r="G8" s="2729"/>
      <c r="H8" s="2731"/>
      <c r="I8" s="2452"/>
      <c r="J8" s="3347">
        <f>'Lista global'!I265</f>
        <v>4.3666666666666671</v>
      </c>
      <c r="K8" s="3347">
        <f>'Lista global'!P265</f>
        <v>5.4624999999999995</v>
      </c>
      <c r="L8" s="3347">
        <f>'Lista global'!Q265</f>
        <v>4.6000000000000005</v>
      </c>
      <c r="M8" s="2731" t="s">
        <v>0</v>
      </c>
      <c r="N8" s="3124">
        <f t="shared" si="2"/>
        <v>4</v>
      </c>
      <c r="O8" s="2728">
        <v>0</v>
      </c>
      <c r="P8" s="3135">
        <f t="shared" si="0"/>
        <v>0</v>
      </c>
      <c r="Q8" s="3568">
        <f t="shared" si="1"/>
        <v>0</v>
      </c>
      <c r="R8" s="3230"/>
      <c r="T8" s="1766" t="s">
        <v>2945</v>
      </c>
      <c r="U8" s="1342">
        <f t="shared" si="3"/>
        <v>0</v>
      </c>
      <c r="W8" s="1342" t="s">
        <v>3589</v>
      </c>
      <c r="X8" s="3724" t="s">
        <v>3591</v>
      </c>
    </row>
    <row r="9" spans="1:30" ht="19.5" hidden="1" customHeight="1" x14ac:dyDescent="0.25">
      <c r="A9" s="4218"/>
      <c r="B9" s="4323"/>
      <c r="C9" s="3555">
        <v>106118969</v>
      </c>
      <c r="D9" s="2873" t="s">
        <v>2523</v>
      </c>
      <c r="E9" s="2749" t="s">
        <v>2520</v>
      </c>
      <c r="F9" s="2729">
        <v>1</v>
      </c>
      <c r="G9" s="2729"/>
      <c r="H9" s="2731"/>
      <c r="I9" s="2452"/>
      <c r="J9" s="3347">
        <f>'Lista global'!I266</f>
        <v>4.3666666666666671</v>
      </c>
      <c r="K9" s="3347">
        <f>'Lista global'!P266</f>
        <v>5.4624999999999995</v>
      </c>
      <c r="L9" s="3347">
        <f>'Lista global'!Q266</f>
        <v>4.6000000000000005</v>
      </c>
      <c r="M9" s="2731" t="s">
        <v>0</v>
      </c>
      <c r="N9" s="3124">
        <f t="shared" si="2"/>
        <v>4</v>
      </c>
      <c r="O9" s="2728">
        <v>0</v>
      </c>
      <c r="P9" s="3135">
        <f t="shared" si="0"/>
        <v>0</v>
      </c>
      <c r="Q9" s="3568">
        <f t="shared" si="1"/>
        <v>0</v>
      </c>
      <c r="R9" s="3230"/>
      <c r="T9" s="1766" t="s">
        <v>2946</v>
      </c>
      <c r="U9" s="1342">
        <f t="shared" si="3"/>
        <v>0</v>
      </c>
      <c r="W9" s="1342" t="s">
        <v>3589</v>
      </c>
      <c r="X9" s="3724" t="s">
        <v>3592</v>
      </c>
    </row>
    <row r="10" spans="1:30" ht="19.5" hidden="1" customHeight="1" thickBot="1" x14ac:dyDescent="0.3">
      <c r="A10" s="4218"/>
      <c r="B10" s="4323"/>
      <c r="C10" s="3556">
        <v>106118975</v>
      </c>
      <c r="D10" s="2454" t="s">
        <v>2522</v>
      </c>
      <c r="E10" s="2105" t="s">
        <v>2521</v>
      </c>
      <c r="F10" s="2394">
        <v>1</v>
      </c>
      <c r="G10" s="2394"/>
      <c r="H10" s="2106"/>
      <c r="I10" s="3063"/>
      <c r="J10" s="3347">
        <f>'Lista global'!I267</f>
        <v>3.333333333333333</v>
      </c>
      <c r="K10" s="3347">
        <f>'Lista global'!P267</f>
        <v>4.1749999999999998</v>
      </c>
      <c r="L10" s="3347">
        <f>'Lista global'!Q267</f>
        <v>3.5157894736842104</v>
      </c>
      <c r="M10" s="2453" t="s">
        <v>0</v>
      </c>
      <c r="N10" s="3124">
        <f t="shared" si="2"/>
        <v>4</v>
      </c>
      <c r="O10" s="3142">
        <v>0</v>
      </c>
      <c r="P10" s="3566">
        <f t="shared" si="0"/>
        <v>0</v>
      </c>
      <c r="Q10" s="3568">
        <f t="shared" si="1"/>
        <v>0</v>
      </c>
      <c r="R10" s="3230"/>
      <c r="T10" s="1766" t="s">
        <v>3028</v>
      </c>
      <c r="U10" s="1342">
        <f t="shared" si="3"/>
        <v>0</v>
      </c>
      <c r="W10" s="1342" t="s">
        <v>3589</v>
      </c>
      <c r="X10" s="3724" t="s">
        <v>3593</v>
      </c>
    </row>
    <row r="11" spans="1:30" ht="19.5" customHeight="1" thickBot="1" x14ac:dyDescent="0.3">
      <c r="A11" s="4218"/>
      <c r="B11" s="4323"/>
      <c r="C11" s="2462">
        <v>106207101</v>
      </c>
      <c r="D11" s="2744" t="s">
        <v>3201</v>
      </c>
      <c r="E11" s="2745" t="s">
        <v>3202</v>
      </c>
      <c r="F11" s="2829"/>
      <c r="G11" s="2829">
        <v>1</v>
      </c>
      <c r="H11" s="2830" t="s">
        <v>3160</v>
      </c>
      <c r="I11" s="3561"/>
      <c r="J11" s="3347">
        <f>'Lista global'!I355</f>
        <v>698.36666666666667</v>
      </c>
      <c r="K11" s="3347">
        <f>'Lista global'!P355</f>
        <v>872.96249999999998</v>
      </c>
      <c r="L11" s="3347">
        <f>'Lista global'!Q355</f>
        <v>735.12631578947378</v>
      </c>
      <c r="M11" s="2381">
        <f>IF(AND($N$2=$S$4,$O$2=2),1,0)</f>
        <v>0</v>
      </c>
      <c r="N11" s="3124">
        <f>M11*($O$2*F11+G11)</f>
        <v>0</v>
      </c>
      <c r="O11" s="3118">
        <f>IF(ROUNDDOWN(($P$2*N11/4)/10,0)&lt;M11,M11,ROUNDDOWN(($P$2*N11/4)/10,0))</f>
        <v>0</v>
      </c>
      <c r="P11" s="3128">
        <f t="shared" si="0"/>
        <v>0</v>
      </c>
      <c r="Q11" s="3568">
        <f t="shared" si="1"/>
        <v>0</v>
      </c>
      <c r="R11" s="3230"/>
      <c r="T11" s="1766" t="s">
        <v>4148</v>
      </c>
      <c r="U11" s="1342">
        <v>0</v>
      </c>
      <c r="W11" s="1342" t="s">
        <v>3589</v>
      </c>
    </row>
    <row r="12" spans="1:30" ht="19.5" customHeight="1" thickBot="1" x14ac:dyDescent="0.3">
      <c r="A12" s="4218"/>
      <c r="B12" s="4323"/>
      <c r="C12" s="2757">
        <v>106204784</v>
      </c>
      <c r="D12" s="2744" t="s">
        <v>2938</v>
      </c>
      <c r="E12" s="2745" t="s">
        <v>2939</v>
      </c>
      <c r="F12" s="2829"/>
      <c r="G12" s="2829">
        <v>1</v>
      </c>
      <c r="H12" s="2830" t="s">
        <v>3161</v>
      </c>
      <c r="I12" s="3561"/>
      <c r="J12" s="3564">
        <f>'Lista global'!I278</f>
        <v>994.80000000000007</v>
      </c>
      <c r="K12" s="3564">
        <f>'Lista global'!P278</f>
        <v>1243.2249999999999</v>
      </c>
      <c r="L12" s="3564">
        <f>'Lista global'!Q278</f>
        <v>1046.9263157894738</v>
      </c>
      <c r="M12" s="2381">
        <f>IF(AND($N$2=$S$4,OR($O$2=3,$O$2=4)),1,0)</f>
        <v>1</v>
      </c>
      <c r="N12" s="3124">
        <f>M12*($O$2*F12+G12)</f>
        <v>1</v>
      </c>
      <c r="O12" s="3118">
        <f>IF(ROUNDDOWN(($P$2*N12/4)/10,0)&lt;M12,M12,ROUNDDOWN(($P$2*N12/4)/10,0))</f>
        <v>2</v>
      </c>
      <c r="P12" s="3128">
        <f t="shared" si="0"/>
        <v>2486.4499999999998</v>
      </c>
      <c r="Q12" s="3568">
        <f>L12*O12</f>
        <v>2093.8526315789477</v>
      </c>
      <c r="R12" s="3230"/>
      <c r="T12" s="1766"/>
      <c r="U12" s="1342">
        <f t="shared" si="3"/>
        <v>1989.6000000000001</v>
      </c>
      <c r="W12" s="1342" t="s">
        <v>3589</v>
      </c>
    </row>
    <row r="13" spans="1:30" ht="19.5" hidden="1" customHeight="1" x14ac:dyDescent="0.25">
      <c r="A13" s="4218"/>
      <c r="B13" s="4323"/>
      <c r="C13" s="3169">
        <v>106118132</v>
      </c>
      <c r="D13" s="3072" t="s">
        <v>2975</v>
      </c>
      <c r="E13" s="2108" t="s">
        <v>2976</v>
      </c>
      <c r="F13" s="3060"/>
      <c r="G13" s="3060">
        <v>1</v>
      </c>
      <c r="H13" s="3367"/>
      <c r="I13" s="3560"/>
      <c r="J13" s="3565"/>
      <c r="K13" s="3564"/>
      <c r="L13" s="3564"/>
      <c r="M13" s="2397" t="s">
        <v>0</v>
      </c>
      <c r="N13" s="3124">
        <v>1</v>
      </c>
      <c r="O13" s="1463">
        <v>0</v>
      </c>
      <c r="P13" s="3135">
        <f t="shared" si="0"/>
        <v>0</v>
      </c>
      <c r="Q13" s="3568">
        <f t="shared" ref="Q13:Q76" si="4">L13*O13</f>
        <v>0</v>
      </c>
      <c r="R13" s="3230"/>
      <c r="T13" s="1766"/>
      <c r="U13" s="1342">
        <f t="shared" si="3"/>
        <v>0</v>
      </c>
      <c r="W13" s="1342" t="s">
        <v>3589</v>
      </c>
      <c r="X13" s="3724" t="s">
        <v>3594</v>
      </c>
    </row>
    <row r="14" spans="1:30" ht="19.5" hidden="1" customHeight="1" x14ac:dyDescent="0.25">
      <c r="A14" s="4218"/>
      <c r="B14" s="4323"/>
      <c r="C14" s="3562">
        <v>106119671</v>
      </c>
      <c r="D14" s="3072" t="s">
        <v>2977</v>
      </c>
      <c r="E14" s="2108" t="s">
        <v>2978</v>
      </c>
      <c r="F14" s="3060"/>
      <c r="G14" s="3060">
        <v>1</v>
      </c>
      <c r="H14" s="3367"/>
      <c r="I14" s="3560"/>
      <c r="J14" s="3565"/>
      <c r="K14" s="3564"/>
      <c r="L14" s="3564"/>
      <c r="M14" s="2731" t="s">
        <v>0</v>
      </c>
      <c r="N14" s="3124">
        <v>1</v>
      </c>
      <c r="O14" s="2728">
        <v>0</v>
      </c>
      <c r="P14" s="3135">
        <f t="shared" si="0"/>
        <v>0</v>
      </c>
      <c r="Q14" s="3568">
        <f t="shared" si="4"/>
        <v>0</v>
      </c>
      <c r="R14" s="3230"/>
      <c r="T14" s="1766"/>
      <c r="U14" s="1342">
        <f t="shared" si="3"/>
        <v>0</v>
      </c>
      <c r="W14" s="1342" t="s">
        <v>3589</v>
      </c>
      <c r="X14" s="3724" t="s">
        <v>3595</v>
      </c>
    </row>
    <row r="15" spans="1:30" ht="19.5" hidden="1" customHeight="1" x14ac:dyDescent="0.25">
      <c r="A15" s="4218"/>
      <c r="B15" s="4323"/>
      <c r="C15" s="3562">
        <v>106119673</v>
      </c>
      <c r="D15" s="2832" t="s">
        <v>2807</v>
      </c>
      <c r="E15" s="2749" t="s">
        <v>2808</v>
      </c>
      <c r="F15" s="3060"/>
      <c r="G15" s="3060">
        <v>1</v>
      </c>
      <c r="H15" s="3367"/>
      <c r="I15" s="3560"/>
      <c r="J15" s="3565"/>
      <c r="K15" s="3564"/>
      <c r="L15" s="3564"/>
      <c r="M15" s="2731" t="s">
        <v>0</v>
      </c>
      <c r="N15" s="3124">
        <v>1</v>
      </c>
      <c r="O15" s="2728">
        <v>0</v>
      </c>
      <c r="P15" s="3135">
        <f t="shared" si="0"/>
        <v>0</v>
      </c>
      <c r="Q15" s="3568">
        <f t="shared" si="4"/>
        <v>0</v>
      </c>
      <c r="R15" s="3230"/>
      <c r="T15" s="1766"/>
      <c r="U15" s="1342">
        <f t="shared" si="3"/>
        <v>0</v>
      </c>
      <c r="W15" s="1342" t="s">
        <v>3589</v>
      </c>
      <c r="X15" s="3724" t="s">
        <v>3596</v>
      </c>
    </row>
    <row r="16" spans="1:30" ht="19.5" hidden="1" customHeight="1" thickBot="1" x14ac:dyDescent="0.3">
      <c r="A16" s="4218"/>
      <c r="B16" s="4324"/>
      <c r="C16" s="2499">
        <v>106120955</v>
      </c>
      <c r="D16" s="2104" t="s">
        <v>2809</v>
      </c>
      <c r="E16" s="2105" t="s">
        <v>2810</v>
      </c>
      <c r="F16" s="2387"/>
      <c r="G16" s="2387">
        <v>1</v>
      </c>
      <c r="H16" s="3142"/>
      <c r="I16" s="3563"/>
      <c r="J16" s="3565"/>
      <c r="K16" s="3564"/>
      <c r="L16" s="3564"/>
      <c r="M16" s="2381" t="s">
        <v>0</v>
      </c>
      <c r="N16" s="3124">
        <v>1</v>
      </c>
      <c r="O16" s="3142">
        <v>0</v>
      </c>
      <c r="P16" s="3136">
        <f t="shared" si="0"/>
        <v>0</v>
      </c>
      <c r="Q16" s="3568">
        <f t="shared" si="4"/>
        <v>0</v>
      </c>
      <c r="R16" s="3230"/>
      <c r="T16" s="1766"/>
      <c r="U16" s="1342">
        <f t="shared" si="3"/>
        <v>0</v>
      </c>
      <c r="W16" s="1342" t="s">
        <v>3589</v>
      </c>
      <c r="X16" s="3724" t="s">
        <v>3597</v>
      </c>
    </row>
    <row r="17" spans="1:30" ht="19.5" customHeight="1" thickBot="1" x14ac:dyDescent="0.3">
      <c r="A17" s="4218"/>
      <c r="B17" s="3727" t="s">
        <v>3164</v>
      </c>
      <c r="C17" s="2763">
        <v>106105692</v>
      </c>
      <c r="D17" s="2724" t="s">
        <v>3210</v>
      </c>
      <c r="E17" s="2749" t="s">
        <v>3211</v>
      </c>
      <c r="F17" s="2449"/>
      <c r="G17" s="2449">
        <v>1</v>
      </c>
      <c r="H17" s="1463">
        <v>7</v>
      </c>
      <c r="I17" s="2463"/>
      <c r="J17" s="3564">
        <f>'Lista global'!I280</f>
        <v>3.5666666666666664</v>
      </c>
      <c r="K17" s="3564">
        <f>'Lista global'!P280</f>
        <v>4.4624999999999995</v>
      </c>
      <c r="L17" s="3564">
        <f>'Lista global'!Q280</f>
        <v>3.7578947368421054</v>
      </c>
      <c r="M17" s="2381">
        <f>IF($N$2=$S$4,1,0)</f>
        <v>1</v>
      </c>
      <c r="N17" s="3124">
        <f>M17*($O$2*F17+G17)</f>
        <v>1</v>
      </c>
      <c r="O17" s="3120">
        <f>IF($P$2&lt;6,M17,IF($P$2&lt;11,3*M17,$O$12*M17*5))</f>
        <v>10</v>
      </c>
      <c r="P17" s="3125">
        <f t="shared" si="0"/>
        <v>44.624999999999993</v>
      </c>
      <c r="Q17" s="3568">
        <f t="shared" si="4"/>
        <v>37.578947368421055</v>
      </c>
      <c r="R17" s="3230"/>
      <c r="T17" s="1766"/>
      <c r="U17" s="1342">
        <f t="shared" si="3"/>
        <v>35.666666666666664</v>
      </c>
      <c r="W17" s="1342" t="s">
        <v>3551</v>
      </c>
      <c r="X17" s="3725" t="s">
        <v>3600</v>
      </c>
    </row>
    <row r="18" spans="1:30" ht="19.5" customHeight="1" thickBot="1" x14ac:dyDescent="0.3">
      <c r="A18" s="4218"/>
      <c r="B18" s="3145" t="s">
        <v>2803</v>
      </c>
      <c r="C18" s="3032">
        <v>106125859</v>
      </c>
      <c r="D18" s="2724" t="s">
        <v>3875</v>
      </c>
      <c r="E18" s="2733" t="s">
        <v>3876</v>
      </c>
      <c r="F18" s="3060"/>
      <c r="G18" s="3060">
        <v>1</v>
      </c>
      <c r="H18" s="3367" t="s">
        <v>3165</v>
      </c>
      <c r="I18" s="3560"/>
      <c r="J18" s="3564">
        <f>'Lista global'!I365</f>
        <v>47.89</v>
      </c>
      <c r="K18" s="3564">
        <f>'Lista global'!P365</f>
        <v>59.862499999999997</v>
      </c>
      <c r="L18" s="3564">
        <f>'Lista global'!Q365</f>
        <v>50.410526315789475</v>
      </c>
      <c r="M18" s="2381">
        <f>IF($N$2=$S$4,1,0)</f>
        <v>1</v>
      </c>
      <c r="N18" s="3124">
        <f>M18*($O$2*F18+G18)</f>
        <v>1</v>
      </c>
      <c r="O18" s="3115">
        <f>IF($P$2&lt;6,M18,IF($P$2&lt;11,3*M18,$O$12*M18*5))</f>
        <v>10</v>
      </c>
      <c r="P18" s="3128">
        <f t="shared" si="0"/>
        <v>598.625</v>
      </c>
      <c r="Q18" s="3568">
        <f t="shared" si="4"/>
        <v>504.10526315789474</v>
      </c>
      <c r="R18" s="3230"/>
      <c r="T18" s="1766"/>
      <c r="U18" s="1342">
        <f t="shared" si="3"/>
        <v>478.9</v>
      </c>
      <c r="W18" s="1342" t="s">
        <v>3526</v>
      </c>
      <c r="X18" s="3724" t="s">
        <v>3878</v>
      </c>
    </row>
    <row r="19" spans="1:30" ht="19.5" customHeight="1" thickBot="1" x14ac:dyDescent="0.3">
      <c r="A19" s="4218"/>
      <c r="B19" s="2386" t="s">
        <v>261</v>
      </c>
      <c r="C19" s="2755">
        <v>106114701</v>
      </c>
      <c r="D19" s="2457" t="s">
        <v>1243</v>
      </c>
      <c r="E19" s="2458" t="s">
        <v>1244</v>
      </c>
      <c r="F19" s="2459">
        <v>1</v>
      </c>
      <c r="G19" s="2460"/>
      <c r="H19" s="2461" t="s">
        <v>3203</v>
      </c>
      <c r="I19" s="2494"/>
      <c r="J19" s="3564">
        <f>'Lista global'!I146</f>
        <v>74.277777777777771</v>
      </c>
      <c r="K19" s="3564">
        <f>'Lista global'!P146</f>
        <v>92.85</v>
      </c>
      <c r="L19" s="3564">
        <f>'Lista global'!Q146</f>
        <v>78.189473684210526</v>
      </c>
      <c r="M19" s="2980">
        <v>1</v>
      </c>
      <c r="N19" s="3124">
        <f>IF($N$2=$S$5,$O$2*F19+G19,1)</f>
        <v>1</v>
      </c>
      <c r="O19" s="3116">
        <f>IF(ROUND(N19*$P$2/4,0)&lt;M19,M19,ROUND(N19*$P$2/4,0))</f>
        <v>20</v>
      </c>
      <c r="P19" s="3126">
        <f t="shared" si="0"/>
        <v>1857</v>
      </c>
      <c r="Q19" s="3568">
        <f t="shared" si="4"/>
        <v>1563.7894736842104</v>
      </c>
      <c r="R19" s="3230"/>
      <c r="U19" s="1342">
        <f t="shared" si="3"/>
        <v>1485.5555555555554</v>
      </c>
      <c r="W19" s="1342" t="s">
        <v>3516</v>
      </c>
      <c r="X19" s="3724" t="s">
        <v>3534</v>
      </c>
      <c r="Y19" s="1342" t="s">
        <v>3535</v>
      </c>
      <c r="Z19" s="3724" t="s">
        <v>3536</v>
      </c>
    </row>
    <row r="20" spans="1:30" ht="19.5" customHeight="1" thickBot="1" x14ac:dyDescent="0.3">
      <c r="A20" s="4218"/>
      <c r="B20" s="4322" t="s">
        <v>71</v>
      </c>
      <c r="C20" s="3094">
        <v>106208154</v>
      </c>
      <c r="D20" s="1396" t="s">
        <v>2512</v>
      </c>
      <c r="E20" s="4101" t="s">
        <v>2513</v>
      </c>
      <c r="F20" s="2449"/>
      <c r="G20" s="1463">
        <v>1</v>
      </c>
      <c r="H20" s="2397" t="s">
        <v>3807</v>
      </c>
      <c r="I20" s="2398"/>
      <c r="J20" s="3347">
        <f>'Lista global'!I375</f>
        <v>1404.43</v>
      </c>
      <c r="K20" s="3347">
        <f>'Lista global'!P375</f>
        <v>1755.5374999999999</v>
      </c>
      <c r="L20" s="3347">
        <f>'Lista global'!Q375</f>
        <v>1478.3473684210528</v>
      </c>
      <c r="M20" s="2980">
        <f>IF($Q$2=$S$4,1,0)</f>
        <v>0</v>
      </c>
      <c r="N20" s="3124">
        <f>IF($Q$2=$S$4,$O$2*F20+G20,0)</f>
        <v>0</v>
      </c>
      <c r="O20" s="3116">
        <f>IF(ROUNDDOWN(N20*$P$2/20,0)&lt;M20,M20,ROUNDDOWN(N20*$P$2/20,0))</f>
        <v>0</v>
      </c>
      <c r="P20" s="3126">
        <f t="shared" si="0"/>
        <v>0</v>
      </c>
      <c r="Q20" s="3568">
        <f t="shared" si="4"/>
        <v>0</v>
      </c>
      <c r="R20" s="3230"/>
    </row>
    <row r="21" spans="1:30" ht="19.5" hidden="1" customHeight="1" thickBot="1" x14ac:dyDescent="0.3">
      <c r="A21" s="4218"/>
      <c r="B21" s="4323"/>
      <c r="C21" s="2496">
        <v>106204781</v>
      </c>
      <c r="D21" s="3746" t="s">
        <v>3640</v>
      </c>
      <c r="E21" s="2468" t="s">
        <v>2509</v>
      </c>
      <c r="F21" s="2109"/>
      <c r="G21" s="2469">
        <v>1</v>
      </c>
      <c r="H21" s="2109" t="s">
        <v>3806</v>
      </c>
      <c r="I21" s="2470"/>
      <c r="J21" s="3347"/>
      <c r="K21" s="3347"/>
      <c r="L21" s="3347">
        <f>'Lista global'!Q268</f>
        <v>1822.7263157894736</v>
      </c>
      <c r="M21" s="2980" t="s">
        <v>0</v>
      </c>
      <c r="N21" s="3124">
        <f>IF($Q$2=$S$4,$O$2*F21+G21,0)</f>
        <v>0</v>
      </c>
      <c r="O21" s="3142">
        <v>0</v>
      </c>
      <c r="P21" s="3566">
        <f t="shared" si="0"/>
        <v>0</v>
      </c>
      <c r="Q21" s="3568">
        <f t="shared" si="4"/>
        <v>0</v>
      </c>
      <c r="R21" s="3230" t="s">
        <v>2309</v>
      </c>
      <c r="U21" s="1342">
        <f t="shared" si="3"/>
        <v>0</v>
      </c>
      <c r="W21" s="1342" t="s">
        <v>3538</v>
      </c>
    </row>
    <row r="22" spans="1:30" ht="19.5" hidden="1" customHeight="1" x14ac:dyDescent="0.25">
      <c r="A22" s="4218"/>
      <c r="B22" s="4323"/>
      <c r="C22" s="2722">
        <v>106101365</v>
      </c>
      <c r="D22" s="2467" t="s">
        <v>2504</v>
      </c>
      <c r="E22" s="2468" t="s">
        <v>2505</v>
      </c>
      <c r="F22" s="2109"/>
      <c r="G22" s="2469">
        <v>1</v>
      </c>
      <c r="H22" s="2109">
        <v>2</v>
      </c>
      <c r="I22" s="2470"/>
      <c r="J22" s="3347"/>
      <c r="K22" s="3347"/>
      <c r="L22" s="3347">
        <f>'Lista global'!Q269</f>
        <v>1706.5473684210529</v>
      </c>
      <c r="M22" s="2473" t="s">
        <v>0</v>
      </c>
      <c r="N22" s="3124">
        <f t="shared" si="2"/>
        <v>1</v>
      </c>
      <c r="O22" s="2728">
        <v>0</v>
      </c>
      <c r="P22" s="3135">
        <f t="shared" si="0"/>
        <v>0</v>
      </c>
      <c r="Q22" s="3568">
        <f t="shared" si="4"/>
        <v>0</v>
      </c>
      <c r="R22" s="3230"/>
      <c r="U22" s="1342">
        <f t="shared" si="3"/>
        <v>0</v>
      </c>
      <c r="W22" s="1342" t="s">
        <v>3538</v>
      </c>
      <c r="X22" s="3724">
        <v>33482</v>
      </c>
    </row>
    <row r="23" spans="1:30" ht="19.5" hidden="1" customHeight="1" x14ac:dyDescent="0.25">
      <c r="A23" s="4218"/>
      <c r="B23" s="4323"/>
      <c r="C23" s="3025">
        <v>106104092</v>
      </c>
      <c r="D23" s="2832" t="s">
        <v>1361</v>
      </c>
      <c r="E23" s="2749" t="s">
        <v>1362</v>
      </c>
      <c r="F23" s="2728"/>
      <c r="G23" s="2729">
        <v>1</v>
      </c>
      <c r="H23" s="2728">
        <v>2</v>
      </c>
      <c r="I23" s="2464"/>
      <c r="J23" s="3347"/>
      <c r="K23" s="3347"/>
      <c r="L23" s="3347">
        <f>'Lista global'!Q16</f>
        <v>5.957894736842106</v>
      </c>
      <c r="M23" s="2731" t="s">
        <v>0</v>
      </c>
      <c r="N23" s="3124">
        <f t="shared" si="2"/>
        <v>1</v>
      </c>
      <c r="O23" s="2728">
        <v>0</v>
      </c>
      <c r="P23" s="3135">
        <f t="shared" si="0"/>
        <v>0</v>
      </c>
      <c r="Q23" s="3568">
        <f t="shared" si="4"/>
        <v>0</v>
      </c>
      <c r="R23" s="3230"/>
      <c r="U23" s="1342">
        <f t="shared" si="3"/>
        <v>0</v>
      </c>
      <c r="W23" s="1342" t="s">
        <v>3538</v>
      </c>
      <c r="X23" s="3724" t="s">
        <v>3541</v>
      </c>
    </row>
    <row r="24" spans="1:30" ht="19.5" hidden="1" customHeight="1" x14ac:dyDescent="0.25">
      <c r="A24" s="4218"/>
      <c r="B24" s="4323"/>
      <c r="C24" s="3025">
        <v>106101464</v>
      </c>
      <c r="D24" s="2724" t="s">
        <v>2542</v>
      </c>
      <c r="E24" s="2117" t="s">
        <v>2543</v>
      </c>
      <c r="F24" s="2728"/>
      <c r="G24" s="2729">
        <v>1</v>
      </c>
      <c r="H24" s="2728">
        <v>2</v>
      </c>
      <c r="I24" s="2464"/>
      <c r="J24" s="3347"/>
      <c r="K24" s="3347"/>
      <c r="L24" s="3347">
        <f>'Lista global'!Q270</f>
        <v>90.273684210526326</v>
      </c>
      <c r="M24" s="2731" t="s">
        <v>0</v>
      </c>
      <c r="N24" s="3124">
        <f t="shared" si="2"/>
        <v>1</v>
      </c>
      <c r="O24" s="2728">
        <v>0</v>
      </c>
      <c r="P24" s="3135">
        <f t="shared" si="0"/>
        <v>0</v>
      </c>
      <c r="Q24" s="3568">
        <f t="shared" si="4"/>
        <v>0</v>
      </c>
      <c r="R24" s="3230"/>
      <c r="U24" s="1342">
        <f t="shared" si="3"/>
        <v>0</v>
      </c>
      <c r="W24" s="1342" t="s">
        <v>3538</v>
      </c>
      <c r="X24" s="3724">
        <v>33875</v>
      </c>
    </row>
    <row r="25" spans="1:30" ht="19.5" hidden="1" customHeight="1" thickBot="1" x14ac:dyDescent="0.3">
      <c r="A25" s="4218"/>
      <c r="B25" s="4323"/>
      <c r="C25" s="3032">
        <v>106110738</v>
      </c>
      <c r="D25" s="2454" t="s">
        <v>2554</v>
      </c>
      <c r="E25" s="2105" t="s">
        <v>2555</v>
      </c>
      <c r="F25" s="2106"/>
      <c r="G25" s="2394">
        <v>1</v>
      </c>
      <c r="H25" s="2106">
        <v>2</v>
      </c>
      <c r="I25" s="3063"/>
      <c r="J25" s="3347"/>
      <c r="K25" s="3347"/>
      <c r="L25" s="3347">
        <f>'Lista global'!Q271</f>
        <v>47.221052631578949</v>
      </c>
      <c r="M25" s="2453" t="s">
        <v>0</v>
      </c>
      <c r="N25" s="3124">
        <f t="shared" si="2"/>
        <v>1</v>
      </c>
      <c r="O25" s="2106">
        <v>0</v>
      </c>
      <c r="P25" s="3136">
        <f t="shared" si="0"/>
        <v>0</v>
      </c>
      <c r="Q25" s="3568">
        <f t="shared" si="4"/>
        <v>0</v>
      </c>
      <c r="R25" s="3230"/>
      <c r="U25" s="1342">
        <f t="shared" si="3"/>
        <v>0</v>
      </c>
      <c r="W25" s="1342" t="s">
        <v>3601</v>
      </c>
      <c r="X25" s="3724">
        <v>33662</v>
      </c>
    </row>
    <row r="26" spans="1:30" ht="19.5" hidden="1" customHeight="1" thickBot="1" x14ac:dyDescent="0.3">
      <c r="A26" s="4218"/>
      <c r="B26" s="4323"/>
      <c r="C26" s="2757">
        <v>106208151</v>
      </c>
      <c r="D26" s="2742" t="s">
        <v>3805</v>
      </c>
      <c r="E26" s="2743" t="s">
        <v>2511</v>
      </c>
      <c r="F26" s="2830"/>
      <c r="G26" s="2829">
        <v>1</v>
      </c>
      <c r="H26" s="2830" t="s">
        <v>3806</v>
      </c>
      <c r="I26" s="3561"/>
      <c r="J26" s="3347"/>
      <c r="K26" s="3347"/>
      <c r="L26" s="3347"/>
      <c r="M26" s="2381" t="s">
        <v>0</v>
      </c>
      <c r="N26" s="3124">
        <f t="shared" si="2"/>
        <v>1</v>
      </c>
      <c r="O26" s="3142">
        <v>0</v>
      </c>
      <c r="P26" s="3566">
        <f t="shared" si="0"/>
        <v>0</v>
      </c>
      <c r="Q26" s="3568">
        <f t="shared" si="4"/>
        <v>0</v>
      </c>
      <c r="R26" s="3230"/>
      <c r="U26" s="1342">
        <f t="shared" si="3"/>
        <v>0</v>
      </c>
    </row>
    <row r="27" spans="1:30" ht="19.5" customHeight="1" thickBot="1" x14ac:dyDescent="0.3">
      <c r="A27" s="4218"/>
      <c r="B27" s="4324"/>
      <c r="C27" s="2496">
        <v>106128815</v>
      </c>
      <c r="D27" s="3140" t="s">
        <v>3778</v>
      </c>
      <c r="E27" s="3141" t="s">
        <v>3779</v>
      </c>
      <c r="F27" s="3367"/>
      <c r="G27" s="3060">
        <v>1</v>
      </c>
      <c r="H27" s="3367">
        <v>1.6</v>
      </c>
      <c r="I27" s="3560"/>
      <c r="J27" s="3238">
        <f>'Lista global'!I360</f>
        <v>1611.34</v>
      </c>
      <c r="K27" s="3238">
        <f>'Lista global'!P360</f>
        <v>2014.1749999999997</v>
      </c>
      <c r="L27" s="3661">
        <f>'Lista global'!Q360</f>
        <v>1696.1473684210525</v>
      </c>
      <c r="M27" s="2980">
        <f>IF($Q$2=$S$6,1,0)</f>
        <v>1</v>
      </c>
      <c r="N27" s="3124">
        <f t="shared" si="2"/>
        <v>1</v>
      </c>
      <c r="O27" s="3116">
        <f>IF(ROUNDDOWN(N27*$P$2/20,0)&lt;M27,M27,ROUNDDOWN(N27*$P$2/20,0))</f>
        <v>4</v>
      </c>
      <c r="P27" s="3126">
        <f t="shared" ref="P27" si="5">K27*O27</f>
        <v>8056.6999999999989</v>
      </c>
      <c r="Q27" s="3568">
        <f t="shared" si="4"/>
        <v>6784.5894736842101</v>
      </c>
      <c r="R27" s="3230"/>
    </row>
    <row r="28" spans="1:30" ht="19.5" customHeight="1" x14ac:dyDescent="0.25">
      <c r="A28" s="4218"/>
      <c r="B28" s="3162" t="s">
        <v>213</v>
      </c>
      <c r="C28" s="3028">
        <v>106117401</v>
      </c>
      <c r="D28" s="2448" t="s">
        <v>1894</v>
      </c>
      <c r="E28" s="1441" t="s">
        <v>1518</v>
      </c>
      <c r="F28" s="2721"/>
      <c r="G28" s="2721">
        <v>1</v>
      </c>
      <c r="H28" s="2396" t="s">
        <v>649</v>
      </c>
      <c r="I28" s="2839"/>
      <c r="J28" s="3238">
        <f>'Lista global'!I152</f>
        <v>0.93333333333333324</v>
      </c>
      <c r="K28" s="3238">
        <f>'Lista global'!P152</f>
        <v>1.1625000000000001</v>
      </c>
      <c r="L28" s="3661">
        <f>'Lista global'!Q152</f>
        <v>0.97894736842105268</v>
      </c>
      <c r="M28" s="2473">
        <v>1</v>
      </c>
      <c r="N28" s="3124">
        <f>M28*($O$2*F28+G28)</f>
        <v>1</v>
      </c>
      <c r="O28" s="3363">
        <f>G28*($O$61+$O$62+$O$63+$O$64+$O$65+$O$66+$O$68+$O$69+$O$70+$O$71+$O$72+$O$73+$O$74+$O$76)</f>
        <v>10</v>
      </c>
      <c r="P28" s="3244">
        <f t="shared" si="0"/>
        <v>11.625</v>
      </c>
      <c r="Q28" s="3568">
        <f t="shared" si="4"/>
        <v>9.7894736842105274</v>
      </c>
      <c r="U28" s="1342">
        <f t="shared" si="3"/>
        <v>9.3333333333333321</v>
      </c>
      <c r="W28" s="1342" t="s">
        <v>3602</v>
      </c>
      <c r="X28" s="3724">
        <v>420004</v>
      </c>
      <c r="Y28" s="1342" t="s">
        <v>3603</v>
      </c>
      <c r="Z28" s="3724" t="s">
        <v>3604</v>
      </c>
    </row>
    <row r="29" spans="1:30" s="3739" customFormat="1" ht="19.5" customHeight="1" thickBot="1" x14ac:dyDescent="0.3">
      <c r="A29" s="4218"/>
      <c r="B29" s="3731" t="s">
        <v>341</v>
      </c>
      <c r="C29" s="3059">
        <v>106127312</v>
      </c>
      <c r="D29" s="3808" t="s">
        <v>3637</v>
      </c>
      <c r="E29" s="3809" t="s">
        <v>3638</v>
      </c>
      <c r="F29" s="3810">
        <v>1</v>
      </c>
      <c r="G29" s="3810"/>
      <c r="H29" s="3228">
        <v>13</v>
      </c>
      <c r="I29" s="3811"/>
      <c r="J29" s="3732">
        <f>'Lista global'!I138</f>
        <v>171.11111111111111</v>
      </c>
      <c r="K29" s="3732">
        <f>'Lista global'!P138</f>
        <v>213.88750000000002</v>
      </c>
      <c r="L29" s="3732">
        <f>'Lista global'!Q138</f>
        <v>180.11578947368423</v>
      </c>
      <c r="M29" s="3733">
        <v>1</v>
      </c>
      <c r="N29" s="3734">
        <f>IF($Q$2=$S$5,$O$2*F29+G29,1)</f>
        <v>1</v>
      </c>
      <c r="O29" s="3735">
        <f>IF(ROUND(N29*$P$2/4,0)&lt;M29,M29,ROUND(N29*$P$2/4,0))</f>
        <v>20</v>
      </c>
      <c r="P29" s="3736">
        <f t="shared" si="0"/>
        <v>4277.75</v>
      </c>
      <c r="Q29" s="3737">
        <f t="shared" si="4"/>
        <v>3602.3157894736846</v>
      </c>
      <c r="R29" s="3738" t="s">
        <v>2309</v>
      </c>
      <c r="T29" s="1346"/>
      <c r="U29" s="1346">
        <f t="shared" si="3"/>
        <v>3422.2222222222222</v>
      </c>
      <c r="W29" s="1346" t="s">
        <v>3516</v>
      </c>
      <c r="X29" s="3740">
        <v>516705</v>
      </c>
      <c r="Y29" s="1346"/>
      <c r="Z29" s="1346"/>
      <c r="AA29" s="1346"/>
      <c r="AB29" s="1346"/>
    </row>
    <row r="30" spans="1:30" s="3191" customFormat="1" ht="19.5" customHeight="1" thickBot="1" x14ac:dyDescent="0.25">
      <c r="A30" s="4219"/>
      <c r="B30" s="3145" t="s">
        <v>138</v>
      </c>
      <c r="C30" s="2763">
        <v>106205336</v>
      </c>
      <c r="D30" s="3072" t="s">
        <v>1985</v>
      </c>
      <c r="E30" s="3807" t="s">
        <v>1468</v>
      </c>
      <c r="F30" s="3060"/>
      <c r="G30" s="3060">
        <v>1</v>
      </c>
      <c r="H30" s="3367" t="s">
        <v>2861</v>
      </c>
      <c r="I30" s="3560"/>
      <c r="J30" s="3564">
        <f>'Lista global'!I335</f>
        <v>11.755555555555555</v>
      </c>
      <c r="K30" s="3564">
        <f>'Lista global'!P335</f>
        <v>14.7</v>
      </c>
      <c r="L30" s="3564">
        <f>'Lista global'!Q335</f>
        <v>12.378947368421054</v>
      </c>
      <c r="M30" s="2605">
        <v>1</v>
      </c>
      <c r="N30" s="3124">
        <f>M30*($O$2*F30+G30)</f>
        <v>1</v>
      </c>
      <c r="O30" s="3252">
        <f>IF(ROUNDDOWN($P$2/10,0)&lt;M30,M30,ROUNDDOWN($P$2/10,0))</f>
        <v>8</v>
      </c>
      <c r="P30" s="3381">
        <f>K30*O30</f>
        <v>117.6</v>
      </c>
      <c r="Q30" s="3568">
        <f t="shared" si="4"/>
        <v>99.03157894736843</v>
      </c>
    </row>
    <row r="31" spans="1:30" s="1574" customFormat="1" ht="18" customHeight="1" x14ac:dyDescent="0.25">
      <c r="A31" s="4217" t="s">
        <v>2484</v>
      </c>
      <c r="B31" s="3163" t="s">
        <v>2485</v>
      </c>
      <c r="C31" s="2447">
        <v>106130090</v>
      </c>
      <c r="D31" s="2448" t="s">
        <v>2954</v>
      </c>
      <c r="E31" s="1397" t="s">
        <v>2955</v>
      </c>
      <c r="F31" s="2449">
        <v>1</v>
      </c>
      <c r="G31" s="2449"/>
      <c r="H31" s="2397">
        <v>4</v>
      </c>
      <c r="I31" s="2398"/>
      <c r="J31" s="3347">
        <f>'Lista global'!I287</f>
        <v>153.56666666666666</v>
      </c>
      <c r="K31" s="3347">
        <f>'Lista global'!P287</f>
        <v>198.88750000000002</v>
      </c>
      <c r="L31" s="3347">
        <f>'Lista global'!Q287</f>
        <v>167.48421052631582</v>
      </c>
      <c r="M31" s="2473">
        <v>1</v>
      </c>
      <c r="N31" s="3124">
        <f>IF($O2=4,6,IF($O2=3,5,3))</f>
        <v>6</v>
      </c>
      <c r="O31" s="3243">
        <f>IF(ROUND(N31*$P$2/10,0)&lt;M31,M31,ROUND(N31*$P$2/10,0))</f>
        <v>48</v>
      </c>
      <c r="P31" s="3244">
        <f t="shared" si="0"/>
        <v>9546.6</v>
      </c>
      <c r="Q31" s="3568">
        <f t="shared" si="4"/>
        <v>8039.2421052631598</v>
      </c>
      <c r="R31" s="3230" t="s">
        <v>2309</v>
      </c>
      <c r="U31" s="1342">
        <f t="shared" si="3"/>
        <v>7371.2</v>
      </c>
      <c r="W31" s="1342" t="s">
        <v>3605</v>
      </c>
      <c r="X31" s="3724" t="s">
        <v>3606</v>
      </c>
      <c r="Y31" s="1342"/>
      <c r="Z31" s="3724"/>
      <c r="AA31" s="1342"/>
      <c r="AB31" s="1342"/>
      <c r="AC31" s="1342"/>
      <c r="AD31" s="1342"/>
    </row>
    <row r="32" spans="1:30" s="1574" customFormat="1" ht="18" customHeight="1" thickBot="1" x14ac:dyDescent="0.3">
      <c r="A32" s="4218"/>
      <c r="B32" s="3164" t="s">
        <v>3126</v>
      </c>
      <c r="C32" s="2484">
        <v>106206368</v>
      </c>
      <c r="D32" s="2454" t="s">
        <v>2906</v>
      </c>
      <c r="E32" s="2105" t="s">
        <v>2956</v>
      </c>
      <c r="F32" s="2394">
        <v>1</v>
      </c>
      <c r="G32" s="2394"/>
      <c r="H32" s="2453">
        <v>4</v>
      </c>
      <c r="I32" s="2595"/>
      <c r="J32" s="3347">
        <f>'Lista global'!I308</f>
        <v>19.477777777777778</v>
      </c>
      <c r="K32" s="3347">
        <f>'Lista global'!P308</f>
        <v>48.699999999999996</v>
      </c>
      <c r="L32" s="3347">
        <f>'Lista global'!Q308</f>
        <v>32.466666666666669</v>
      </c>
      <c r="M32" s="2453">
        <v>1</v>
      </c>
      <c r="N32" s="3124">
        <f>$N$31</f>
        <v>6</v>
      </c>
      <c r="O32" s="3118">
        <f>IF(ROUNDDOWN(N32*$P$2/20,0)&lt;M32,M32,ROUNDDOWN(N32*$P$2/20,0))</f>
        <v>24</v>
      </c>
      <c r="P32" s="3128">
        <f t="shared" si="0"/>
        <v>1168.8</v>
      </c>
      <c r="Q32" s="3568">
        <f t="shared" si="4"/>
        <v>779.2</v>
      </c>
      <c r="R32" s="3230"/>
      <c r="U32" s="1342">
        <f t="shared" si="3"/>
        <v>467.4666666666667</v>
      </c>
      <c r="W32" s="1342" t="s">
        <v>3502</v>
      </c>
      <c r="X32" s="3724"/>
      <c r="Y32" s="1342"/>
      <c r="Z32" s="3724"/>
      <c r="AA32" s="1342"/>
      <c r="AB32" s="1342"/>
      <c r="AC32" s="1342"/>
      <c r="AD32" s="1342"/>
    </row>
    <row r="33" spans="1:30" ht="19.5" customHeight="1" thickBot="1" x14ac:dyDescent="0.3">
      <c r="A33" s="4218"/>
      <c r="B33" s="2386" t="s">
        <v>3350</v>
      </c>
      <c r="C33" s="2757">
        <v>106206886</v>
      </c>
      <c r="D33" s="2744" t="s">
        <v>3352</v>
      </c>
      <c r="E33" s="2745" t="s">
        <v>3353</v>
      </c>
      <c r="F33" s="2829"/>
      <c r="G33" s="2829">
        <v>1</v>
      </c>
      <c r="H33" s="2980"/>
      <c r="I33" s="2395"/>
      <c r="J33" s="3347">
        <f>'Lista global'!I200</f>
        <v>42.277777777777771</v>
      </c>
      <c r="K33" s="3347">
        <f>'Lista global'!P200</f>
        <v>95</v>
      </c>
      <c r="L33" s="3347">
        <f>'Lista global'!Q200</f>
        <v>63.333333333333336</v>
      </c>
      <c r="M33" s="2980">
        <v>1</v>
      </c>
      <c r="N33" s="3124">
        <f t="shared" si="2"/>
        <v>1</v>
      </c>
      <c r="O33" s="3116">
        <f>IF(ROUNDDOWN(P2/4,0)&lt;M33,M33,ROUNDDOWN(P2/4,0))</f>
        <v>20</v>
      </c>
      <c r="P33" s="3126">
        <f t="shared" si="0"/>
        <v>1900</v>
      </c>
      <c r="Q33" s="3568">
        <f t="shared" si="4"/>
        <v>1266.6666666666667</v>
      </c>
      <c r="R33" s="3230"/>
      <c r="T33" s="1574"/>
      <c r="U33" s="1342">
        <f t="shared" si="3"/>
        <v>845.55555555555543</v>
      </c>
      <c r="W33" s="1342" t="s">
        <v>3502</v>
      </c>
    </row>
    <row r="34" spans="1:30" ht="19.5" customHeight="1" thickBot="1" x14ac:dyDescent="0.3">
      <c r="A34" s="4218"/>
      <c r="B34" s="4323" t="s">
        <v>21</v>
      </c>
      <c r="C34" s="3741">
        <v>106208156</v>
      </c>
      <c r="D34" s="2744" t="s">
        <v>3683</v>
      </c>
      <c r="E34" s="2745" t="s">
        <v>3682</v>
      </c>
      <c r="F34" s="3060">
        <v>1</v>
      </c>
      <c r="G34" s="3060"/>
      <c r="H34" s="2947">
        <v>1</v>
      </c>
      <c r="I34" s="3061"/>
      <c r="J34" s="3347">
        <f>'Lista global'!I351</f>
        <v>402.36666666666667</v>
      </c>
      <c r="K34" s="3347">
        <f>'Lista global'!P351</f>
        <v>512.78750000000002</v>
      </c>
      <c r="L34" s="3347">
        <f>'Lista global'!Q351</f>
        <v>431.82105263157899</v>
      </c>
      <c r="M34" s="2980">
        <v>1</v>
      </c>
      <c r="N34" s="3124">
        <v>4</v>
      </c>
      <c r="O34" s="3115">
        <f>IF(ROUNDDOWN(($P$2*N34/4)/10,0)&lt;M34,M34,ROUNDDOWN(($P$2*N34/4)/10,0))</f>
        <v>8</v>
      </c>
      <c r="P34" s="3125">
        <f t="shared" ref="P34" si="6">K34*O34</f>
        <v>4102.3</v>
      </c>
      <c r="Q34" s="3568">
        <f t="shared" si="4"/>
        <v>3454.5684210526319</v>
      </c>
      <c r="R34" s="3230"/>
      <c r="T34" s="1574"/>
    </row>
    <row r="35" spans="1:30" ht="19.5" hidden="1" customHeight="1" thickBot="1" x14ac:dyDescent="0.3">
      <c r="A35" s="4218"/>
      <c r="B35" s="4323"/>
      <c r="C35" s="3742">
        <v>106204083</v>
      </c>
      <c r="D35" s="3743" t="s">
        <v>1357</v>
      </c>
      <c r="E35" s="3744" t="s">
        <v>1358</v>
      </c>
      <c r="F35" s="2829">
        <v>1</v>
      </c>
      <c r="G35" s="2842"/>
      <c r="H35" s="2980"/>
      <c r="I35" s="2395"/>
      <c r="J35" s="3347">
        <f>'Lista global'!I230</f>
        <v>338.38888888888891</v>
      </c>
      <c r="K35" s="3347">
        <f>'Lista global'!P230</f>
        <v>443.33749999999998</v>
      </c>
      <c r="L35" s="3347">
        <f>'Lista global'!Q230</f>
        <v>373.3368421052632</v>
      </c>
      <c r="M35" s="2381" t="s">
        <v>0</v>
      </c>
      <c r="N35" s="3124">
        <f t="shared" si="2"/>
        <v>4</v>
      </c>
      <c r="O35" s="2106">
        <v>0</v>
      </c>
      <c r="P35" s="3136">
        <v>0</v>
      </c>
      <c r="Q35" s="3568">
        <f t="shared" si="4"/>
        <v>0</v>
      </c>
      <c r="R35" s="3230"/>
      <c r="U35" s="1342">
        <f t="shared" si="3"/>
        <v>0</v>
      </c>
      <c r="W35" s="1342" t="s">
        <v>3601</v>
      </c>
    </row>
    <row r="36" spans="1:30" ht="19.5" hidden="1" customHeight="1" x14ac:dyDescent="0.25">
      <c r="A36" s="4218"/>
      <c r="B36" s="4323"/>
      <c r="C36" s="3745">
        <v>106104119</v>
      </c>
      <c r="D36" s="3746" t="s">
        <v>1363</v>
      </c>
      <c r="E36" s="3747" t="s">
        <v>1363</v>
      </c>
      <c r="F36" s="2469">
        <v>1</v>
      </c>
      <c r="G36" s="2485"/>
      <c r="H36" s="2473"/>
      <c r="I36" s="2474"/>
      <c r="J36" s="3347">
        <f>'Lista global'!I26</f>
        <v>244.0888888888889</v>
      </c>
      <c r="K36" s="3347"/>
      <c r="L36" s="3347"/>
      <c r="M36" s="2473" t="s">
        <v>0</v>
      </c>
      <c r="N36" s="3124">
        <f t="shared" si="2"/>
        <v>4</v>
      </c>
      <c r="O36" s="2109">
        <v>0</v>
      </c>
      <c r="P36" s="3137">
        <f t="shared" si="0"/>
        <v>0</v>
      </c>
      <c r="Q36" s="3568">
        <f t="shared" si="4"/>
        <v>0</v>
      </c>
      <c r="R36" s="3230"/>
      <c r="U36" s="1342">
        <f t="shared" si="3"/>
        <v>0</v>
      </c>
      <c r="W36" s="1342" t="s">
        <v>3497</v>
      </c>
      <c r="X36" s="3724" t="s">
        <v>3501</v>
      </c>
    </row>
    <row r="37" spans="1:30" ht="19.5" hidden="1" customHeight="1" x14ac:dyDescent="0.25">
      <c r="A37" s="4218"/>
      <c r="B37" s="4323"/>
      <c r="C37" s="3688">
        <v>106104084</v>
      </c>
      <c r="D37" s="3748" t="s">
        <v>1354</v>
      </c>
      <c r="E37" s="3749" t="s">
        <v>1355</v>
      </c>
      <c r="F37" s="2729">
        <v>1</v>
      </c>
      <c r="G37" s="2728"/>
      <c r="H37" s="2731"/>
      <c r="I37" s="2452"/>
      <c r="J37" s="3347">
        <f>'Lista global'!I13</f>
        <v>48.833333333333336</v>
      </c>
      <c r="K37" s="3347"/>
      <c r="L37" s="3347"/>
      <c r="M37" s="2731" t="s">
        <v>0</v>
      </c>
      <c r="N37" s="3124">
        <f t="shared" si="2"/>
        <v>4</v>
      </c>
      <c r="O37" s="2728">
        <v>0</v>
      </c>
      <c r="P37" s="3135">
        <f t="shared" si="0"/>
        <v>0</v>
      </c>
      <c r="Q37" s="3568">
        <f t="shared" si="4"/>
        <v>0</v>
      </c>
      <c r="R37" s="3230"/>
      <c r="U37" s="1342">
        <f t="shared" si="3"/>
        <v>0</v>
      </c>
      <c r="W37" s="1342" t="s">
        <v>3497</v>
      </c>
      <c r="X37" s="3724" t="s">
        <v>3607</v>
      </c>
    </row>
    <row r="38" spans="1:30" ht="19.5" hidden="1" customHeight="1" x14ac:dyDescent="0.25">
      <c r="A38" s="4218"/>
      <c r="B38" s="4323"/>
      <c r="C38" s="3688">
        <v>106104094</v>
      </c>
      <c r="D38" s="3748" t="s">
        <v>1575</v>
      </c>
      <c r="E38" s="3749" t="s">
        <v>1576</v>
      </c>
      <c r="F38" s="2729">
        <v>1</v>
      </c>
      <c r="G38" s="2728"/>
      <c r="H38" s="2731"/>
      <c r="I38" s="2452"/>
      <c r="J38" s="3347">
        <f>'Lista global'!I18</f>
        <v>2.3666666666666667</v>
      </c>
      <c r="K38" s="3347"/>
      <c r="L38" s="3347"/>
      <c r="M38" s="2731" t="s">
        <v>0</v>
      </c>
      <c r="N38" s="3124">
        <f t="shared" si="2"/>
        <v>4</v>
      </c>
      <c r="O38" s="2728">
        <v>0</v>
      </c>
      <c r="P38" s="3135">
        <f t="shared" si="0"/>
        <v>0</v>
      </c>
      <c r="Q38" s="3568">
        <f t="shared" si="4"/>
        <v>0</v>
      </c>
      <c r="R38" s="3230"/>
      <c r="U38" s="1342">
        <f t="shared" si="3"/>
        <v>0</v>
      </c>
      <c r="W38" s="1342" t="s">
        <v>3497</v>
      </c>
      <c r="X38" s="3724" t="s">
        <v>3608</v>
      </c>
    </row>
    <row r="39" spans="1:30" ht="19.5" hidden="1" customHeight="1" x14ac:dyDescent="0.25">
      <c r="A39" s="4218"/>
      <c r="B39" s="4323"/>
      <c r="C39" s="3688">
        <v>106104126</v>
      </c>
      <c r="D39" s="3748" t="s">
        <v>1505</v>
      </c>
      <c r="E39" s="3749" t="s">
        <v>1506</v>
      </c>
      <c r="F39" s="2729">
        <v>1</v>
      </c>
      <c r="G39" s="2730"/>
      <c r="H39" s="2731"/>
      <c r="I39" s="2452"/>
      <c r="J39" s="3347">
        <f>'Lista global'!I27</f>
        <v>19.033333333333331</v>
      </c>
      <c r="K39" s="3347"/>
      <c r="L39" s="3347"/>
      <c r="M39" s="2731" t="s">
        <v>0</v>
      </c>
      <c r="N39" s="3124">
        <f t="shared" si="2"/>
        <v>4</v>
      </c>
      <c r="O39" s="2728">
        <v>0</v>
      </c>
      <c r="P39" s="3135">
        <f t="shared" si="0"/>
        <v>0</v>
      </c>
      <c r="Q39" s="3568">
        <f t="shared" si="4"/>
        <v>0</v>
      </c>
      <c r="R39" s="3230"/>
      <c r="U39" s="1342">
        <f t="shared" si="3"/>
        <v>0</v>
      </c>
      <c r="W39" s="1342" t="s">
        <v>3601</v>
      </c>
      <c r="X39" s="3724" t="s">
        <v>3609</v>
      </c>
    </row>
    <row r="40" spans="1:30" ht="19.5" hidden="1" customHeight="1" thickBot="1" x14ac:dyDescent="0.3">
      <c r="A40" s="4218"/>
      <c r="B40" s="4324"/>
      <c r="C40" s="3590">
        <v>106114314</v>
      </c>
      <c r="D40" s="3750" t="s">
        <v>1356</v>
      </c>
      <c r="E40" s="3751" t="s">
        <v>1252</v>
      </c>
      <c r="F40" s="2394">
        <v>6</v>
      </c>
      <c r="G40" s="2482"/>
      <c r="H40" s="2453"/>
      <c r="I40" s="2595"/>
      <c r="J40" s="3347">
        <f>'Lista global'!I142</f>
        <v>3.6777777777777776</v>
      </c>
      <c r="K40" s="3347"/>
      <c r="L40" s="3347"/>
      <c r="M40" s="2453" t="s">
        <v>0</v>
      </c>
      <c r="N40" s="3124">
        <f t="shared" si="2"/>
        <v>24</v>
      </c>
      <c r="O40" s="2106">
        <v>0</v>
      </c>
      <c r="P40" s="3136">
        <f t="shared" si="0"/>
        <v>0</v>
      </c>
      <c r="Q40" s="3568">
        <f t="shared" si="4"/>
        <v>0</v>
      </c>
      <c r="R40" s="3230"/>
      <c r="U40" s="1342">
        <f t="shared" si="3"/>
        <v>0</v>
      </c>
      <c r="W40" s="1342" t="s">
        <v>3601</v>
      </c>
      <c r="X40" s="3724" t="s">
        <v>3610</v>
      </c>
    </row>
    <row r="41" spans="1:30" ht="19.5" customHeight="1" thickBot="1" x14ac:dyDescent="0.3">
      <c r="A41" s="4218"/>
      <c r="B41" s="3064" t="s">
        <v>2486</v>
      </c>
      <c r="C41" s="2746">
        <v>106125296</v>
      </c>
      <c r="D41" s="2744" t="s">
        <v>2587</v>
      </c>
      <c r="E41" s="2745" t="s">
        <v>2587</v>
      </c>
      <c r="F41" s="2829">
        <v>1</v>
      </c>
      <c r="G41" s="2842"/>
      <c r="H41" s="2980">
        <v>8</v>
      </c>
      <c r="I41" s="2395"/>
      <c r="J41" s="3347">
        <f>'Lista global'!I316</f>
        <v>473.42222222222222</v>
      </c>
      <c r="K41" s="3347">
        <f>'Lista global'!P316</f>
        <v>881.25</v>
      </c>
      <c r="L41" s="3347">
        <f>'Lista global'!Q316</f>
        <v>742.1052631578948</v>
      </c>
      <c r="M41" s="2381">
        <f>IF($N$2=$S$5,1,0)</f>
        <v>0</v>
      </c>
      <c r="N41" s="3124">
        <f>M41*($O$2*F41+G41)</f>
        <v>0</v>
      </c>
      <c r="O41" s="3115">
        <f>IF(ROUNDDOWN(($P$2*N41/4)/20,0)&lt;M41,M41,ROUNDDOWN(($P$2*N41/4)/20,0))</f>
        <v>0</v>
      </c>
      <c r="P41" s="3125">
        <f t="shared" si="0"/>
        <v>0</v>
      </c>
      <c r="Q41" s="3568">
        <f t="shared" si="4"/>
        <v>0</v>
      </c>
      <c r="R41" s="3230" t="s">
        <v>2309</v>
      </c>
      <c r="U41" s="1342">
        <f t="shared" si="3"/>
        <v>0</v>
      </c>
      <c r="W41" s="1342" t="s">
        <v>3611</v>
      </c>
      <c r="X41" s="3726" t="s">
        <v>3613</v>
      </c>
      <c r="Y41" s="1342" t="s">
        <v>3611</v>
      </c>
      <c r="Z41" s="3724" t="s">
        <v>3612</v>
      </c>
    </row>
    <row r="42" spans="1:30" s="1574" customFormat="1" ht="19.5" customHeight="1" x14ac:dyDescent="0.25">
      <c r="A42" s="4218"/>
      <c r="B42" s="3065" t="s">
        <v>3162</v>
      </c>
      <c r="C42" s="2722">
        <v>106205276</v>
      </c>
      <c r="D42" s="2467" t="s">
        <v>2811</v>
      </c>
      <c r="E42" s="2108" t="s">
        <v>2812</v>
      </c>
      <c r="F42" s="2706"/>
      <c r="G42" s="2485">
        <v>1</v>
      </c>
      <c r="H42" s="2473" t="s">
        <v>3163</v>
      </c>
      <c r="I42" s="2474"/>
      <c r="J42" s="3347">
        <f>'Lista global'!I277</f>
        <v>31.088888888888889</v>
      </c>
      <c r="K42" s="3347">
        <f>'Lista global'!P277</f>
        <v>38.862499999999997</v>
      </c>
      <c r="L42" s="3347">
        <f>'Lista global'!Q277</f>
        <v>32.726315789473688</v>
      </c>
      <c r="M42" s="2473">
        <v>1</v>
      </c>
      <c r="N42" s="3124">
        <f>IF($N$2=$S$5,$O$2*F42+G42,$O$2*F42+G42+1)</f>
        <v>2</v>
      </c>
      <c r="O42" s="3243">
        <f>IF(ROUND(N42*$P$2/8,0)&lt;M42,M42,ROUND(N42*$P$2/8,0))</f>
        <v>20</v>
      </c>
      <c r="P42" s="3244">
        <f t="shared" si="0"/>
        <v>777.25</v>
      </c>
      <c r="Q42" s="3568">
        <f t="shared" si="4"/>
        <v>654.52631578947376</v>
      </c>
      <c r="R42" s="3230" t="s">
        <v>2309</v>
      </c>
      <c r="T42" s="1342"/>
      <c r="U42" s="1342">
        <f t="shared" si="3"/>
        <v>621.77777777777783</v>
      </c>
      <c r="W42" s="1342" t="s">
        <v>3497</v>
      </c>
      <c r="X42" s="3724" t="s">
        <v>3498</v>
      </c>
      <c r="Y42" s="1342"/>
      <c r="Z42" s="3724"/>
      <c r="AA42" s="1342"/>
      <c r="AB42" s="1342"/>
      <c r="AC42" s="1342"/>
      <c r="AD42" s="1342"/>
    </row>
    <row r="43" spans="1:30" ht="19.5" customHeight="1" x14ac:dyDescent="0.25">
      <c r="A43" s="4218"/>
      <c r="B43" s="3066" t="s">
        <v>328</v>
      </c>
      <c r="C43" s="2747">
        <v>106119611</v>
      </c>
      <c r="D43" s="2748" t="s">
        <v>2547</v>
      </c>
      <c r="E43" s="2749" t="s">
        <v>2548</v>
      </c>
      <c r="F43" s="2845">
        <v>1</v>
      </c>
      <c r="G43" s="2846"/>
      <c r="H43" s="2731" t="s">
        <v>1471</v>
      </c>
      <c r="I43" s="2452"/>
      <c r="J43" s="3347">
        <f>'Lista global'!I272</f>
        <v>97.066666666666663</v>
      </c>
      <c r="K43" s="3347">
        <f>'Lista global'!P272</f>
        <v>121.33749999999999</v>
      </c>
      <c r="L43" s="3347">
        <f>'Lista global'!Q272</f>
        <v>102.17894736842105</v>
      </c>
      <c r="M43" s="2731">
        <v>1</v>
      </c>
      <c r="N43" s="3124">
        <f t="shared" si="2"/>
        <v>4</v>
      </c>
      <c r="O43" s="3121">
        <f>IF(ROUND(N43*$P$2/8,0)&lt;M43,M43,ROUND(N43*$P$2/8,0))</f>
        <v>40</v>
      </c>
      <c r="P43" s="3131">
        <f t="shared" si="0"/>
        <v>4853.5</v>
      </c>
      <c r="Q43" s="3568">
        <f t="shared" si="4"/>
        <v>4087.1578947368421</v>
      </c>
      <c r="R43" s="3230" t="s">
        <v>2309</v>
      </c>
      <c r="T43" s="1574"/>
      <c r="U43" s="1342">
        <f t="shared" si="3"/>
        <v>3882.6666666666665</v>
      </c>
      <c r="W43" s="1342" t="s">
        <v>3493</v>
      </c>
      <c r="X43" s="3724">
        <v>566858</v>
      </c>
      <c r="Y43" s="1342" t="s">
        <v>3494</v>
      </c>
      <c r="Z43" s="3724" t="s">
        <v>3495</v>
      </c>
    </row>
    <row r="44" spans="1:30" ht="19.5" customHeight="1" thickBot="1" x14ac:dyDescent="0.3">
      <c r="A44" s="4218"/>
      <c r="B44" s="3067" t="s">
        <v>285</v>
      </c>
      <c r="C44" s="2758">
        <v>106202883</v>
      </c>
      <c r="D44" s="2402" t="s">
        <v>1303</v>
      </c>
      <c r="E44" s="2403" t="s">
        <v>1304</v>
      </c>
      <c r="F44" s="2481">
        <v>1</v>
      </c>
      <c r="G44" s="2481"/>
      <c r="H44" s="2404" t="s">
        <v>1471</v>
      </c>
      <c r="I44" s="2479"/>
      <c r="J44" s="3347">
        <f>'Lista global'!I217</f>
        <v>21.977777777777778</v>
      </c>
      <c r="K44" s="3347">
        <f>'Lista global'!P217</f>
        <v>27.474999999999998</v>
      </c>
      <c r="L44" s="3347">
        <f>'Lista global'!Q217</f>
        <v>23.13684210526316</v>
      </c>
      <c r="M44" s="2453">
        <v>1</v>
      </c>
      <c r="N44" s="3124">
        <f t="shared" si="2"/>
        <v>4</v>
      </c>
      <c r="O44" s="3118">
        <f>IF(ROUND(N44*$P$2/8,0)&lt;M44,M44,ROUND(N44*$P$2/8,0))</f>
        <v>40</v>
      </c>
      <c r="P44" s="3128">
        <f t="shared" si="0"/>
        <v>1099</v>
      </c>
      <c r="Q44" s="3568">
        <f t="shared" si="4"/>
        <v>925.47368421052636</v>
      </c>
      <c r="R44" s="3230"/>
      <c r="U44" s="1342">
        <f t="shared" si="3"/>
        <v>879.11111111111109</v>
      </c>
      <c r="W44" s="1342" t="s">
        <v>3493</v>
      </c>
      <c r="X44" s="3724">
        <v>101234</v>
      </c>
      <c r="Y44" s="1342" t="s">
        <v>3497</v>
      </c>
      <c r="Z44" s="3724" t="s">
        <v>3500</v>
      </c>
    </row>
    <row r="45" spans="1:30" s="1360" customFormat="1" ht="19.5" customHeight="1" x14ac:dyDescent="0.25">
      <c r="A45" s="4218"/>
      <c r="B45" s="4329" t="s">
        <v>3030</v>
      </c>
      <c r="C45" s="2718">
        <v>106206611</v>
      </c>
      <c r="D45" s="1411" t="s">
        <v>3031</v>
      </c>
      <c r="E45" s="1441" t="s">
        <v>3032</v>
      </c>
      <c r="F45" s="2605">
        <v>3</v>
      </c>
      <c r="G45" s="2447"/>
      <c r="H45" s="2605"/>
      <c r="I45" s="2719"/>
      <c r="J45" s="3347">
        <f>'Lista global'!I305</f>
        <v>47.022222222222219</v>
      </c>
      <c r="K45" s="3347">
        <f>'Lista global'!P305</f>
        <v>117.55</v>
      </c>
      <c r="L45" s="3347">
        <f>'Lista global'!Q305</f>
        <v>78.366666666666674</v>
      </c>
      <c r="M45" s="2473">
        <v>1</v>
      </c>
      <c r="N45" s="3124">
        <f t="shared" si="2"/>
        <v>12</v>
      </c>
      <c r="O45" s="3243">
        <f>IF(ROUNDUP((N45*$P$2/4)/10,0)&lt;M45,M45,ROUNDUP((N45*$P$2/4)/10,0))</f>
        <v>24</v>
      </c>
      <c r="P45" s="3244">
        <f t="shared" si="0"/>
        <v>2821.2</v>
      </c>
      <c r="Q45" s="3568">
        <f t="shared" si="4"/>
        <v>1880.8000000000002</v>
      </c>
      <c r="R45" s="3230" t="s">
        <v>2309</v>
      </c>
      <c r="T45" s="1342"/>
      <c r="U45" s="1342">
        <f t="shared" si="3"/>
        <v>1128.5333333333333</v>
      </c>
      <c r="W45" s="1342" t="s">
        <v>3502</v>
      </c>
      <c r="X45" s="3724"/>
      <c r="Y45" s="1342"/>
      <c r="Z45" s="3724"/>
      <c r="AA45" s="1342"/>
      <c r="AB45" s="1342"/>
      <c r="AC45" s="1342"/>
      <c r="AD45" s="1342"/>
    </row>
    <row r="46" spans="1:30" s="1351" customFormat="1" ht="19.5" customHeight="1" thickBot="1" x14ac:dyDescent="0.3">
      <c r="A46" s="4218"/>
      <c r="B46" s="4330"/>
      <c r="C46" s="3557">
        <v>106204234</v>
      </c>
      <c r="D46" s="2402" t="s">
        <v>1608</v>
      </c>
      <c r="E46" s="3106" t="s">
        <v>1609</v>
      </c>
      <c r="F46" s="2481">
        <v>3</v>
      </c>
      <c r="G46" s="3166"/>
      <c r="H46" s="2726" t="s">
        <v>649</v>
      </c>
      <c r="I46" s="3167"/>
      <c r="J46" s="3347">
        <f>'Lista global'!I231</f>
        <v>13.311111111111112</v>
      </c>
      <c r="K46" s="3347">
        <f>'Lista global'!P231</f>
        <v>18.462499999999999</v>
      </c>
      <c r="L46" s="3347">
        <f>'Lista global'!Q231</f>
        <v>15.547368421052632</v>
      </c>
      <c r="M46" s="2453">
        <v>1</v>
      </c>
      <c r="N46" s="3124">
        <f t="shared" si="2"/>
        <v>12</v>
      </c>
      <c r="O46" s="3118">
        <f>$O$45</f>
        <v>24</v>
      </c>
      <c r="P46" s="3128">
        <f t="shared" si="0"/>
        <v>443.09999999999997</v>
      </c>
      <c r="Q46" s="3568">
        <f t="shared" si="4"/>
        <v>373.13684210526316</v>
      </c>
      <c r="R46" s="3230"/>
      <c r="T46" s="1360"/>
      <c r="U46" s="1342">
        <f t="shared" si="3"/>
        <v>319.4666666666667</v>
      </c>
      <c r="W46" s="1342" t="s">
        <v>3503</v>
      </c>
      <c r="X46" s="3724" t="s">
        <v>3504</v>
      </c>
      <c r="Y46" s="1342" t="s">
        <v>3505</v>
      </c>
      <c r="Z46" s="3724" t="s">
        <v>3506</v>
      </c>
      <c r="AA46" s="1342" t="s">
        <v>3503</v>
      </c>
      <c r="AB46" s="1342" t="s">
        <v>3507</v>
      </c>
      <c r="AC46" s="1342" t="s">
        <v>3614</v>
      </c>
      <c r="AD46" s="1342" t="s">
        <v>3615</v>
      </c>
    </row>
    <row r="47" spans="1:30" ht="19.5" customHeight="1" x14ac:dyDescent="0.25">
      <c r="A47" s="4218"/>
      <c r="B47" s="1439" t="s">
        <v>2771</v>
      </c>
      <c r="C47" s="2718">
        <v>106206389</v>
      </c>
      <c r="D47" s="2448" t="s">
        <v>2588</v>
      </c>
      <c r="E47" s="1441" t="s">
        <v>2589</v>
      </c>
      <c r="F47" s="2449">
        <v>1</v>
      </c>
      <c r="G47" s="3171"/>
      <c r="H47" s="2396"/>
      <c r="I47" s="2398"/>
      <c r="J47" s="3347">
        <f>'Lista global'!I306</f>
        <v>19.688888888888886</v>
      </c>
      <c r="K47" s="3347">
        <f>'Lista global'!P306</f>
        <v>49.225000000000001</v>
      </c>
      <c r="L47" s="3347">
        <f>'Lista global'!Q306</f>
        <v>32.81666666666667</v>
      </c>
      <c r="M47" s="2473">
        <v>1</v>
      </c>
      <c r="N47" s="3124">
        <f t="shared" si="2"/>
        <v>4</v>
      </c>
      <c r="O47" s="3243">
        <f>IF(ROUND(($P$2*N47/4)/2,0)&lt;M47,M47,ROUND(($P$2*N47/4)/2,0))</f>
        <v>40</v>
      </c>
      <c r="P47" s="3244">
        <f t="shared" si="0"/>
        <v>1969</v>
      </c>
      <c r="Q47" s="3568">
        <f t="shared" si="4"/>
        <v>1312.6666666666667</v>
      </c>
      <c r="R47" s="3230" t="s">
        <v>2309</v>
      </c>
      <c r="T47" s="1351"/>
      <c r="U47" s="1342">
        <f t="shared" si="3"/>
        <v>787.55555555555543</v>
      </c>
      <c r="W47" s="1342" t="s">
        <v>3502</v>
      </c>
    </row>
    <row r="48" spans="1:30" ht="19.5" customHeight="1" thickBot="1" x14ac:dyDescent="0.3">
      <c r="A48" s="4218"/>
      <c r="B48" s="2498" t="s">
        <v>3645</v>
      </c>
      <c r="C48" s="2484">
        <v>106115113</v>
      </c>
      <c r="D48" s="2454" t="s">
        <v>3648</v>
      </c>
      <c r="E48" s="2734" t="s">
        <v>3649</v>
      </c>
      <c r="F48" s="2394">
        <v>1</v>
      </c>
      <c r="G48" s="2482"/>
      <c r="H48" s="2453" t="s">
        <v>649</v>
      </c>
      <c r="I48" s="2595"/>
      <c r="J48" s="3756">
        <f>'Lista global'!I$345</f>
        <v>0.23333333333333331</v>
      </c>
      <c r="K48" s="3347">
        <f>'Lista global'!P$345</f>
        <v>0.28749999999999998</v>
      </c>
      <c r="L48" s="3347">
        <f>'Lista global'!Q$345</f>
        <v>0.24210526315789477</v>
      </c>
      <c r="M48" s="2453">
        <v>1</v>
      </c>
      <c r="N48" s="3124">
        <v>1</v>
      </c>
      <c r="O48" s="3121">
        <f>O47</f>
        <v>40</v>
      </c>
      <c r="P48" s="3131">
        <f>K48*O48</f>
        <v>11.5</v>
      </c>
      <c r="Q48" s="3568">
        <f t="shared" si="4"/>
        <v>9.6842105263157912</v>
      </c>
      <c r="R48" s="3230"/>
      <c r="W48" s="1342" t="s">
        <v>3521</v>
      </c>
      <c r="X48" s="1342" t="s">
        <v>3653</v>
      </c>
      <c r="Y48" s="1342" t="s">
        <v>3521</v>
      </c>
      <c r="Z48" s="1342" t="s">
        <v>3654</v>
      </c>
    </row>
    <row r="49" spans="1:30" ht="19.5" customHeight="1" x14ac:dyDescent="0.25">
      <c r="A49" s="4218"/>
      <c r="B49" s="2880" t="s">
        <v>1507</v>
      </c>
      <c r="C49" s="3558">
        <v>106203799</v>
      </c>
      <c r="D49" s="2724" t="s">
        <v>2957</v>
      </c>
      <c r="E49" s="2749" t="s">
        <v>2958</v>
      </c>
      <c r="F49" s="2729">
        <v>1</v>
      </c>
      <c r="G49" s="3110"/>
      <c r="H49" s="2730">
        <v>12</v>
      </c>
      <c r="I49" s="2452"/>
      <c r="J49" s="3347">
        <f>'Lista global'!I228</f>
        <v>20.033333333333335</v>
      </c>
      <c r="K49" s="3347">
        <f>'Lista global'!P228</f>
        <v>50.075000000000003</v>
      </c>
      <c r="L49" s="3347">
        <f>'Lista global'!Q228</f>
        <v>33.38333333333334</v>
      </c>
      <c r="M49" s="2731">
        <v>1</v>
      </c>
      <c r="N49" s="3124">
        <f>IF($N$2=$S$5,$O$2*F49+G49,1)</f>
        <v>1</v>
      </c>
      <c r="O49" s="3121">
        <f>IF(ROUND(($P$2*N49/4)/2,0)&lt;M49,M49,ROUND(($P$2*N49/4)/2,0))</f>
        <v>10</v>
      </c>
      <c r="P49" s="3131">
        <f t="shared" si="0"/>
        <v>500.75</v>
      </c>
      <c r="Q49" s="3568">
        <f t="shared" si="4"/>
        <v>333.83333333333337</v>
      </c>
      <c r="R49" s="3230"/>
      <c r="U49" s="1342">
        <f t="shared" si="3"/>
        <v>200.33333333333334</v>
      </c>
      <c r="W49" s="1342" t="s">
        <v>3502</v>
      </c>
    </row>
    <row r="50" spans="1:30" ht="19.5" customHeight="1" x14ac:dyDescent="0.25">
      <c r="A50" s="4218"/>
      <c r="B50" s="2880" t="s">
        <v>3207</v>
      </c>
      <c r="C50" s="3558">
        <v>106126857</v>
      </c>
      <c r="D50" s="2724" t="s">
        <v>1896</v>
      </c>
      <c r="E50" s="2749" t="s">
        <v>1511</v>
      </c>
      <c r="F50" s="2729">
        <v>2</v>
      </c>
      <c r="G50" s="3110"/>
      <c r="H50" s="2730" t="s">
        <v>3206</v>
      </c>
      <c r="I50" s="2452"/>
      <c r="J50" s="3347">
        <f>'Lista global'!I363</f>
        <v>5.56</v>
      </c>
      <c r="K50" s="3347">
        <f>'Lista global'!P363</f>
        <v>6.9499999999999993</v>
      </c>
      <c r="L50" s="3347">
        <f>'Lista global'!Q363</f>
        <v>5.852631578947368</v>
      </c>
      <c r="M50" s="2731">
        <v>2</v>
      </c>
      <c r="N50" s="3124">
        <f>IF($N$2=$S$5,$O$2*F50+G50,2)</f>
        <v>2</v>
      </c>
      <c r="O50" s="3253">
        <f>N50*($O$61+$O$62+$O$63+$O$64+$O$65+$O$66+$O$68+$O$69+$O$70+$O$71+$O$72+$O$73+$O$74+$O$76)</f>
        <v>20</v>
      </c>
      <c r="P50" s="3131">
        <f t="shared" si="0"/>
        <v>139</v>
      </c>
      <c r="Q50" s="3568">
        <f t="shared" si="4"/>
        <v>117.05263157894736</v>
      </c>
      <c r="R50" s="3230"/>
      <c r="U50" s="1342">
        <f t="shared" si="3"/>
        <v>111.19999999999999</v>
      </c>
      <c r="W50" s="1342" t="s">
        <v>3511</v>
      </c>
      <c r="X50" s="3724" t="s">
        <v>3523</v>
      </c>
      <c r="Y50" s="1342" t="s">
        <v>3508</v>
      </c>
      <c r="Z50" s="3724">
        <v>491630</v>
      </c>
      <c r="AA50" s="1342" t="s">
        <v>3524</v>
      </c>
      <c r="AB50" s="1342" t="s">
        <v>3525</v>
      </c>
    </row>
    <row r="51" spans="1:30" ht="19.5" customHeight="1" x14ac:dyDescent="0.25">
      <c r="A51" s="4218"/>
      <c r="B51" s="2880" t="s">
        <v>3208</v>
      </c>
      <c r="C51" s="3558">
        <v>106105886</v>
      </c>
      <c r="D51" s="2724" t="s">
        <v>1502</v>
      </c>
      <c r="E51" s="2749" t="s">
        <v>1233</v>
      </c>
      <c r="F51" s="2729">
        <v>2</v>
      </c>
      <c r="G51" s="3110"/>
      <c r="H51" s="2730" t="s">
        <v>3206</v>
      </c>
      <c r="I51" s="2452"/>
      <c r="J51" s="3347">
        <f>'Lista global'!I72</f>
        <v>3.333333333333333</v>
      </c>
      <c r="K51" s="3347">
        <f>'Lista global'!P72</f>
        <v>4.1624999999999996</v>
      </c>
      <c r="L51" s="3347">
        <f>'Lista global'!Q72</f>
        <v>3.5052631578947371</v>
      </c>
      <c r="M51" s="2731">
        <v>1</v>
      </c>
      <c r="N51" s="3124">
        <f>IF($N$2=$S$5,$O$2*F51+G51,2)</f>
        <v>2</v>
      </c>
      <c r="O51" s="3253">
        <f>IF(ROUNDDOWN(N51*$P$2/20,0)&lt;M51,M51,ROUNDDOWN(N51*$P$2/20,0))</f>
        <v>8</v>
      </c>
      <c r="P51" s="3131">
        <f t="shared" si="0"/>
        <v>33.299999999999997</v>
      </c>
      <c r="Q51" s="3568">
        <f t="shared" si="4"/>
        <v>28.042105263157897</v>
      </c>
      <c r="R51" s="3230"/>
      <c r="U51" s="1342">
        <f t="shared" si="3"/>
        <v>26.666666666666664</v>
      </c>
      <c r="W51" s="1342" t="s">
        <v>3616</v>
      </c>
      <c r="X51" s="3724" t="s">
        <v>3617</v>
      </c>
      <c r="Y51" s="1342" t="s">
        <v>3510</v>
      </c>
      <c r="Z51" s="3724">
        <v>31971</v>
      </c>
      <c r="AA51" s="1342" t="s">
        <v>3602</v>
      </c>
      <c r="AB51" s="1342">
        <v>481033</v>
      </c>
      <c r="AC51" s="1342" t="s">
        <v>3511</v>
      </c>
      <c r="AD51" s="1342" t="s">
        <v>3618</v>
      </c>
    </row>
    <row r="52" spans="1:30" ht="19.5" customHeight="1" x14ac:dyDescent="0.25">
      <c r="A52" s="4218"/>
      <c r="B52" s="2880" t="s">
        <v>2489</v>
      </c>
      <c r="C52" s="3558">
        <v>106126866</v>
      </c>
      <c r="D52" s="2724" t="s">
        <v>3855</v>
      </c>
      <c r="E52" s="2749" t="s">
        <v>3856</v>
      </c>
      <c r="F52" s="2729">
        <v>3</v>
      </c>
      <c r="G52" s="3110"/>
      <c r="H52" s="2730" t="s">
        <v>649</v>
      </c>
      <c r="I52" s="2452"/>
      <c r="J52" s="3347">
        <f>'Lista global'!I359</f>
        <v>14.72</v>
      </c>
      <c r="K52" s="3347">
        <f>'Lista global'!P359</f>
        <v>18.399999999999999</v>
      </c>
      <c r="L52" s="3347">
        <f>'Lista global'!Q359</f>
        <v>15.494736842105265</v>
      </c>
      <c r="M52" s="2731">
        <v>3</v>
      </c>
      <c r="N52" s="3124">
        <f t="shared" si="2"/>
        <v>12</v>
      </c>
      <c r="O52" s="3121">
        <f>F52*($O$61+$O$62+$O$63+$O$64+$O$65+$O$66+$O$68+$O$69+$O$70+$O$71+$O$72+$O$73+$O$74+$O$76)</f>
        <v>30</v>
      </c>
      <c r="P52" s="3131">
        <f t="shared" si="0"/>
        <v>552</v>
      </c>
      <c r="Q52" s="3568">
        <f t="shared" si="4"/>
        <v>464.84210526315798</v>
      </c>
      <c r="R52" s="3230" t="s">
        <v>2309</v>
      </c>
      <c r="U52" s="1342">
        <f t="shared" si="3"/>
        <v>441.6</v>
      </c>
      <c r="W52" s="1342" t="s">
        <v>3602</v>
      </c>
      <c r="X52" s="3724">
        <v>381380</v>
      </c>
      <c r="Y52" s="1342" t="s">
        <v>3603</v>
      </c>
      <c r="Z52" s="3724" t="s">
        <v>3619</v>
      </c>
      <c r="AA52" s="1342" t="s">
        <v>3524</v>
      </c>
      <c r="AB52" s="1342" t="s">
        <v>3620</v>
      </c>
    </row>
    <row r="53" spans="1:30" ht="19.5" customHeight="1" x14ac:dyDescent="0.25">
      <c r="A53" s="4218"/>
      <c r="B53" s="2880" t="s">
        <v>2490</v>
      </c>
      <c r="C53" s="3558">
        <v>106119669</v>
      </c>
      <c r="D53" s="2724" t="s">
        <v>2594</v>
      </c>
      <c r="E53" s="2749" t="s">
        <v>2595</v>
      </c>
      <c r="F53" s="2729">
        <v>3</v>
      </c>
      <c r="G53" s="3110"/>
      <c r="H53" s="2730" t="s">
        <v>649</v>
      </c>
      <c r="I53" s="2452"/>
      <c r="J53" s="3347">
        <f>'Lista global'!I275</f>
        <v>13.366666666666665</v>
      </c>
      <c r="K53" s="3347">
        <f>'Lista global'!P275</f>
        <v>16.712499999999999</v>
      </c>
      <c r="L53" s="3347">
        <f>'Lista global'!Q275</f>
        <v>14.073684210526316</v>
      </c>
      <c r="M53" s="2731">
        <v>1</v>
      </c>
      <c r="N53" s="3124">
        <f t="shared" si="2"/>
        <v>12</v>
      </c>
      <c r="O53" s="3121">
        <f>IF(ROUNDDOWN($P$2/10,0)&lt;M53,M53,ROUNDDOWN($P$2/10,0))</f>
        <v>8</v>
      </c>
      <c r="P53" s="3131">
        <f t="shared" si="0"/>
        <v>133.69999999999999</v>
      </c>
      <c r="Q53" s="3568">
        <f t="shared" si="4"/>
        <v>112.58947368421053</v>
      </c>
      <c r="R53" s="3230" t="s">
        <v>2309</v>
      </c>
      <c r="U53" s="1342">
        <f t="shared" si="3"/>
        <v>106.93333333333332</v>
      </c>
      <c r="W53" s="1342" t="s">
        <v>3621</v>
      </c>
      <c r="X53" s="3724" t="s">
        <v>3622</v>
      </c>
      <c r="Y53" s="1342" t="s">
        <v>3623</v>
      </c>
      <c r="Z53" s="3724" t="s">
        <v>3624</v>
      </c>
    </row>
    <row r="54" spans="1:30" s="1351" customFormat="1" ht="19.5" customHeight="1" thickBot="1" x14ac:dyDescent="0.3">
      <c r="A54" s="4219"/>
      <c r="B54" s="4042" t="s">
        <v>2823</v>
      </c>
      <c r="C54" s="2484">
        <v>106122954</v>
      </c>
      <c r="D54" s="2112" t="s">
        <v>2773</v>
      </c>
      <c r="E54" s="2615" t="s">
        <v>2774</v>
      </c>
      <c r="F54" s="2489">
        <v>3</v>
      </c>
      <c r="G54" s="2484"/>
      <c r="H54" s="2484"/>
      <c r="I54" s="3761"/>
      <c r="J54" s="3347">
        <f>'Lista global'!I286</f>
        <v>6.6555555555555559</v>
      </c>
      <c r="K54" s="3347">
        <f>'Lista global'!P286</f>
        <v>8.3249999999999993</v>
      </c>
      <c r="L54" s="3347">
        <f>'Lista global'!Q286</f>
        <v>7.0105263157894742</v>
      </c>
      <c r="M54" s="2731">
        <v>3</v>
      </c>
      <c r="N54" s="3124">
        <f>$O$2*F54+G54</f>
        <v>12</v>
      </c>
      <c r="O54" s="3121">
        <f>F54*($O$61+$O$62+$O$63+$O$64+$O$65+$O$66+$O$68+$O$69+$O$70+$O$71+$O$72+$O$73+$O$74+$O$76)</f>
        <v>30</v>
      </c>
      <c r="P54" s="3131">
        <f t="shared" si="0"/>
        <v>249.74999999999997</v>
      </c>
      <c r="Q54" s="3568">
        <f t="shared" si="4"/>
        <v>210.31578947368422</v>
      </c>
      <c r="R54" s="3230" t="s">
        <v>2309</v>
      </c>
      <c r="T54" s="1342"/>
      <c r="U54" s="1342">
        <f t="shared" si="3"/>
        <v>199.66666666666669</v>
      </c>
      <c r="W54" s="1342" t="s">
        <v>3625</v>
      </c>
      <c r="X54" s="3724" t="s">
        <v>3626</v>
      </c>
      <c r="Y54" s="1342"/>
      <c r="Z54" s="3724"/>
      <c r="AA54" s="1342"/>
      <c r="AB54" s="1342"/>
      <c r="AC54" s="1342"/>
      <c r="AD54" s="1342"/>
    </row>
    <row r="55" spans="1:30" ht="19.5" customHeight="1" x14ac:dyDescent="0.25">
      <c r="A55" s="4217"/>
      <c r="B55" s="2608" t="s">
        <v>2491</v>
      </c>
      <c r="C55" s="2765">
        <v>106111785</v>
      </c>
      <c r="D55" s="3072" t="s">
        <v>2590</v>
      </c>
      <c r="E55" s="2108" t="s">
        <v>2591</v>
      </c>
      <c r="F55" s="2469"/>
      <c r="G55" s="2109">
        <v>1</v>
      </c>
      <c r="H55" s="2473"/>
      <c r="I55" s="2474"/>
      <c r="J55" s="3347">
        <f>'Lista global'!I99</f>
        <v>23.266666666666669</v>
      </c>
      <c r="K55" s="3347">
        <f>'Lista global'!P99</f>
        <v>29.087499999999999</v>
      </c>
      <c r="L55" s="3347">
        <f>'Lista global'!Q99</f>
        <v>24.494736842105265</v>
      </c>
      <c r="M55" s="2731">
        <v>1</v>
      </c>
      <c r="N55" s="3124">
        <f>$O$2*F55+G55</f>
        <v>1</v>
      </c>
      <c r="O55" s="3121">
        <f>IF(ROUNDDOWN(N55*$P$2/10,0)&lt;M55,M55,ROUNDDOWN(N55*$P$2/10,0))</f>
        <v>8</v>
      </c>
      <c r="P55" s="3131">
        <f>K55*O55</f>
        <v>232.7</v>
      </c>
      <c r="Q55" s="3568">
        <f>L55*O55</f>
        <v>195.95789473684212</v>
      </c>
      <c r="R55" s="3230" t="s">
        <v>2309</v>
      </c>
      <c r="T55" s="1351"/>
      <c r="U55" s="1342">
        <f t="shared" si="3"/>
        <v>186.13333333333335</v>
      </c>
      <c r="W55" s="1342" t="s">
        <v>3627</v>
      </c>
      <c r="X55" s="3724" t="s">
        <v>3628</v>
      </c>
    </row>
    <row r="56" spans="1:30" s="1351" customFormat="1" ht="19.5" customHeight="1" x14ac:dyDescent="0.25">
      <c r="A56" s="4218"/>
      <c r="B56" s="3168" t="s">
        <v>2772</v>
      </c>
      <c r="C56" s="2496">
        <v>106205983</v>
      </c>
      <c r="D56" s="3072" t="s">
        <v>1951</v>
      </c>
      <c r="E56" s="2468" t="s">
        <v>576</v>
      </c>
      <c r="F56" s="2723"/>
      <c r="G56" s="2496">
        <v>1</v>
      </c>
      <c r="H56" s="3169"/>
      <c r="I56" s="3170"/>
      <c r="J56" s="3347">
        <f>'Lista global'!I307</f>
        <v>58.411111111111111</v>
      </c>
      <c r="K56" s="3347">
        <f>'Lista global'!P307</f>
        <v>145.54999999999998</v>
      </c>
      <c r="L56" s="3347">
        <f>'Lista global'!Q307</f>
        <v>97.033333333333331</v>
      </c>
      <c r="M56" s="2473">
        <v>1</v>
      </c>
      <c r="N56" s="3124">
        <f t="shared" si="2"/>
        <v>1</v>
      </c>
      <c r="O56" s="3243">
        <f>IF(ROUNDDOWN(N56*$P$2/10,0)&lt;M56,M56,ROUNDDOWN(N56*$P$2/10,0))</f>
        <v>8</v>
      </c>
      <c r="P56" s="3244">
        <f t="shared" si="0"/>
        <v>1164.3999999999999</v>
      </c>
      <c r="Q56" s="3568">
        <f t="shared" si="4"/>
        <v>776.26666666666665</v>
      </c>
      <c r="R56" s="3230" t="s">
        <v>2309</v>
      </c>
      <c r="T56" s="1342"/>
      <c r="U56" s="1342">
        <f t="shared" si="3"/>
        <v>467.28888888888889</v>
      </c>
      <c r="W56" s="1342" t="s">
        <v>3502</v>
      </c>
      <c r="X56" s="3724"/>
      <c r="Y56" s="1342"/>
      <c r="Z56" s="3724"/>
      <c r="AA56" s="1342"/>
      <c r="AB56" s="1342"/>
      <c r="AC56" s="1342"/>
      <c r="AD56" s="1342"/>
    </row>
    <row r="57" spans="1:30" s="1360" customFormat="1" ht="19.5" customHeight="1" x14ac:dyDescent="0.25">
      <c r="A57" s="4218"/>
      <c r="B57" s="2497" t="s">
        <v>204</v>
      </c>
      <c r="C57" s="2450">
        <v>106110898</v>
      </c>
      <c r="D57" s="2110" t="s">
        <v>1836</v>
      </c>
      <c r="E57" s="2101" t="s">
        <v>575</v>
      </c>
      <c r="F57" s="2451">
        <v>1</v>
      </c>
      <c r="G57" s="2476"/>
      <c r="H57" s="2401"/>
      <c r="I57" s="2452"/>
      <c r="J57" s="3347">
        <f>'Lista global'!I93</f>
        <v>13.866666666666667</v>
      </c>
      <c r="K57" s="3347">
        <f>'Lista global'!P93</f>
        <v>23.116666666666667</v>
      </c>
      <c r="L57" s="3347">
        <f>'Lista global'!Q93</f>
        <v>17.337499999999999</v>
      </c>
      <c r="M57" s="2731">
        <v>1</v>
      </c>
      <c r="N57" s="3124">
        <f>O2</f>
        <v>4</v>
      </c>
      <c r="O57" s="3121">
        <f>IF(ROUND(N57*$P$2/16,0)&lt;M57,M57,ROUND(N57*$P$2/16,0))</f>
        <v>20</v>
      </c>
      <c r="P57" s="3131">
        <f t="shared" si="0"/>
        <v>462.33333333333337</v>
      </c>
      <c r="Q57" s="3568">
        <f t="shared" si="4"/>
        <v>346.75</v>
      </c>
      <c r="R57" s="3230"/>
      <c r="T57" s="1351"/>
      <c r="U57" s="1342">
        <f t="shared" si="3"/>
        <v>277.33333333333337</v>
      </c>
      <c r="W57" s="1342" t="s">
        <v>3502</v>
      </c>
      <c r="X57" s="3724"/>
      <c r="Y57" s="1342"/>
      <c r="Z57" s="3724"/>
      <c r="AA57" s="1342"/>
      <c r="AB57" s="1342"/>
      <c r="AC57" s="1342"/>
      <c r="AD57" s="1342"/>
    </row>
    <row r="58" spans="1:30" s="1360" customFormat="1" ht="19.5" customHeight="1" thickBot="1" x14ac:dyDescent="0.3">
      <c r="A58" s="4219"/>
      <c r="B58" s="2498" t="s">
        <v>1593</v>
      </c>
      <c r="C58" s="2484">
        <v>106101089</v>
      </c>
      <c r="D58" s="2454" t="s">
        <v>1594</v>
      </c>
      <c r="E58" s="2105" t="s">
        <v>1595</v>
      </c>
      <c r="F58" s="2489" t="s">
        <v>0</v>
      </c>
      <c r="G58" s="2484" t="s">
        <v>0</v>
      </c>
      <c r="H58" s="2499">
        <v>5</v>
      </c>
      <c r="I58" s="2490"/>
      <c r="J58" s="3347">
        <f>'Lista global'!I5</f>
        <v>7.3666666666666663</v>
      </c>
      <c r="K58" s="3347">
        <f>'Lista global'!P5</f>
        <v>9.6125000000000007</v>
      </c>
      <c r="L58" s="3347">
        <f>'Lista global'!Q5</f>
        <v>8.0947368421052648</v>
      </c>
      <c r="M58" s="2453">
        <v>1</v>
      </c>
      <c r="N58" s="3124">
        <f>IF($Q$2=$S$5,IF(O2=2,1,2),IF(O2=2,2,3))</f>
        <v>3</v>
      </c>
      <c r="O58" s="3118">
        <f>IF(ROUND(N58*$P$2/16,0)&lt;M58,M58,ROUND(N58*$P$2/16,0))</f>
        <v>15</v>
      </c>
      <c r="P58" s="3128">
        <f t="shared" si="0"/>
        <v>144.1875</v>
      </c>
      <c r="Q58" s="3568">
        <f t="shared" si="4"/>
        <v>121.42105263157897</v>
      </c>
      <c r="R58" s="3230" t="s">
        <v>2309</v>
      </c>
      <c r="U58" s="1342">
        <f t="shared" si="3"/>
        <v>110.5</v>
      </c>
      <c r="W58" s="1342" t="s">
        <v>3629</v>
      </c>
      <c r="X58" s="3724" t="s">
        <v>3630</v>
      </c>
      <c r="Y58" s="1342"/>
      <c r="Z58" s="3724"/>
      <c r="AA58" s="1342"/>
      <c r="AB58" s="1342"/>
      <c r="AC58" s="1342"/>
      <c r="AD58" s="1342"/>
    </row>
    <row r="59" spans="1:30" ht="19.5" customHeight="1" x14ac:dyDescent="0.25">
      <c r="A59" s="4229" t="s">
        <v>2492</v>
      </c>
      <c r="B59" s="3162"/>
      <c r="C59" s="2718">
        <v>106112878</v>
      </c>
      <c r="D59" s="1411" t="s">
        <v>1558</v>
      </c>
      <c r="E59" s="1397" t="s">
        <v>1559</v>
      </c>
      <c r="F59" s="2449">
        <v>5</v>
      </c>
      <c r="G59" s="2447"/>
      <c r="H59" s="2447"/>
      <c r="I59" s="2851"/>
      <c r="J59" s="3347">
        <f>'Lista global'!I120</f>
        <v>1.9444444444444444</v>
      </c>
      <c r="K59" s="3347">
        <f>'Lista global'!P120</f>
        <v>2.4249999999999998</v>
      </c>
      <c r="L59" s="3347">
        <f>'Lista global'!Q120</f>
        <v>2.0421052631578949</v>
      </c>
      <c r="M59" s="2473">
        <v>5</v>
      </c>
      <c r="N59" s="3124">
        <f t="shared" si="2"/>
        <v>20</v>
      </c>
      <c r="O59" s="3243">
        <f>F59*($O$61+$O$62+$O$63+$O$64+$O$65+$O$66+$O$68+$O$69+$O$70+$O$71+$O$72+$O$73+$O$74+$O$76)</f>
        <v>50</v>
      </c>
      <c r="P59" s="3244">
        <f t="shared" si="0"/>
        <v>121.24999999999999</v>
      </c>
      <c r="Q59" s="3568">
        <f t="shared" si="4"/>
        <v>102.10526315789474</v>
      </c>
      <c r="R59" s="3230"/>
      <c r="T59" s="1360"/>
      <c r="U59" s="1342">
        <f t="shared" si="3"/>
        <v>97.222222222222214</v>
      </c>
      <c r="W59" s="1342" t="s">
        <v>3551</v>
      </c>
      <c r="X59" s="3724" t="s">
        <v>3552</v>
      </c>
    </row>
    <row r="60" spans="1:30" ht="19.5" customHeight="1" thickBot="1" x14ac:dyDescent="0.3">
      <c r="A60" s="4230"/>
      <c r="B60" s="2725"/>
      <c r="C60" s="2726">
        <v>106107580</v>
      </c>
      <c r="D60" s="2402" t="s">
        <v>1277</v>
      </c>
      <c r="E60" s="2403" t="s">
        <v>1278</v>
      </c>
      <c r="F60" s="2477">
        <v>3</v>
      </c>
      <c r="G60" s="2726"/>
      <c r="H60" s="2726"/>
      <c r="I60" s="2727"/>
      <c r="J60" s="3347">
        <f>'Lista global'!I78</f>
        <v>0.8666666666666667</v>
      </c>
      <c r="K60" s="3347">
        <f>'Lista global'!P78</f>
        <v>1.0874999999999999</v>
      </c>
      <c r="L60" s="3347">
        <f>'Lista global'!Q78</f>
        <v>0.9157894736842106</v>
      </c>
      <c r="M60" s="2453">
        <v>3</v>
      </c>
      <c r="N60" s="3124">
        <f t="shared" si="2"/>
        <v>12</v>
      </c>
      <c r="O60" s="3118">
        <f>F60*($O$61+$O$62+$O$63+$O$64+$O$65+$O$66+$O$68+$O$69+$O$70+$O$71+$O$72+$O$73+$O$74+$O$76)</f>
        <v>30</v>
      </c>
      <c r="P60" s="3128">
        <f t="shared" si="0"/>
        <v>32.625</v>
      </c>
      <c r="Q60" s="3568">
        <f t="shared" si="4"/>
        <v>27.473684210526319</v>
      </c>
      <c r="R60" s="3230"/>
      <c r="U60" s="1342">
        <f t="shared" si="3"/>
        <v>26</v>
      </c>
      <c r="W60" s="1342" t="s">
        <v>3553</v>
      </c>
      <c r="X60" s="3724" t="s">
        <v>3554</v>
      </c>
    </row>
    <row r="61" spans="1:30" ht="19.5" customHeight="1" x14ac:dyDescent="0.25">
      <c r="A61" s="4230"/>
      <c r="B61" s="2720" t="s">
        <v>2493</v>
      </c>
      <c r="C61" s="2447">
        <v>106205966</v>
      </c>
      <c r="D61" s="2448" t="s">
        <v>2775</v>
      </c>
      <c r="E61" s="2732" t="s">
        <v>2785</v>
      </c>
      <c r="F61" s="2449">
        <v>1</v>
      </c>
      <c r="G61" s="2396"/>
      <c r="H61" s="2397" t="s">
        <v>3156</v>
      </c>
      <c r="I61" s="2398"/>
      <c r="J61" s="3347">
        <f>'Lista global'!I295</f>
        <v>2072.2111111111112</v>
      </c>
      <c r="K61" s="3347">
        <f>'Lista global'!P295</f>
        <v>6373.6</v>
      </c>
      <c r="L61" s="3347">
        <f>'Lista global'!Q295</f>
        <v>3649.4500000000003</v>
      </c>
      <c r="M61" s="2473">
        <f t="shared" ref="M61:M66" si="7">IF(AND($M$2=T4,$N$2=$S$5),1,0)</f>
        <v>0</v>
      </c>
      <c r="N61" s="3124">
        <f>$O$2*M61</f>
        <v>0</v>
      </c>
      <c r="O61" s="3243">
        <f>ROUNDUP($O$2*$P$2*3/100,0)*M61</f>
        <v>0</v>
      </c>
      <c r="P61" s="3244">
        <f t="shared" si="0"/>
        <v>0</v>
      </c>
      <c r="Q61" s="3568">
        <f t="shared" si="4"/>
        <v>0</v>
      </c>
      <c r="R61" s="3230" t="s">
        <v>2309</v>
      </c>
      <c r="U61" s="1342">
        <f t="shared" si="3"/>
        <v>0</v>
      </c>
      <c r="W61" s="1342" t="s">
        <v>3502</v>
      </c>
    </row>
    <row r="62" spans="1:30" ht="19.5" customHeight="1" x14ac:dyDescent="0.25">
      <c r="A62" s="4230"/>
      <c r="B62" s="2497" t="s">
        <v>2494</v>
      </c>
      <c r="C62" s="2763">
        <v>106205968</v>
      </c>
      <c r="D62" s="2724" t="s">
        <v>2776</v>
      </c>
      <c r="E62" s="2733" t="s">
        <v>2777</v>
      </c>
      <c r="F62" s="2729">
        <v>1</v>
      </c>
      <c r="G62" s="2730"/>
      <c r="H62" s="2731" t="s">
        <v>3156</v>
      </c>
      <c r="I62" s="2452"/>
      <c r="J62" s="3347">
        <f>'Lista global'!I296</f>
        <v>2072.2111111111112</v>
      </c>
      <c r="K62" s="3347">
        <f>'Lista global'!P296</f>
        <v>7712.0560000000005</v>
      </c>
      <c r="L62" s="3347">
        <f>'Lista global'!Q296</f>
        <v>4415.8344999999999</v>
      </c>
      <c r="M62" s="2473">
        <f t="shared" si="7"/>
        <v>0</v>
      </c>
      <c r="N62" s="3124">
        <f t="shared" ref="N62:N73" si="8">$O$2*M62</f>
        <v>0</v>
      </c>
      <c r="O62" s="3121">
        <f t="shared" ref="O62:O76" si="9">ROUNDUP($O$2*$P$2*3/100,0)*M62</f>
        <v>0</v>
      </c>
      <c r="P62" s="3131">
        <f t="shared" si="0"/>
        <v>0</v>
      </c>
      <c r="Q62" s="3568">
        <f t="shared" si="4"/>
        <v>0</v>
      </c>
      <c r="R62" s="3230" t="s">
        <v>2309</v>
      </c>
      <c r="U62" s="1342">
        <f t="shared" si="3"/>
        <v>0</v>
      </c>
      <c r="W62" s="1342" t="s">
        <v>3502</v>
      </c>
    </row>
    <row r="63" spans="1:30" ht="19.5" customHeight="1" x14ac:dyDescent="0.25">
      <c r="A63" s="4230"/>
      <c r="B63" s="2735" t="s">
        <v>2827</v>
      </c>
      <c r="C63" s="2763">
        <v>106206534</v>
      </c>
      <c r="D63" s="2724" t="s">
        <v>2825</v>
      </c>
      <c r="E63" s="2733" t="s">
        <v>2826</v>
      </c>
      <c r="F63" s="2729">
        <v>1</v>
      </c>
      <c r="G63" s="2730"/>
      <c r="H63" s="2731" t="s">
        <v>3156</v>
      </c>
      <c r="I63" s="2452"/>
      <c r="J63" s="3347">
        <f>'Lista global'!I297</f>
        <v>2070.6222222222223</v>
      </c>
      <c r="K63" s="3347">
        <f>'Lista global'!P297</f>
        <v>8374.0499999999993</v>
      </c>
      <c r="L63" s="3347">
        <f>'Lista global'!Q297</f>
        <v>4794.91</v>
      </c>
      <c r="M63" s="2473">
        <f t="shared" si="7"/>
        <v>0</v>
      </c>
      <c r="N63" s="3124">
        <f t="shared" si="8"/>
        <v>0</v>
      </c>
      <c r="O63" s="3121">
        <f t="shared" si="9"/>
        <v>0</v>
      </c>
      <c r="P63" s="3131">
        <f t="shared" si="0"/>
        <v>0</v>
      </c>
      <c r="Q63" s="3568">
        <f t="shared" si="4"/>
        <v>0</v>
      </c>
      <c r="R63" s="3230" t="s">
        <v>2309</v>
      </c>
      <c r="U63" s="1342">
        <f t="shared" si="3"/>
        <v>0</v>
      </c>
      <c r="W63" s="1342" t="s">
        <v>3502</v>
      </c>
    </row>
    <row r="64" spans="1:30" ht="19.5" customHeight="1" x14ac:dyDescent="0.25">
      <c r="A64" s="4230"/>
      <c r="B64" s="2735" t="s">
        <v>2495</v>
      </c>
      <c r="C64" s="2763">
        <v>106205970</v>
      </c>
      <c r="D64" s="2724" t="s">
        <v>2778</v>
      </c>
      <c r="E64" s="2733" t="s">
        <v>2786</v>
      </c>
      <c r="F64" s="2729">
        <v>1</v>
      </c>
      <c r="G64" s="2730"/>
      <c r="H64" s="2731" t="s">
        <v>3156</v>
      </c>
      <c r="I64" s="2452"/>
      <c r="J64" s="3347">
        <f>'Lista global'!I299</f>
        <v>2072.2111111111112</v>
      </c>
      <c r="K64" s="3347">
        <f>'Lista global'!P299</f>
        <v>8808.8644000000004</v>
      </c>
      <c r="L64" s="3347">
        <f>'Lista global'!Q299</f>
        <v>5043.88</v>
      </c>
      <c r="M64" s="2473">
        <f t="shared" si="7"/>
        <v>0</v>
      </c>
      <c r="N64" s="3124">
        <f t="shared" si="8"/>
        <v>0</v>
      </c>
      <c r="O64" s="3121">
        <f t="shared" si="9"/>
        <v>0</v>
      </c>
      <c r="P64" s="3131">
        <f t="shared" si="0"/>
        <v>0</v>
      </c>
      <c r="Q64" s="3568">
        <f t="shared" si="4"/>
        <v>0</v>
      </c>
      <c r="R64" s="3230" t="s">
        <v>2309</v>
      </c>
      <c r="U64" s="1342">
        <f t="shared" si="3"/>
        <v>0</v>
      </c>
      <c r="W64" s="1342" t="s">
        <v>3502</v>
      </c>
    </row>
    <row r="65" spans="1:23" ht="19.5" customHeight="1" x14ac:dyDescent="0.25">
      <c r="A65" s="4230"/>
      <c r="B65" s="2497" t="s">
        <v>2496</v>
      </c>
      <c r="C65" s="2763">
        <v>106205972</v>
      </c>
      <c r="D65" s="2724" t="s">
        <v>2779</v>
      </c>
      <c r="E65" s="2733" t="s">
        <v>2782</v>
      </c>
      <c r="F65" s="2729">
        <v>1</v>
      </c>
      <c r="G65" s="2730"/>
      <c r="H65" s="2731" t="s">
        <v>3156</v>
      </c>
      <c r="I65" s="2452"/>
      <c r="J65" s="3347">
        <f>'Lista global'!I300</f>
        <v>2072.2111111111112</v>
      </c>
      <c r="K65" s="3347">
        <f>'Lista global'!P300</f>
        <v>9401</v>
      </c>
      <c r="L65" s="3347">
        <f>'Lista global'!Q300</f>
        <v>5358.57</v>
      </c>
      <c r="M65" s="2473">
        <f t="shared" si="7"/>
        <v>0</v>
      </c>
      <c r="N65" s="3124">
        <f t="shared" si="8"/>
        <v>0</v>
      </c>
      <c r="O65" s="3121">
        <f t="shared" si="9"/>
        <v>0</v>
      </c>
      <c r="P65" s="3131">
        <f t="shared" si="0"/>
        <v>0</v>
      </c>
      <c r="Q65" s="3568">
        <f t="shared" si="4"/>
        <v>0</v>
      </c>
      <c r="R65" s="3230" t="s">
        <v>2309</v>
      </c>
      <c r="U65" s="1342">
        <f t="shared" si="3"/>
        <v>0</v>
      </c>
      <c r="W65" s="1342" t="s">
        <v>3502</v>
      </c>
    </row>
    <row r="66" spans="1:23" ht="19.5" customHeight="1" x14ac:dyDescent="0.25">
      <c r="A66" s="4230"/>
      <c r="B66" s="2736" t="s">
        <v>2497</v>
      </c>
      <c r="C66" s="2763">
        <v>106205974</v>
      </c>
      <c r="D66" s="2724" t="s">
        <v>2780</v>
      </c>
      <c r="E66" s="2733" t="s">
        <v>2783</v>
      </c>
      <c r="F66" s="2729">
        <v>1</v>
      </c>
      <c r="G66" s="2730"/>
      <c r="H66" s="2731" t="s">
        <v>3156</v>
      </c>
      <c r="I66" s="2452"/>
      <c r="J66" s="3347">
        <f>'Lista global'!I301</f>
        <v>2072.2111111111112</v>
      </c>
      <c r="K66" s="3347">
        <f>'Lista global'!P301</f>
        <v>9495.01</v>
      </c>
      <c r="L66" s="3347">
        <f>'Lista global'!Q301</f>
        <v>5412.15</v>
      </c>
      <c r="M66" s="2473">
        <f t="shared" si="7"/>
        <v>0</v>
      </c>
      <c r="N66" s="3124">
        <f t="shared" si="8"/>
        <v>0</v>
      </c>
      <c r="O66" s="3121">
        <f t="shared" si="9"/>
        <v>0</v>
      </c>
      <c r="P66" s="3131">
        <f t="shared" si="0"/>
        <v>0</v>
      </c>
      <c r="Q66" s="3568">
        <f t="shared" si="4"/>
        <v>0</v>
      </c>
      <c r="R66" s="3230" t="s">
        <v>2309</v>
      </c>
      <c r="U66" s="1342">
        <f t="shared" si="3"/>
        <v>0</v>
      </c>
      <c r="W66" s="1342" t="s">
        <v>3502</v>
      </c>
    </row>
    <row r="67" spans="1:23" ht="19.5" customHeight="1" x14ac:dyDescent="0.25">
      <c r="A67" s="4230"/>
      <c r="B67" s="2497" t="s">
        <v>2498</v>
      </c>
      <c r="C67" s="2763">
        <v>106205976</v>
      </c>
      <c r="D67" s="2724" t="s">
        <v>2781</v>
      </c>
      <c r="E67" s="2733" t="s">
        <v>2784</v>
      </c>
      <c r="F67" s="2729">
        <v>1</v>
      </c>
      <c r="G67" s="2730"/>
      <c r="H67" s="2731" t="s">
        <v>3156</v>
      </c>
      <c r="I67" s="2452"/>
      <c r="J67" s="3347">
        <f>'Lista global'!I302</f>
        <v>2072.2111111111112</v>
      </c>
      <c r="K67" s="3347">
        <f>'Lista global'!P302</f>
        <v>9495.01</v>
      </c>
      <c r="L67" s="3347">
        <f>'Lista global'!Q302</f>
        <v>5412.15</v>
      </c>
      <c r="M67" s="2731">
        <f>IF(AND($M$2=T10,$N$2=$S$5),1,0)</f>
        <v>0</v>
      </c>
      <c r="N67" s="3124">
        <f t="shared" ref="N67" si="10">$O$2*M67</f>
        <v>0</v>
      </c>
      <c r="O67" s="3121">
        <f t="shared" ref="O67" si="11">ROUNDUP($O$2*$P$2*3/100,0)*M67</f>
        <v>0</v>
      </c>
      <c r="P67" s="3131">
        <f t="shared" ref="P67" si="12">K67*O67</f>
        <v>0</v>
      </c>
      <c r="Q67" s="3568">
        <f t="shared" ref="Q67" si="13">L67*O67</f>
        <v>0</v>
      </c>
      <c r="R67" s="3230" t="s">
        <v>2309</v>
      </c>
      <c r="U67" s="1342">
        <f t="shared" ref="U67" si="14">O67*J67</f>
        <v>0</v>
      </c>
      <c r="W67" s="1342" t="s">
        <v>3502</v>
      </c>
    </row>
    <row r="68" spans="1:23" ht="19.5" customHeight="1" thickBot="1" x14ac:dyDescent="0.3">
      <c r="A68" s="4230"/>
      <c r="B68" s="3764" t="s">
        <v>1660</v>
      </c>
      <c r="C68" s="2756" t="s">
        <v>0</v>
      </c>
      <c r="D68" s="2843" t="s">
        <v>4146</v>
      </c>
      <c r="E68" s="3765" t="s">
        <v>4147</v>
      </c>
      <c r="F68" s="2387">
        <v>1</v>
      </c>
      <c r="G68" s="3766"/>
      <c r="H68" s="2473" t="s">
        <v>3156</v>
      </c>
      <c r="I68" s="2389"/>
      <c r="J68" s="3347">
        <f>J67</f>
        <v>2072.2111111111112</v>
      </c>
      <c r="K68" s="3347">
        <f t="shared" ref="K68:L68" si="15">K67</f>
        <v>9495.01</v>
      </c>
      <c r="L68" s="3347">
        <f t="shared" si="15"/>
        <v>5412.15</v>
      </c>
      <c r="M68" s="2381">
        <f>IF(AND($M$2=T11,$N$2=$S$5),1,0)</f>
        <v>0</v>
      </c>
      <c r="N68" s="3124">
        <f t="shared" si="8"/>
        <v>0</v>
      </c>
      <c r="O68" s="3115">
        <f t="shared" si="9"/>
        <v>0</v>
      </c>
      <c r="P68" s="3125">
        <f t="shared" si="0"/>
        <v>0</v>
      </c>
      <c r="Q68" s="3568">
        <f t="shared" si="4"/>
        <v>0</v>
      </c>
      <c r="R68" s="3230" t="s">
        <v>2309</v>
      </c>
      <c r="U68" s="1342">
        <f t="shared" si="3"/>
        <v>0</v>
      </c>
      <c r="W68" s="1342" t="s">
        <v>3502</v>
      </c>
    </row>
    <row r="69" spans="1:23" ht="19.5" customHeight="1" x14ac:dyDescent="0.25">
      <c r="A69" s="4210"/>
      <c r="B69" s="2720" t="s">
        <v>3135</v>
      </c>
      <c r="C69" s="2447">
        <v>106205967</v>
      </c>
      <c r="D69" s="2448" t="s">
        <v>3136</v>
      </c>
      <c r="E69" s="2732" t="s">
        <v>3137</v>
      </c>
      <c r="F69" s="2449">
        <v>1</v>
      </c>
      <c r="G69" s="2396"/>
      <c r="H69" s="2397" t="s">
        <v>3155</v>
      </c>
      <c r="I69" s="2398"/>
      <c r="J69" s="3347">
        <f>'Lista global'!I309</f>
        <v>2072.2111111111112</v>
      </c>
      <c r="K69" s="3347">
        <f>'Lista global'!P309</f>
        <v>6373.6</v>
      </c>
      <c r="L69" s="3347">
        <f>'Lista global'!Q309</f>
        <v>3649.4500000000003</v>
      </c>
      <c r="M69" s="2473">
        <f t="shared" ref="M69:M76" si="16">IF(AND($M$2=T4,$N$2=$S$4),1,0)</f>
        <v>0</v>
      </c>
      <c r="N69" s="3124">
        <f t="shared" si="8"/>
        <v>0</v>
      </c>
      <c r="O69" s="3243">
        <f t="shared" si="9"/>
        <v>0</v>
      </c>
      <c r="P69" s="3244">
        <f t="shared" si="0"/>
        <v>0</v>
      </c>
      <c r="Q69" s="3568">
        <f t="shared" si="4"/>
        <v>0</v>
      </c>
      <c r="R69" s="3230" t="s">
        <v>2309</v>
      </c>
      <c r="U69" s="1342">
        <f t="shared" si="3"/>
        <v>0</v>
      </c>
      <c r="W69" s="1342" t="s">
        <v>3502</v>
      </c>
    </row>
    <row r="70" spans="1:23" ht="19.5" customHeight="1" x14ac:dyDescent="0.25">
      <c r="A70" s="4210"/>
      <c r="B70" s="2497" t="s">
        <v>3138</v>
      </c>
      <c r="C70" s="2763">
        <v>106205969</v>
      </c>
      <c r="D70" s="2724" t="s">
        <v>3139</v>
      </c>
      <c r="E70" s="2733" t="s">
        <v>3140</v>
      </c>
      <c r="F70" s="2729">
        <v>1</v>
      </c>
      <c r="G70" s="2730"/>
      <c r="H70" s="2731" t="s">
        <v>3155</v>
      </c>
      <c r="I70" s="2452"/>
      <c r="J70" s="3347">
        <f>'Lista global'!I310</f>
        <v>2072.2111111111112</v>
      </c>
      <c r="K70" s="3347">
        <f>'Lista global'!P310</f>
        <v>7712.0560000000005</v>
      </c>
      <c r="L70" s="3347">
        <f>'Lista global'!Q310</f>
        <v>4415.8344999999999</v>
      </c>
      <c r="M70" s="2473">
        <f t="shared" si="16"/>
        <v>0</v>
      </c>
      <c r="N70" s="3124">
        <f t="shared" si="8"/>
        <v>0</v>
      </c>
      <c r="O70" s="3121">
        <f t="shared" si="9"/>
        <v>0</v>
      </c>
      <c r="P70" s="3131">
        <f t="shared" si="0"/>
        <v>0</v>
      </c>
      <c r="Q70" s="3568">
        <f t="shared" si="4"/>
        <v>0</v>
      </c>
      <c r="R70" s="3230" t="s">
        <v>2309</v>
      </c>
      <c r="U70" s="1342">
        <f t="shared" si="3"/>
        <v>0</v>
      </c>
      <c r="W70" s="1342" t="s">
        <v>3502</v>
      </c>
    </row>
    <row r="71" spans="1:23" ht="19.5" customHeight="1" x14ac:dyDescent="0.25">
      <c r="A71" s="4210"/>
      <c r="B71" s="2735" t="s">
        <v>3141</v>
      </c>
      <c r="C71" s="2763">
        <v>106206543</v>
      </c>
      <c r="D71" s="2724" t="s">
        <v>3142</v>
      </c>
      <c r="E71" s="2733" t="s">
        <v>3143</v>
      </c>
      <c r="F71" s="2729">
        <v>1</v>
      </c>
      <c r="G71" s="2730"/>
      <c r="H71" s="2731" t="s">
        <v>3155</v>
      </c>
      <c r="I71" s="2452"/>
      <c r="J71" s="3347">
        <f>'Lista global'!I311</f>
        <v>2072.2111111111112</v>
      </c>
      <c r="K71" s="3347">
        <f>'Lista global'!P311</f>
        <v>8374.0499999999993</v>
      </c>
      <c r="L71" s="3347">
        <f>'Lista global'!Q311</f>
        <v>4794.91</v>
      </c>
      <c r="M71" s="2473">
        <f t="shared" si="16"/>
        <v>0</v>
      </c>
      <c r="N71" s="3124">
        <f t="shared" si="8"/>
        <v>0</v>
      </c>
      <c r="O71" s="3121">
        <f t="shared" si="9"/>
        <v>0</v>
      </c>
      <c r="P71" s="3131">
        <f t="shared" si="0"/>
        <v>0</v>
      </c>
      <c r="Q71" s="3568">
        <f t="shared" si="4"/>
        <v>0</v>
      </c>
      <c r="R71" s="3230" t="s">
        <v>2309</v>
      </c>
      <c r="U71" s="1342">
        <f t="shared" si="3"/>
        <v>0</v>
      </c>
      <c r="W71" s="1342" t="s">
        <v>3502</v>
      </c>
    </row>
    <row r="72" spans="1:23" ht="19.5" customHeight="1" x14ac:dyDescent="0.25">
      <c r="A72" s="4210"/>
      <c r="B72" s="2735" t="s">
        <v>3144</v>
      </c>
      <c r="C72" s="2763">
        <v>106205971</v>
      </c>
      <c r="D72" s="2724" t="s">
        <v>3145</v>
      </c>
      <c r="E72" s="2733" t="s">
        <v>3146</v>
      </c>
      <c r="F72" s="2729">
        <v>1</v>
      </c>
      <c r="G72" s="2730"/>
      <c r="H72" s="2731" t="s">
        <v>3155</v>
      </c>
      <c r="I72" s="2452"/>
      <c r="J72" s="3347">
        <f>'Lista global'!I312</f>
        <v>2072.2111111111112</v>
      </c>
      <c r="K72" s="3347">
        <f>'Lista global'!P312</f>
        <v>8808.8644000000004</v>
      </c>
      <c r="L72" s="3347">
        <f>'Lista global'!Q312</f>
        <v>5043.88</v>
      </c>
      <c r="M72" s="2473">
        <f t="shared" si="16"/>
        <v>0</v>
      </c>
      <c r="N72" s="3124">
        <f t="shared" si="8"/>
        <v>0</v>
      </c>
      <c r="O72" s="3121">
        <f t="shared" si="9"/>
        <v>0</v>
      </c>
      <c r="P72" s="3131">
        <f t="shared" si="0"/>
        <v>0</v>
      </c>
      <c r="Q72" s="3568">
        <f t="shared" si="4"/>
        <v>0</v>
      </c>
      <c r="R72" s="3230" t="s">
        <v>2309</v>
      </c>
      <c r="U72" s="1342">
        <f t="shared" si="3"/>
        <v>0</v>
      </c>
      <c r="W72" s="1342" t="s">
        <v>3502</v>
      </c>
    </row>
    <row r="73" spans="1:23" ht="19.5" customHeight="1" x14ac:dyDescent="0.25">
      <c r="A73" s="4210"/>
      <c r="B73" s="2497" t="s">
        <v>3147</v>
      </c>
      <c r="C73" s="2763">
        <v>106205973</v>
      </c>
      <c r="D73" s="2724" t="s">
        <v>3148</v>
      </c>
      <c r="E73" s="2733" t="s">
        <v>3149</v>
      </c>
      <c r="F73" s="2729">
        <v>1</v>
      </c>
      <c r="G73" s="2730"/>
      <c r="H73" s="2731" t="s">
        <v>3155</v>
      </c>
      <c r="I73" s="2452"/>
      <c r="J73" s="3347">
        <f>'Lista global'!I313</f>
        <v>2072.2111111111112</v>
      </c>
      <c r="K73" s="3347">
        <f>'Lista global'!P313</f>
        <v>9401</v>
      </c>
      <c r="L73" s="3347">
        <f>'Lista global'!Q313</f>
        <v>5358.57</v>
      </c>
      <c r="M73" s="2473">
        <f t="shared" si="16"/>
        <v>0</v>
      </c>
      <c r="N73" s="3124">
        <f t="shared" si="8"/>
        <v>0</v>
      </c>
      <c r="O73" s="3121">
        <f t="shared" si="9"/>
        <v>0</v>
      </c>
      <c r="P73" s="3131">
        <f t="shared" si="0"/>
        <v>0</v>
      </c>
      <c r="Q73" s="3568">
        <f t="shared" si="4"/>
        <v>0</v>
      </c>
      <c r="R73" s="3230" t="s">
        <v>2309</v>
      </c>
      <c r="U73" s="1342">
        <f t="shared" si="3"/>
        <v>0</v>
      </c>
      <c r="W73" s="1342" t="s">
        <v>3502</v>
      </c>
    </row>
    <row r="74" spans="1:23" ht="19.5" customHeight="1" x14ac:dyDescent="0.25">
      <c r="A74" s="4210"/>
      <c r="B74" s="2497" t="s">
        <v>3150</v>
      </c>
      <c r="C74" s="2763">
        <v>106205975</v>
      </c>
      <c r="D74" s="2724" t="s">
        <v>3151</v>
      </c>
      <c r="E74" s="2733" t="s">
        <v>3152</v>
      </c>
      <c r="F74" s="2729">
        <v>1</v>
      </c>
      <c r="G74" s="2730"/>
      <c r="H74" s="2731" t="s">
        <v>3155</v>
      </c>
      <c r="I74" s="2452"/>
      <c r="J74" s="3347">
        <f>'Lista global'!I314</f>
        <v>2072.2111111111112</v>
      </c>
      <c r="K74" s="3347">
        <f>'Lista global'!P314</f>
        <v>9495.01</v>
      </c>
      <c r="L74" s="3347">
        <f>'Lista global'!Q314</f>
        <v>5412.15</v>
      </c>
      <c r="M74" s="2473">
        <f t="shared" si="16"/>
        <v>0</v>
      </c>
      <c r="N74" s="3124">
        <f t="shared" ref="N74:N76" si="17">$O$2*M74</f>
        <v>0</v>
      </c>
      <c r="O74" s="3121">
        <f t="shared" ref="O74" si="18">ROUNDUP($O$2*$P$2*3/100,0)*M74</f>
        <v>0</v>
      </c>
      <c r="P74" s="3131">
        <f>K74*O74</f>
        <v>0</v>
      </c>
      <c r="Q74" s="3568">
        <f t="shared" ref="Q74:Q75" si="19">L74*O74</f>
        <v>0</v>
      </c>
      <c r="R74" s="3230" t="s">
        <v>2309</v>
      </c>
      <c r="U74" s="1342">
        <f t="shared" ref="U74:U75" si="20">O74*J74</f>
        <v>0</v>
      </c>
      <c r="W74" s="1342" t="s">
        <v>3502</v>
      </c>
    </row>
    <row r="75" spans="1:23" ht="19.5" customHeight="1" x14ac:dyDescent="0.25">
      <c r="A75" s="4210"/>
      <c r="B75" s="2497" t="s">
        <v>1660</v>
      </c>
      <c r="C75" s="2763" t="s">
        <v>0</v>
      </c>
      <c r="D75" s="2724" t="s">
        <v>3823</v>
      </c>
      <c r="E75" s="2733" t="s">
        <v>3824</v>
      </c>
      <c r="F75" s="2729">
        <v>1</v>
      </c>
      <c r="G75" s="2730"/>
      <c r="H75" s="2731" t="s">
        <v>3155</v>
      </c>
      <c r="I75" s="2452"/>
      <c r="J75" s="3347">
        <f>J74</f>
        <v>2072.2111111111112</v>
      </c>
      <c r="K75" s="3347">
        <f t="shared" ref="K75:L75" si="21">K74</f>
        <v>9495.01</v>
      </c>
      <c r="L75" s="3347">
        <f t="shared" si="21"/>
        <v>5412.15</v>
      </c>
      <c r="M75" s="2473">
        <f t="shared" si="16"/>
        <v>0</v>
      </c>
      <c r="N75" s="3124">
        <f t="shared" si="17"/>
        <v>0</v>
      </c>
      <c r="O75" s="3121">
        <f>ROUNDUP($O$2*$P$2*3/100,0)*M75</f>
        <v>0</v>
      </c>
      <c r="P75" s="3131">
        <f t="shared" ref="P75" si="22">K75*O75</f>
        <v>0</v>
      </c>
      <c r="Q75" s="3568">
        <f t="shared" si="19"/>
        <v>0</v>
      </c>
      <c r="R75" s="3230" t="s">
        <v>2309</v>
      </c>
      <c r="U75" s="1342">
        <f t="shared" si="20"/>
        <v>0</v>
      </c>
      <c r="W75" s="1342" t="s">
        <v>3502</v>
      </c>
    </row>
    <row r="76" spans="1:23" ht="19.5" customHeight="1" thickBot="1" x14ac:dyDescent="0.3">
      <c r="A76" s="4211"/>
      <c r="B76" s="3764" t="s">
        <v>3827</v>
      </c>
      <c r="C76" s="2756">
        <v>106208877</v>
      </c>
      <c r="D76" s="2843" t="s">
        <v>3825</v>
      </c>
      <c r="E76" s="3765" t="s">
        <v>3826</v>
      </c>
      <c r="F76" s="2387">
        <v>1</v>
      </c>
      <c r="G76" s="3766"/>
      <c r="H76" s="2381" t="s">
        <v>3155</v>
      </c>
      <c r="I76" s="2389"/>
      <c r="J76" s="3347">
        <f>J75</f>
        <v>2072.2111111111112</v>
      </c>
      <c r="K76" s="3347">
        <f t="shared" ref="K76" si="23">K75</f>
        <v>9495.01</v>
      </c>
      <c r="L76" s="3347">
        <f t="shared" ref="L76" si="24">L75</f>
        <v>5412.15</v>
      </c>
      <c r="M76" s="2473">
        <f t="shared" si="16"/>
        <v>1</v>
      </c>
      <c r="N76" s="3124">
        <f t="shared" si="17"/>
        <v>4</v>
      </c>
      <c r="O76" s="3121">
        <f t="shared" si="9"/>
        <v>10</v>
      </c>
      <c r="P76" s="3131">
        <f>K76*O76</f>
        <v>94950.1</v>
      </c>
      <c r="Q76" s="3568">
        <f t="shared" si="4"/>
        <v>54121.5</v>
      </c>
      <c r="R76" s="3230" t="s">
        <v>2309</v>
      </c>
      <c r="U76" s="1342">
        <f t="shared" si="3"/>
        <v>20722.111111111113</v>
      </c>
      <c r="W76" s="1342" t="s">
        <v>3502</v>
      </c>
    </row>
    <row r="77" spans="1:23" ht="19.5" customHeight="1" thickBot="1" x14ac:dyDescent="0.3">
      <c r="A77" s="2856"/>
      <c r="B77" s="2544"/>
      <c r="C77" s="2898"/>
      <c r="D77" s="3234"/>
      <c r="E77" s="3235"/>
      <c r="F77" s="2814"/>
      <c r="G77" s="2860"/>
      <c r="H77" s="4041"/>
      <c r="I77" s="4041"/>
      <c r="J77" s="3347"/>
      <c r="K77" s="3347"/>
      <c r="L77" s="3347"/>
      <c r="M77" s="4041"/>
      <c r="N77" s="3124"/>
      <c r="O77" s="3845"/>
      <c r="P77" s="3568"/>
      <c r="Q77" s="3568"/>
      <c r="R77" s="3230"/>
    </row>
    <row r="78" spans="1:23" ht="19.5" customHeight="1" x14ac:dyDescent="0.25">
      <c r="A78" s="4229" t="s">
        <v>3363</v>
      </c>
      <c r="B78" s="2720" t="s">
        <v>1030</v>
      </c>
      <c r="C78" s="2447">
        <v>106200533</v>
      </c>
      <c r="D78" s="1411" t="s">
        <v>3364</v>
      </c>
      <c r="E78" s="2732" t="s">
        <v>3365</v>
      </c>
      <c r="F78" s="2449"/>
      <c r="G78" s="2396"/>
      <c r="H78" s="2397"/>
      <c r="I78" s="2398"/>
      <c r="J78" s="3347">
        <f>tarjetas!$D$20</f>
        <v>17.64</v>
      </c>
      <c r="K78" s="3347">
        <f>J78/0.4</f>
        <v>44.1</v>
      </c>
      <c r="L78" s="3347">
        <f>J78/0.8</f>
        <v>22.05</v>
      </c>
      <c r="M78" s="2731">
        <v>1</v>
      </c>
      <c r="N78" s="3124">
        <f>O2</f>
        <v>4</v>
      </c>
      <c r="O78" s="3121">
        <f>IF(ROUNDDOWN(($P$2*N78/4)/5,0)&lt;M78,M78,ROUNDDOWN(($P$2*N78/4)/5,0))</f>
        <v>16</v>
      </c>
      <c r="P78" s="3131">
        <f>K78*O78</f>
        <v>705.6</v>
      </c>
      <c r="Q78" s="3568"/>
      <c r="R78" s="3230"/>
      <c r="W78" s="1342" t="s">
        <v>3502</v>
      </c>
    </row>
    <row r="79" spans="1:23" ht="19.5" customHeight="1" x14ac:dyDescent="0.25">
      <c r="A79" s="4230"/>
      <c r="B79" s="2497" t="s">
        <v>3366</v>
      </c>
      <c r="C79" s="2726">
        <v>106122984</v>
      </c>
      <c r="D79" s="2402" t="s">
        <v>3782</v>
      </c>
      <c r="E79" s="2733" t="s">
        <v>3367</v>
      </c>
      <c r="F79" s="2729"/>
      <c r="G79" s="2730"/>
      <c r="H79" s="2731"/>
      <c r="I79" s="2452"/>
      <c r="J79" s="3347">
        <f>tarjetas!$D$31</f>
        <v>133.32</v>
      </c>
      <c r="K79" s="3347">
        <f>J79/0.4</f>
        <v>333.29999999999995</v>
      </c>
      <c r="L79" s="3347">
        <f>J79/0.8</f>
        <v>166.64999999999998</v>
      </c>
      <c r="M79" s="2731">
        <v>1</v>
      </c>
      <c r="N79" s="3124">
        <v>1</v>
      </c>
      <c r="O79" s="3121">
        <f>IF(ROUNDUP(($P$2*N79/4)/5,0)&lt;M79,M79,ROUNDUP(($P$2*N79/4)/5,0))</f>
        <v>4</v>
      </c>
      <c r="P79" s="3131">
        <f>K79*O79</f>
        <v>1333.1999999999998</v>
      </c>
      <c r="Q79" s="3568"/>
      <c r="R79" s="3230"/>
      <c r="W79" s="1342" t="s">
        <v>3502</v>
      </c>
    </row>
    <row r="80" spans="1:23" ht="19.5" customHeight="1" x14ac:dyDescent="0.25">
      <c r="A80" s="4230"/>
      <c r="B80" s="2736" t="s">
        <v>1029</v>
      </c>
      <c r="C80" s="2726">
        <v>106200874</v>
      </c>
      <c r="D80" s="2402" t="s">
        <v>3370</v>
      </c>
      <c r="E80" s="3658" t="s">
        <v>3371</v>
      </c>
      <c r="F80" s="2477"/>
      <c r="G80" s="2478"/>
      <c r="H80" s="2404"/>
      <c r="I80" s="2479"/>
      <c r="J80" s="3347">
        <f>tarjetas!$D$26</f>
        <v>175.24</v>
      </c>
      <c r="K80" s="3347">
        <f>J80/0.6</f>
        <v>292.06666666666672</v>
      </c>
      <c r="L80" s="3347">
        <f>J80/0.8</f>
        <v>219.05</v>
      </c>
      <c r="M80" s="2731">
        <v>1</v>
      </c>
      <c r="N80" s="3124">
        <v>1</v>
      </c>
      <c r="O80" s="3121">
        <f>IF(ROUNDUP(($P$2*N80/4)/5,0)&lt;M80,M80,ROUNDUP(($P$2*N80/4)/5,0))</f>
        <v>4</v>
      </c>
      <c r="P80" s="3131">
        <f>K80*O80</f>
        <v>1168.2666666666669</v>
      </c>
      <c r="Q80" s="3568"/>
      <c r="R80" s="3230"/>
      <c r="W80" s="1342" t="s">
        <v>3502</v>
      </c>
    </row>
    <row r="81" spans="1:30" ht="19.5" customHeight="1" thickBot="1" x14ac:dyDescent="0.3">
      <c r="A81" s="4231"/>
      <c r="B81" s="2498" t="s">
        <v>3280</v>
      </c>
      <c r="C81" s="2484">
        <v>106124036</v>
      </c>
      <c r="D81" s="2454" t="s">
        <v>3368</v>
      </c>
      <c r="E81" s="2734" t="s">
        <v>3369</v>
      </c>
      <c r="F81" s="2394"/>
      <c r="G81" s="2482"/>
      <c r="H81" s="2453"/>
      <c r="I81" s="2595"/>
      <c r="J81" s="3347">
        <f>'Lista global'!I358</f>
        <v>179.78888888888889</v>
      </c>
      <c r="K81" s="3347">
        <f>'Lista global'!P358</f>
        <v>224.73749999999998</v>
      </c>
      <c r="L81" s="3347">
        <f>'Lista global'!Q358</f>
        <v>189.25263157894736</v>
      </c>
      <c r="M81" s="2731">
        <v>1</v>
      </c>
      <c r="N81" s="3124">
        <v>1</v>
      </c>
      <c r="O81" s="3121">
        <f>IF(ROUNDUP(($P$2*N81/4)/5,0)&lt;M81,M81,ROUNDUP(($P$2*N81/4)/5,0))</f>
        <v>4</v>
      </c>
      <c r="P81" s="3131">
        <f>K81*O81</f>
        <v>898.94999999999993</v>
      </c>
      <c r="Q81" s="3568"/>
      <c r="R81" s="3230"/>
      <c r="W81" s="1342" t="s">
        <v>3631</v>
      </c>
      <c r="X81" s="3724" t="s">
        <v>3632</v>
      </c>
    </row>
    <row r="82" spans="1:30" ht="19.5" customHeight="1" thickBot="1" x14ac:dyDescent="0.3">
      <c r="A82" s="3663" t="s">
        <v>3382</v>
      </c>
      <c r="B82" s="3764" t="s">
        <v>3642</v>
      </c>
      <c r="C82" s="2756">
        <v>106112808</v>
      </c>
      <c r="D82" s="2843" t="s">
        <v>3696</v>
      </c>
      <c r="E82" s="3765" t="s">
        <v>3697</v>
      </c>
      <c r="F82" s="2387"/>
      <c r="G82" s="3766">
        <v>1</v>
      </c>
      <c r="H82" s="2381"/>
      <c r="I82" s="2389"/>
      <c r="J82" s="3347">
        <f>'Lista global'!$I$354</f>
        <v>146.11111111111111</v>
      </c>
      <c r="K82" s="3347">
        <f>'Lista global'!$P$354</f>
        <v>182.63750000000002</v>
      </c>
      <c r="L82" s="3347">
        <f>'Lista global'!$Q$354</f>
        <v>153.80000000000001</v>
      </c>
      <c r="M82" s="2473">
        <v>1</v>
      </c>
      <c r="N82" s="3124">
        <v>1</v>
      </c>
      <c r="O82" s="3121">
        <f>IF(ROUNDUP(($O$2*N82/4)/5,0)&lt;M82,M82,ROUNDUP(($O$2*N82/4)/5,0))</f>
        <v>1</v>
      </c>
      <c r="P82" s="3131">
        <f t="shared" ref="P82" si="25">K82*O82</f>
        <v>182.63750000000002</v>
      </c>
      <c r="Q82" s="3568"/>
      <c r="R82" s="3230"/>
      <c r="W82" s="1342" t="s">
        <v>3526</v>
      </c>
      <c r="X82" s="1342" t="s">
        <v>3652</v>
      </c>
      <c r="Z82" s="1342"/>
    </row>
    <row r="83" spans="1:30" ht="19.5" customHeight="1" thickBot="1" x14ac:dyDescent="0.3">
      <c r="A83" s="2856"/>
      <c r="B83" s="2544"/>
      <c r="C83" s="2898"/>
      <c r="D83" s="3234"/>
      <c r="E83" s="3235"/>
      <c r="F83" s="2814"/>
      <c r="G83" s="2860"/>
      <c r="H83" s="4041"/>
      <c r="I83" s="4041"/>
      <c r="J83" s="3347"/>
      <c r="K83" s="3347"/>
      <c r="L83" s="3347"/>
      <c r="M83" s="4041"/>
      <c r="N83" s="3124"/>
      <c r="O83" s="3845"/>
      <c r="P83" s="3568"/>
      <c r="Q83" s="3568"/>
      <c r="R83" s="3230"/>
      <c r="X83" s="1342"/>
      <c r="Z83" s="1342"/>
    </row>
    <row r="84" spans="1:30" ht="19.5" customHeight="1" x14ac:dyDescent="0.25">
      <c r="A84" s="4229" t="s">
        <v>3660</v>
      </c>
      <c r="B84" s="3767" t="s">
        <v>2949</v>
      </c>
      <c r="C84" s="2940" t="s">
        <v>1500</v>
      </c>
      <c r="D84" s="2448" t="s">
        <v>1149</v>
      </c>
      <c r="E84" s="1441" t="s">
        <v>1149</v>
      </c>
      <c r="F84" s="2940">
        <v>1</v>
      </c>
      <c r="G84" s="2397"/>
      <c r="H84" s="2789">
        <v>6</v>
      </c>
      <c r="I84" s="2398"/>
      <c r="J84" s="3347">
        <f>'Lista global'!I262</f>
        <v>127.06666666666666</v>
      </c>
      <c r="K84" s="3347">
        <f>'Lista global'!P262</f>
        <v>318.47499999999997</v>
      </c>
      <c r="L84" s="3347">
        <f>'Lista global'!Q262</f>
        <v>212.31666666666666</v>
      </c>
      <c r="M84" s="2731">
        <f>IF($L$2=$S$4,1,0)</f>
        <v>0</v>
      </c>
      <c r="N84" s="3124">
        <f>IF($L$2=$S$4,F84*O2,0)</f>
        <v>0</v>
      </c>
      <c r="O84" s="3121">
        <f>IF(ROUNDDOWN(N84*$P$2/20,0)&lt;M84,M84,ROUNDDOWN(N84*$P$2/20,0))</f>
        <v>0</v>
      </c>
      <c r="P84" s="3131">
        <f>K84*O84</f>
        <v>0</v>
      </c>
      <c r="Q84" s="3568">
        <f>L84*O84</f>
        <v>0</v>
      </c>
      <c r="R84" s="3230"/>
      <c r="U84" s="1342">
        <f>O84*J84</f>
        <v>0</v>
      </c>
      <c r="W84" s="1342" t="s">
        <v>3502</v>
      </c>
    </row>
    <row r="85" spans="1:30" ht="19.5" customHeight="1" thickBot="1" x14ac:dyDescent="0.3">
      <c r="A85" s="4231"/>
      <c r="B85" s="3764" t="s">
        <v>3644</v>
      </c>
      <c r="C85" s="2756">
        <v>106116005</v>
      </c>
      <c r="D85" s="2843" t="s">
        <v>1498</v>
      </c>
      <c r="E85" s="3765" t="s">
        <v>1499</v>
      </c>
      <c r="F85" s="2387">
        <v>1</v>
      </c>
      <c r="G85" s="3766"/>
      <c r="H85" s="2381" t="s">
        <v>649</v>
      </c>
      <c r="I85" s="2389"/>
      <c r="J85" s="3347">
        <f>'Lista global'!$I$150</f>
        <v>3.1111111111111107</v>
      </c>
      <c r="K85" s="3347">
        <f>'Lista global'!$P$150</f>
        <v>3.8874999999999997</v>
      </c>
      <c r="L85" s="3347">
        <f>'Lista global'!$Q$150</f>
        <v>3.2736842105263158</v>
      </c>
      <c r="M85" s="2473">
        <f>M84</f>
        <v>0</v>
      </c>
      <c r="N85" s="3124">
        <f>N84</f>
        <v>0</v>
      </c>
      <c r="O85" s="3243">
        <f>O84</f>
        <v>0</v>
      </c>
      <c r="P85" s="3244">
        <f t="shared" ref="P85" si="26">K85*O85</f>
        <v>0</v>
      </c>
      <c r="Q85" s="3568">
        <f t="shared" ref="Q85" si="27">L85*O85</f>
        <v>0</v>
      </c>
      <c r="R85" s="3230"/>
      <c r="W85" s="1342" t="s">
        <v>3511</v>
      </c>
      <c r="X85" s="1342" t="s">
        <v>3518</v>
      </c>
      <c r="Y85" s="1342" t="s">
        <v>3508</v>
      </c>
      <c r="Z85" s="1342">
        <v>491605</v>
      </c>
      <c r="AA85" s="1342" t="s">
        <v>3519</v>
      </c>
      <c r="AB85" s="1342" t="s">
        <v>3520</v>
      </c>
      <c r="AC85" s="1342" t="s">
        <v>3521</v>
      </c>
      <c r="AD85" s="1342" t="s">
        <v>3522</v>
      </c>
    </row>
    <row r="86" spans="1:30" ht="15.75" thickBot="1" x14ac:dyDescent="0.3">
      <c r="A86" s="3662"/>
    </row>
    <row r="87" spans="1:30" ht="19.5" customHeight="1" x14ac:dyDescent="0.25">
      <c r="A87" s="4229" t="s">
        <v>3662</v>
      </c>
      <c r="B87" s="4232" t="s">
        <v>3172</v>
      </c>
      <c r="C87" s="2447">
        <v>106127046</v>
      </c>
      <c r="D87" s="3768" t="s">
        <v>3785</v>
      </c>
      <c r="E87" s="2732" t="s">
        <v>3786</v>
      </c>
      <c r="F87" s="2449"/>
      <c r="G87" s="2396">
        <v>1</v>
      </c>
      <c r="H87" s="2397"/>
      <c r="I87" s="2398"/>
      <c r="J87" s="3347">
        <f>'Lista global'!$I$348</f>
        <v>99.933333333333323</v>
      </c>
      <c r="K87" s="3347">
        <f>'Lista global'!$P$348</f>
        <v>249.6</v>
      </c>
      <c r="L87" s="3347">
        <f>'Lista global'!$Q$348</f>
        <v>166.4</v>
      </c>
      <c r="M87" s="2731"/>
      <c r="N87" s="3124"/>
      <c r="O87" s="3121"/>
      <c r="P87" s="3131">
        <f t="shared" ref="P87:P89" si="28">K87*O87</f>
        <v>0</v>
      </c>
      <c r="Q87" s="3568"/>
      <c r="R87" s="3230"/>
      <c r="W87" s="1342" t="s">
        <v>3502</v>
      </c>
    </row>
    <row r="88" spans="1:30" ht="19.5" customHeight="1" x14ac:dyDescent="0.25">
      <c r="A88" s="4230"/>
      <c r="B88" s="4233"/>
      <c r="C88" s="2726">
        <v>106127211</v>
      </c>
      <c r="D88" s="2724" t="s">
        <v>3787</v>
      </c>
      <c r="E88" s="2733" t="s">
        <v>3788</v>
      </c>
      <c r="F88" s="2477"/>
      <c r="G88" s="2478">
        <v>2</v>
      </c>
      <c r="H88" s="2404"/>
      <c r="I88" s="2479"/>
      <c r="J88" s="3347">
        <f>'Lista global'!$I$357</f>
        <v>31.31</v>
      </c>
      <c r="K88" s="3347">
        <f>'Lista global'!$P$357</f>
        <v>39.137499999999996</v>
      </c>
      <c r="L88" s="3347">
        <f>'Lista global'!$Q$357</f>
        <v>32.957894736842107</v>
      </c>
      <c r="M88" s="2473"/>
      <c r="N88" s="3124"/>
      <c r="O88" s="3121"/>
      <c r="P88" s="3131">
        <f t="shared" si="28"/>
        <v>0</v>
      </c>
      <c r="Q88" s="3568"/>
      <c r="R88" s="3230"/>
      <c r="W88" s="1342" t="s">
        <v>3627</v>
      </c>
      <c r="X88" s="3724">
        <v>8951340000</v>
      </c>
    </row>
    <row r="89" spans="1:30" ht="19.5" customHeight="1" thickBot="1" x14ac:dyDescent="0.3">
      <c r="A89" s="4231"/>
      <c r="B89" s="4234"/>
      <c r="C89" s="2484">
        <v>106121596</v>
      </c>
      <c r="D89" s="2454" t="s">
        <v>3816</v>
      </c>
      <c r="E89" s="2734" t="s">
        <v>3817</v>
      </c>
      <c r="F89" s="2394"/>
      <c r="G89" s="2482" t="s">
        <v>3659</v>
      </c>
      <c r="H89" s="2453"/>
      <c r="I89" s="2595"/>
      <c r="J89" s="3347">
        <f>'Lista global'!$I$350</f>
        <v>32.355555555555554</v>
      </c>
      <c r="K89" s="3347">
        <f>'Lista global'!$P$350</f>
        <v>40.449999999999996</v>
      </c>
      <c r="L89" s="3347">
        <f>'Lista global'!$Q$350</f>
        <v>34.06315789473684</v>
      </c>
      <c r="M89" s="2473"/>
      <c r="N89" s="3124"/>
      <c r="O89" s="3121"/>
      <c r="P89" s="3131">
        <f t="shared" si="28"/>
        <v>0</v>
      </c>
      <c r="Q89" s="3568"/>
      <c r="R89" s="3230"/>
      <c r="W89" s="1342" t="s">
        <v>3664</v>
      </c>
      <c r="X89" s="3724" t="s">
        <v>3665</v>
      </c>
    </row>
    <row r="90" spans="1:30" ht="15.75" thickBot="1" x14ac:dyDescent="0.3"/>
    <row r="91" spans="1:30" ht="19.5" customHeight="1" thickBot="1" x14ac:dyDescent="0.3">
      <c r="A91" s="3663"/>
      <c r="B91" s="3843" t="s">
        <v>0</v>
      </c>
      <c r="C91" s="2757" t="s">
        <v>0</v>
      </c>
      <c r="D91" s="2744" t="s">
        <v>3821</v>
      </c>
      <c r="E91" s="3844" t="s">
        <v>3822</v>
      </c>
      <c r="F91" s="2829"/>
      <c r="G91" s="2842"/>
      <c r="H91" s="2980"/>
      <c r="I91" s="2395"/>
      <c r="J91" s="3347"/>
      <c r="K91" s="3347"/>
      <c r="L91" s="3347"/>
      <c r="M91" s="2473">
        <v>1</v>
      </c>
      <c r="N91" s="3124">
        <f t="shared" ref="N91" si="29">$O$2*F91+G91</f>
        <v>0</v>
      </c>
      <c r="O91" s="3121">
        <v>0</v>
      </c>
      <c r="P91" s="3131"/>
      <c r="Q91" s="3568"/>
      <c r="R91" s="3230"/>
      <c r="X91" s="1342"/>
      <c r="Z91" s="1342"/>
    </row>
    <row r="92" spans="1:30" ht="15.75" thickBot="1" x14ac:dyDescent="0.3">
      <c r="B92" s="3753" t="s">
        <v>3793</v>
      </c>
      <c r="O92" s="3138" t="s">
        <v>941</v>
      </c>
      <c r="P92" s="3139">
        <f>SUM(P4:P91)</f>
        <v>149147.37500000003</v>
      </c>
      <c r="Q92" s="3139">
        <f>SUM(Q4:Q91)</f>
        <v>94436.325438596497</v>
      </c>
      <c r="R92" s="3230"/>
      <c r="U92" s="3139">
        <f>SUM(U4:U91)</f>
        <v>46697.600000000006</v>
      </c>
    </row>
    <row r="93" spans="1:30" x14ac:dyDescent="0.25">
      <c r="E93" s="1348"/>
      <c r="F93" s="1335"/>
    </row>
    <row r="94" spans="1:30" ht="15.75" thickBot="1" x14ac:dyDescent="0.3">
      <c r="A94" s="1383" t="s">
        <v>1287</v>
      </c>
      <c r="B94" s="1383"/>
      <c r="C94" s="86"/>
      <c r="D94" s="3728"/>
      <c r="E94" s="1383"/>
      <c r="F94" s="1383"/>
      <c r="G94" s="1383"/>
      <c r="H94" s="794"/>
      <c r="I94" s="1383"/>
      <c r="J94" s="1383"/>
      <c r="K94" s="1383"/>
      <c r="L94" s="71"/>
      <c r="M94" s="3230"/>
      <c r="N94" s="84"/>
      <c r="O94" s="84"/>
      <c r="P94" s="71"/>
      <c r="Q94" s="3230"/>
    </row>
    <row r="95" spans="1:30" ht="15" customHeight="1" x14ac:dyDescent="0.25">
      <c r="A95" s="4220" t="s">
        <v>1291</v>
      </c>
      <c r="B95" s="4221"/>
      <c r="C95" s="4221"/>
      <c r="D95" s="4221"/>
      <c r="E95" s="4221"/>
      <c r="F95" s="4221"/>
      <c r="G95" s="4221"/>
      <c r="H95" s="4221"/>
      <c r="I95" s="4222"/>
      <c r="J95" s="1345"/>
      <c r="K95" s="1345"/>
      <c r="L95" s="3231"/>
      <c r="M95" s="3232"/>
      <c r="N95" s="84"/>
      <c r="O95" s="3355"/>
      <c r="P95" s="3356"/>
      <c r="Q95" s="3230"/>
    </row>
    <row r="96" spans="1:30" ht="23.25" customHeight="1" x14ac:dyDescent="0.25">
      <c r="A96" s="4223" t="s">
        <v>1292</v>
      </c>
      <c r="B96" s="4224"/>
      <c r="C96" s="4224"/>
      <c r="D96" s="4224"/>
      <c r="E96" s="4224"/>
      <c r="F96" s="4224"/>
      <c r="G96" s="4224"/>
      <c r="H96" s="4224"/>
      <c r="I96" s="4225"/>
      <c r="J96" s="1345"/>
      <c r="K96" s="1345"/>
      <c r="L96" s="3231"/>
      <c r="M96" s="3232"/>
      <c r="N96" s="84"/>
      <c r="O96" s="84"/>
      <c r="P96" s="71"/>
      <c r="Q96" s="3230"/>
    </row>
    <row r="97" spans="1:17" ht="30.75" customHeight="1" x14ac:dyDescent="0.25">
      <c r="A97" s="4223" t="s">
        <v>1293</v>
      </c>
      <c r="B97" s="4224"/>
      <c r="C97" s="4224"/>
      <c r="D97" s="4224"/>
      <c r="E97" s="4224"/>
      <c r="F97" s="4224"/>
      <c r="G97" s="4224"/>
      <c r="H97" s="4224"/>
      <c r="I97" s="4225"/>
      <c r="J97" s="1345"/>
      <c r="K97" s="1345"/>
      <c r="L97" s="3231"/>
      <c r="M97" s="3232"/>
      <c r="N97" s="84"/>
      <c r="O97" s="84"/>
      <c r="P97" s="71"/>
      <c r="Q97" s="3230"/>
    </row>
    <row r="98" spans="1:17" ht="38.25" customHeight="1" x14ac:dyDescent="0.25">
      <c r="A98" s="4223" t="s">
        <v>2503</v>
      </c>
      <c r="B98" s="4224"/>
      <c r="C98" s="4224"/>
      <c r="D98" s="4224"/>
      <c r="E98" s="4224"/>
      <c r="F98" s="4224"/>
      <c r="G98" s="4224"/>
      <c r="H98" s="4224"/>
      <c r="I98" s="4225"/>
      <c r="J98" s="1345"/>
      <c r="K98" s="1345"/>
      <c r="L98" s="3231"/>
      <c r="M98" s="3232"/>
      <c r="N98" s="84"/>
      <c r="O98" s="84"/>
      <c r="P98" s="71"/>
      <c r="Q98" s="3230"/>
    </row>
    <row r="99" spans="1:17" ht="35.25" customHeight="1" x14ac:dyDescent="0.25">
      <c r="A99" s="4223" t="s">
        <v>3212</v>
      </c>
      <c r="B99" s="4224"/>
      <c r="C99" s="4224"/>
      <c r="D99" s="4224"/>
      <c r="E99" s="4224"/>
      <c r="F99" s="4224"/>
      <c r="G99" s="4224"/>
      <c r="H99" s="4224"/>
      <c r="I99" s="4225"/>
      <c r="J99" s="1345"/>
      <c r="K99" s="1345"/>
      <c r="L99" s="3231"/>
      <c r="M99" s="3232"/>
      <c r="N99" s="84"/>
      <c r="O99" s="84"/>
      <c r="P99" s="71"/>
      <c r="Q99" s="3230"/>
    </row>
    <row r="100" spans="1:17" x14ac:dyDescent="0.25">
      <c r="A100" s="4223" t="s">
        <v>3051</v>
      </c>
      <c r="B100" s="4224"/>
      <c r="C100" s="4224"/>
      <c r="D100" s="4224"/>
      <c r="E100" s="4224"/>
      <c r="F100" s="4224"/>
      <c r="G100" s="4224"/>
      <c r="H100" s="4224"/>
      <c r="I100" s="4225"/>
      <c r="J100" s="1345"/>
      <c r="K100" s="1345"/>
      <c r="L100" s="3231"/>
      <c r="M100" s="3232"/>
      <c r="N100" s="84"/>
      <c r="O100" s="84"/>
      <c r="P100" s="71"/>
      <c r="Q100" s="3230"/>
    </row>
    <row r="101" spans="1:17" ht="15" customHeight="1" x14ac:dyDescent="0.25">
      <c r="A101" s="4326" t="s">
        <v>3153</v>
      </c>
      <c r="B101" s="4327"/>
      <c r="C101" s="4327"/>
      <c r="D101" s="4327"/>
      <c r="E101" s="4327"/>
      <c r="F101" s="4327"/>
      <c r="G101" s="4327"/>
      <c r="H101" s="4327"/>
      <c r="I101" s="4328"/>
      <c r="J101" s="1345"/>
      <c r="K101" s="1345"/>
      <c r="L101" s="3231"/>
      <c r="M101" s="3232"/>
      <c r="N101" s="84"/>
      <c r="O101" s="84"/>
      <c r="P101" s="71"/>
      <c r="Q101" s="3230"/>
    </row>
    <row r="102" spans="1:17" ht="15" customHeight="1" x14ac:dyDescent="0.25">
      <c r="A102" s="4326" t="s">
        <v>3154</v>
      </c>
      <c r="B102" s="4327"/>
      <c r="C102" s="4327"/>
      <c r="D102" s="4327"/>
      <c r="E102" s="4327"/>
      <c r="F102" s="4327"/>
      <c r="G102" s="4327"/>
      <c r="H102" s="4327"/>
      <c r="I102" s="4328"/>
      <c r="J102" s="1345"/>
      <c r="K102" s="1345"/>
      <c r="L102" s="3231"/>
      <c r="M102" s="3232"/>
      <c r="N102" s="84"/>
      <c r="O102" s="84"/>
      <c r="P102" s="71"/>
      <c r="Q102" s="3230"/>
    </row>
    <row r="103" spans="1:17" ht="15" customHeight="1" x14ac:dyDescent="0.25">
      <c r="A103" s="4326" t="s">
        <v>3158</v>
      </c>
      <c r="B103" s="4327"/>
      <c r="C103" s="4327"/>
      <c r="D103" s="4327"/>
      <c r="E103" s="4327"/>
      <c r="F103" s="4327"/>
      <c r="G103" s="4327"/>
      <c r="H103" s="4327"/>
      <c r="I103" s="4328"/>
      <c r="J103" s="1345"/>
      <c r="K103" s="1345"/>
      <c r="L103" s="3231"/>
      <c r="M103" s="3232"/>
      <c r="N103" s="84"/>
      <c r="O103" s="84"/>
      <c r="P103" s="71"/>
      <c r="Q103" s="3230"/>
    </row>
    <row r="104" spans="1:17" ht="15" customHeight="1" x14ac:dyDescent="0.25">
      <c r="A104" s="4326" t="s">
        <v>3159</v>
      </c>
      <c r="B104" s="4327"/>
      <c r="C104" s="4327"/>
      <c r="D104" s="4327"/>
      <c r="E104" s="4327"/>
      <c r="F104" s="4327"/>
      <c r="G104" s="4327"/>
      <c r="H104" s="4327"/>
      <c r="I104" s="4328"/>
      <c r="J104" s="1345"/>
      <c r="K104" s="1345"/>
      <c r="L104" s="3231"/>
      <c r="M104" s="3232"/>
      <c r="N104" s="84"/>
      <c r="O104" s="84"/>
      <c r="P104" s="71"/>
      <c r="Q104" s="3230"/>
    </row>
    <row r="105" spans="1:17" ht="15" customHeight="1" x14ac:dyDescent="0.25">
      <c r="A105" s="4326" t="s">
        <v>3167</v>
      </c>
      <c r="B105" s="4327"/>
      <c r="C105" s="4327"/>
      <c r="D105" s="4327"/>
      <c r="E105" s="4327"/>
      <c r="F105" s="4327"/>
      <c r="G105" s="4327"/>
      <c r="H105" s="4327"/>
      <c r="I105" s="4328"/>
      <c r="J105" s="1345"/>
      <c r="K105" s="1345"/>
      <c r="L105" s="3231"/>
      <c r="M105" s="3232"/>
      <c r="N105" s="84"/>
      <c r="O105" s="84"/>
      <c r="P105" s="71"/>
      <c r="Q105" s="3230"/>
    </row>
    <row r="106" spans="1:17" ht="15" customHeight="1" x14ac:dyDescent="0.25">
      <c r="A106" s="4326" t="s">
        <v>3166</v>
      </c>
      <c r="B106" s="4327"/>
      <c r="C106" s="4327"/>
      <c r="D106" s="4327"/>
      <c r="E106" s="4327"/>
      <c r="F106" s="4327"/>
      <c r="G106" s="4327"/>
      <c r="H106" s="4327"/>
      <c r="I106" s="4328"/>
      <c r="J106" s="1345"/>
      <c r="K106" s="1345"/>
      <c r="L106" s="3231"/>
      <c r="M106" s="3232"/>
      <c r="N106" s="84"/>
      <c r="O106" s="84"/>
      <c r="P106" s="71"/>
      <c r="Q106" s="3230"/>
    </row>
    <row r="107" spans="1:17" ht="15" customHeight="1" x14ac:dyDescent="0.25">
      <c r="A107" s="4326" t="s">
        <v>3204</v>
      </c>
      <c r="B107" s="4327"/>
      <c r="C107" s="4327"/>
      <c r="D107" s="4327"/>
      <c r="E107" s="4327"/>
      <c r="F107" s="4327"/>
      <c r="G107" s="4327"/>
      <c r="H107" s="4327"/>
      <c r="I107" s="4328"/>
      <c r="J107" s="1345"/>
      <c r="K107" s="1345"/>
      <c r="L107" s="3231"/>
      <c r="M107" s="3232"/>
      <c r="N107" s="84"/>
      <c r="O107" s="84"/>
      <c r="P107" s="71"/>
      <c r="Q107" s="3230"/>
    </row>
    <row r="108" spans="1:17" x14ac:dyDescent="0.25">
      <c r="A108" s="4223" t="s">
        <v>2500</v>
      </c>
      <c r="B108" s="4224"/>
      <c r="C108" s="4224"/>
      <c r="D108" s="4224"/>
      <c r="E108" s="4224"/>
      <c r="F108" s="4224"/>
      <c r="G108" s="4224"/>
      <c r="H108" s="4224"/>
      <c r="I108" s="4225"/>
      <c r="J108" s="1345"/>
      <c r="K108" s="1345"/>
      <c r="L108" s="3231"/>
      <c r="M108" s="3232"/>
      <c r="N108" s="84"/>
      <c r="O108" s="84"/>
      <c r="P108" s="71"/>
      <c r="Q108" s="3230"/>
    </row>
    <row r="109" spans="1:17" x14ac:dyDescent="0.25">
      <c r="A109" s="4223" t="s">
        <v>2501</v>
      </c>
      <c r="B109" s="4224"/>
      <c r="C109" s="4224"/>
      <c r="D109" s="4224"/>
      <c r="E109" s="4224"/>
      <c r="F109" s="4224"/>
      <c r="G109" s="4224"/>
      <c r="H109" s="4224"/>
      <c r="I109" s="4225"/>
      <c r="J109" s="1345"/>
      <c r="K109" s="1345"/>
      <c r="L109" s="3231"/>
      <c r="M109" s="3232"/>
      <c r="N109" s="84"/>
      <c r="O109" s="84"/>
      <c r="P109" s="71"/>
      <c r="Q109" s="3230"/>
    </row>
    <row r="110" spans="1:17" ht="24" customHeight="1" thickBot="1" x14ac:dyDescent="0.3">
      <c r="A110" s="4226" t="s">
        <v>2502</v>
      </c>
      <c r="B110" s="4227"/>
      <c r="C110" s="4227"/>
      <c r="D110" s="4227"/>
      <c r="E110" s="4227"/>
      <c r="F110" s="4227"/>
      <c r="G110" s="4227"/>
      <c r="H110" s="4227"/>
      <c r="I110" s="4228"/>
      <c r="J110" s="1345"/>
      <c r="K110" s="1345"/>
      <c r="L110" s="1345"/>
      <c r="M110" s="2511"/>
    </row>
    <row r="111" spans="1:17" x14ac:dyDescent="0.25">
      <c r="A111" s="1344"/>
      <c r="B111" s="1344"/>
      <c r="C111" s="2391"/>
      <c r="D111" s="2382"/>
      <c r="E111" s="1344"/>
      <c r="F111" s="1344"/>
      <c r="G111" s="1344"/>
      <c r="I111" s="1344"/>
    </row>
  </sheetData>
  <mergeCells count="35">
    <mergeCell ref="A4:A30"/>
    <mergeCell ref="G2:I2"/>
    <mergeCell ref="A3:B3"/>
    <mergeCell ref="D3:E3"/>
    <mergeCell ref="A31:A54"/>
    <mergeCell ref="AC3:AD3"/>
    <mergeCell ref="B4:B16"/>
    <mergeCell ref="B45:B46"/>
    <mergeCell ref="AA3:AB3"/>
    <mergeCell ref="B34:B40"/>
    <mergeCell ref="W3:X3"/>
    <mergeCell ref="Y3:Z3"/>
    <mergeCell ref="B20:B27"/>
    <mergeCell ref="A55:A58"/>
    <mergeCell ref="A59:A76"/>
    <mergeCell ref="A95:I95"/>
    <mergeCell ref="A96:I96"/>
    <mergeCell ref="A97:I97"/>
    <mergeCell ref="A87:A89"/>
    <mergeCell ref="B87:B89"/>
    <mergeCell ref="A78:A81"/>
    <mergeCell ref="A84:A85"/>
    <mergeCell ref="A107:I107"/>
    <mergeCell ref="A108:I108"/>
    <mergeCell ref="A109:I109"/>
    <mergeCell ref="A110:I110"/>
    <mergeCell ref="A104:I104"/>
    <mergeCell ref="A105:I105"/>
    <mergeCell ref="A106:I106"/>
    <mergeCell ref="A103:I103"/>
    <mergeCell ref="A98:I98"/>
    <mergeCell ref="A99:I99"/>
    <mergeCell ref="A100:I100"/>
    <mergeCell ref="A101:I101"/>
    <mergeCell ref="A102:I102"/>
  </mergeCells>
  <dataValidations count="4">
    <dataValidation type="list" allowBlank="1" showInputMessage="1" showErrorMessage="1" sqref="L2 N2">
      <formula1>$S$4:$S$5</formula1>
    </dataValidation>
    <dataValidation type="list" allowBlank="1" showInputMessage="1" showErrorMessage="1" sqref="M2">
      <formula1>$T$4:$T$11</formula1>
    </dataValidation>
    <dataValidation type="whole" allowBlank="1" showInputMessage="1" showErrorMessage="1" promptTitle="Nº de módulos" prompt="Introduzca un valor entre 2 y 4" sqref="O2">
      <formula1>2</formula1>
      <formula2>4</formula2>
    </dataValidation>
    <dataValidation type="list" allowBlank="1" showInputMessage="1" showErrorMessage="1" sqref="Q2">
      <formula1>$S$4:$S$6</formula1>
    </dataValidation>
  </dataValidations>
  <pageMargins left="0.70866141732283472" right="0.70866141732283472" top="0.74803149606299213" bottom="0.74803149606299213" header="0.31496062992125984" footer="0.31496062992125984"/>
  <pageSetup paperSize="9" scale="46" orientation="landscape" horizontalDpi="200" verticalDpi="200" r:id="rId1"/>
  <ignoredErrors>
    <ignoredError sqref="O48 O53 N29" formula="1"/>
    <ignoredError sqref="X17 X23" numberStoredAsText="1"/>
  </ignoredErrors>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D112"/>
  <sheetViews>
    <sheetView topLeftCell="C1" zoomScale="80" zoomScaleNormal="80" zoomScaleSheetLayoutView="85" workbookViewId="0">
      <selection activeCell="B58" sqref="B58"/>
    </sheetView>
  </sheetViews>
  <sheetFormatPr baseColWidth="10" defaultRowHeight="15" x14ac:dyDescent="0.25"/>
  <cols>
    <col min="1" max="1" width="4.85546875" style="1342" customWidth="1"/>
    <col min="2" max="2" width="15.140625" style="1342" customWidth="1"/>
    <col min="3" max="3" width="16" style="1343" customWidth="1"/>
    <col min="4" max="4" width="67.5703125" style="2383" customWidth="1"/>
    <col min="5" max="5" width="50.28515625" style="1342" customWidth="1"/>
    <col min="6" max="6" width="14" style="1342" customWidth="1"/>
    <col min="7" max="7" width="11.28515625" style="1342" customWidth="1"/>
    <col min="8" max="8" width="9.7109375" style="1574" customWidth="1"/>
    <col min="9" max="9" width="4.7109375" style="1343" customWidth="1"/>
    <col min="10" max="11" width="8.42578125" style="1342" customWidth="1"/>
    <col min="12" max="12" width="11" style="1342" customWidth="1"/>
    <col min="13" max="13" width="11.42578125" style="751" customWidth="1"/>
    <col min="14" max="14" width="11.42578125" style="3215" customWidth="1"/>
    <col min="15" max="15" width="17.140625" style="3215" customWidth="1"/>
    <col min="16" max="16" width="14.42578125" style="1342" customWidth="1"/>
    <col min="17" max="17" width="17.42578125" style="751" customWidth="1"/>
    <col min="18" max="18" width="14.28515625" style="1342" customWidth="1"/>
    <col min="19" max="19" width="8" style="1342" customWidth="1"/>
    <col min="20" max="20" width="11.42578125" style="1342" customWidth="1"/>
    <col min="21" max="21" width="13.7109375" style="1342" customWidth="1"/>
    <col min="22" max="22" width="11.42578125" style="1342" customWidth="1"/>
    <col min="23" max="23" width="18.7109375" style="1342" customWidth="1"/>
    <col min="24" max="24" width="23.85546875" style="3724" customWidth="1"/>
    <col min="25" max="25" width="11.42578125" style="1342"/>
    <col min="26" max="26" width="23.7109375" style="3724" customWidth="1"/>
    <col min="27" max="27" width="11.42578125" style="1342"/>
    <col min="28" max="28" width="12.5703125" style="1342" customWidth="1"/>
    <col min="29" max="16384" width="11.42578125" style="1342"/>
  </cols>
  <sheetData>
    <row r="1" spans="1:30" ht="15.75" customHeight="1" thickBot="1" x14ac:dyDescent="0.3">
      <c r="A1" s="1343"/>
      <c r="B1" s="1360" t="s">
        <v>4129</v>
      </c>
      <c r="D1" s="1346"/>
      <c r="F1" s="1342" t="s">
        <v>4130</v>
      </c>
      <c r="L1" s="3203" t="s">
        <v>2949</v>
      </c>
      <c r="M1" s="3203" t="s">
        <v>2940</v>
      </c>
      <c r="N1" s="3203" t="s">
        <v>255</v>
      </c>
      <c r="O1" s="3111" t="s">
        <v>3278</v>
      </c>
      <c r="P1" s="3203" t="s">
        <v>3279</v>
      </c>
      <c r="Q1" s="3112" t="s">
        <v>3205</v>
      </c>
    </row>
    <row r="2" spans="1:30" ht="16.5" thickBot="1" x14ac:dyDescent="0.3">
      <c r="A2" s="1389" t="s">
        <v>2586</v>
      </c>
      <c r="B2" s="1384"/>
      <c r="C2" s="2390"/>
      <c r="D2" s="2380"/>
      <c r="E2" s="1384"/>
      <c r="F2" s="1384"/>
      <c r="G2" s="4289" t="s">
        <v>3922</v>
      </c>
      <c r="H2" s="4289"/>
      <c r="I2" s="4290"/>
      <c r="L2" s="3240" t="s">
        <v>2947</v>
      </c>
      <c r="M2" s="3240" t="s">
        <v>3028</v>
      </c>
      <c r="N2" s="3240" t="s">
        <v>2948</v>
      </c>
      <c r="O2" s="3109">
        <v>4</v>
      </c>
      <c r="P2" s="3240">
        <v>28</v>
      </c>
      <c r="Q2" s="3109" t="s">
        <v>2947</v>
      </c>
      <c r="R2" s="3559"/>
    </row>
    <row r="3" spans="1:30" s="2383" customFormat="1" ht="30.75" customHeight="1" thickBot="1" x14ac:dyDescent="0.3">
      <c r="A3" s="4315" t="s">
        <v>79</v>
      </c>
      <c r="B3" s="4316"/>
      <c r="C3" s="3200" t="s">
        <v>326</v>
      </c>
      <c r="D3" s="4317" t="s">
        <v>250</v>
      </c>
      <c r="E3" s="4318"/>
      <c r="F3" s="3200" t="s">
        <v>2481</v>
      </c>
      <c r="G3" s="3200" t="s">
        <v>2482</v>
      </c>
      <c r="H3" s="3200" t="s">
        <v>1281</v>
      </c>
      <c r="I3" s="3200" t="s">
        <v>1282</v>
      </c>
      <c r="J3" s="4025" t="s">
        <v>1380</v>
      </c>
      <c r="K3" s="4025" t="s">
        <v>3360</v>
      </c>
      <c r="L3" s="4025" t="s">
        <v>745</v>
      </c>
      <c r="M3" s="3242" t="s">
        <v>2449</v>
      </c>
      <c r="N3" s="3233" t="s">
        <v>959</v>
      </c>
      <c r="O3" s="3242" t="s">
        <v>2981</v>
      </c>
      <c r="P3" s="3242" t="s">
        <v>2980</v>
      </c>
      <c r="Q3" s="3242" t="s">
        <v>3175</v>
      </c>
      <c r="R3" s="3559" t="s">
        <v>2762</v>
      </c>
      <c r="U3" s="4025" t="s">
        <v>76</v>
      </c>
      <c r="W3" s="4325" t="s">
        <v>3489</v>
      </c>
      <c r="X3" s="4325"/>
      <c r="Y3" s="4325" t="s">
        <v>3490</v>
      </c>
      <c r="Z3" s="4325"/>
      <c r="AA3" s="4325" t="s">
        <v>3491</v>
      </c>
      <c r="AB3" s="4325"/>
      <c r="AC3" s="4325" t="s">
        <v>3492</v>
      </c>
      <c r="AD3" s="4325"/>
    </row>
    <row r="4" spans="1:30" ht="19.5" customHeight="1" thickBot="1" x14ac:dyDescent="0.3">
      <c r="A4" s="4217" t="s">
        <v>2483</v>
      </c>
      <c r="B4" s="4322" t="s">
        <v>263</v>
      </c>
      <c r="C4" s="4080">
        <v>106118976</v>
      </c>
      <c r="D4" s="2744" t="s">
        <v>3187</v>
      </c>
      <c r="E4" s="2745" t="s">
        <v>3188</v>
      </c>
      <c r="F4" s="2829">
        <v>1</v>
      </c>
      <c r="G4" s="2829"/>
      <c r="H4" s="2980" t="s">
        <v>3157</v>
      </c>
      <c r="I4" s="2395"/>
      <c r="J4" s="3347">
        <f>'Lista global'!I250</f>
        <v>137</v>
      </c>
      <c r="K4" s="3347">
        <f>'Lista global'!P250</f>
        <v>190.57499999999999</v>
      </c>
      <c r="L4" s="3347">
        <f>'Lista global'!Q250</f>
        <v>160.48421052631579</v>
      </c>
      <c r="M4" s="2453">
        <f>IF($N$2=$S$5,1,0)</f>
        <v>1</v>
      </c>
      <c r="N4" s="3124">
        <f>M4*($O$2*F4+G4)</f>
        <v>4</v>
      </c>
      <c r="O4" s="3118">
        <f>IF(ROUNDDOWN(($P$2*N4/4)/10,0)&lt;M4,M4,ROUNDDOWN(($P$2*N4/4)/10,0))</f>
        <v>2</v>
      </c>
      <c r="P4" s="3128">
        <f t="shared" ref="P4:P66" si="0">K4*O4</f>
        <v>381.15</v>
      </c>
      <c r="Q4" s="3568">
        <f t="shared" ref="Q4:Q11" si="1">L4*O4</f>
        <v>320.96842105263158</v>
      </c>
      <c r="R4" s="3230"/>
      <c r="S4" s="1383" t="s">
        <v>2947</v>
      </c>
      <c r="T4" s="1766" t="s">
        <v>2942</v>
      </c>
      <c r="U4" s="1342">
        <f>O4*J4</f>
        <v>274</v>
      </c>
      <c r="W4" s="1342" t="s">
        <v>3589</v>
      </c>
    </row>
    <row r="5" spans="1:30" ht="19.5" hidden="1" customHeight="1" x14ac:dyDescent="0.25">
      <c r="A5" s="4218"/>
      <c r="B5" s="4323"/>
      <c r="C5" s="4031">
        <v>106118967</v>
      </c>
      <c r="D5" s="3072" t="s">
        <v>3189</v>
      </c>
      <c r="E5" s="2108" t="s">
        <v>3190</v>
      </c>
      <c r="F5" s="2469">
        <v>1</v>
      </c>
      <c r="G5" s="2469"/>
      <c r="H5" s="2473"/>
      <c r="I5" s="2474"/>
      <c r="J5" s="3347">
        <f>'Lista global'!I263</f>
        <v>110.3111111111111</v>
      </c>
      <c r="K5" s="3347">
        <f>'Lista global'!P263</f>
        <v>137.89999999999998</v>
      </c>
      <c r="L5" s="3347">
        <f>'Lista global'!Q263</f>
        <v>116.12631578947368</v>
      </c>
      <c r="M5" s="2473" t="s">
        <v>0</v>
      </c>
      <c r="N5" s="3124">
        <f t="shared" ref="N5:N57" si="2">$O$2*F5+G5</f>
        <v>4</v>
      </c>
      <c r="O5" s="1463">
        <v>0</v>
      </c>
      <c r="P5" s="3134">
        <f t="shared" si="0"/>
        <v>0</v>
      </c>
      <c r="Q5" s="3568">
        <f t="shared" si="1"/>
        <v>0</v>
      </c>
      <c r="R5" s="3230"/>
      <c r="S5" s="1383" t="s">
        <v>2948</v>
      </c>
      <c r="T5" s="1766" t="s">
        <v>2943</v>
      </c>
      <c r="U5" s="1342">
        <f t="shared" ref="U5:U69" si="3">O5*J5</f>
        <v>0</v>
      </c>
      <c r="W5" s="1342" t="s">
        <v>3589</v>
      </c>
      <c r="X5" s="3724" t="s">
        <v>3587</v>
      </c>
    </row>
    <row r="6" spans="1:30" ht="19.5" hidden="1" customHeight="1" x14ac:dyDescent="0.25">
      <c r="A6" s="4218"/>
      <c r="B6" s="4323"/>
      <c r="C6" s="4081">
        <v>106118986</v>
      </c>
      <c r="D6" s="2724" t="s">
        <v>2526</v>
      </c>
      <c r="E6" s="2749" t="s">
        <v>2517</v>
      </c>
      <c r="F6" s="2729">
        <v>1</v>
      </c>
      <c r="G6" s="2729"/>
      <c r="H6" s="2731"/>
      <c r="I6" s="2452"/>
      <c r="J6" s="3347">
        <f>'Lista global'!I164</f>
        <v>9.4444444444444446</v>
      </c>
      <c r="K6" s="3347">
        <f>'Lista global'!P164</f>
        <v>11.8375</v>
      </c>
      <c r="L6" s="3347">
        <f>'Lista global'!Q164</f>
        <v>9.9684210526315802</v>
      </c>
      <c r="M6" s="2731" t="s">
        <v>0</v>
      </c>
      <c r="N6" s="3124">
        <f t="shared" si="2"/>
        <v>4</v>
      </c>
      <c r="O6" s="2728">
        <v>0</v>
      </c>
      <c r="P6" s="3135">
        <f t="shared" si="0"/>
        <v>0</v>
      </c>
      <c r="Q6" s="3568">
        <f t="shared" si="1"/>
        <v>0</v>
      </c>
      <c r="R6" s="3230"/>
      <c r="S6" s="1342" t="s">
        <v>3780</v>
      </c>
      <c r="T6" s="1766" t="s">
        <v>3027</v>
      </c>
      <c r="U6" s="1342">
        <f t="shared" si="3"/>
        <v>0</v>
      </c>
      <c r="W6" s="1342" t="s">
        <v>3589</v>
      </c>
      <c r="X6" s="3724" t="s">
        <v>3590</v>
      </c>
    </row>
    <row r="7" spans="1:30" ht="19.5" hidden="1" customHeight="1" x14ac:dyDescent="0.25">
      <c r="A7" s="4218"/>
      <c r="B7" s="4323"/>
      <c r="C7" s="4082">
        <v>106119494</v>
      </c>
      <c r="D7" s="2873" t="s">
        <v>2525</v>
      </c>
      <c r="E7" s="2749" t="s">
        <v>2518</v>
      </c>
      <c r="F7" s="2729">
        <v>1</v>
      </c>
      <c r="G7" s="2729"/>
      <c r="H7" s="2731"/>
      <c r="I7" s="2452"/>
      <c r="J7" s="3347">
        <f>'Lista global'!I264</f>
        <v>5</v>
      </c>
      <c r="K7" s="3347">
        <f>'Lista global'!P264</f>
        <v>6.25</v>
      </c>
      <c r="L7" s="3347">
        <f>'Lista global'!Q264</f>
        <v>5.2631578947368425</v>
      </c>
      <c r="M7" s="2731" t="s">
        <v>0</v>
      </c>
      <c r="N7" s="3124">
        <f t="shared" si="2"/>
        <v>4</v>
      </c>
      <c r="O7" s="2728">
        <v>0</v>
      </c>
      <c r="P7" s="3135">
        <f t="shared" si="0"/>
        <v>0</v>
      </c>
      <c r="Q7" s="3568">
        <f t="shared" si="1"/>
        <v>0</v>
      </c>
      <c r="R7" s="3230"/>
      <c r="T7" s="1766" t="s">
        <v>2944</v>
      </c>
      <c r="U7" s="1342">
        <f t="shared" si="3"/>
        <v>0</v>
      </c>
      <c r="W7" s="1342" t="s">
        <v>3589</v>
      </c>
      <c r="X7" s="3724" t="s">
        <v>3588</v>
      </c>
    </row>
    <row r="8" spans="1:30" ht="19.5" hidden="1" customHeight="1" x14ac:dyDescent="0.25">
      <c r="A8" s="4218"/>
      <c r="B8" s="4323"/>
      <c r="C8" s="4082">
        <v>106118968</v>
      </c>
      <c r="D8" s="2873" t="s">
        <v>2524</v>
      </c>
      <c r="E8" s="2749" t="s">
        <v>2519</v>
      </c>
      <c r="F8" s="2729">
        <v>1</v>
      </c>
      <c r="G8" s="2729"/>
      <c r="H8" s="2731"/>
      <c r="I8" s="2452"/>
      <c r="J8" s="3347">
        <f>'Lista global'!I265</f>
        <v>4.3666666666666671</v>
      </c>
      <c r="K8" s="3347">
        <f>'Lista global'!P265</f>
        <v>5.4624999999999995</v>
      </c>
      <c r="L8" s="3347">
        <f>'Lista global'!Q265</f>
        <v>4.6000000000000005</v>
      </c>
      <c r="M8" s="2731" t="s">
        <v>0</v>
      </c>
      <c r="N8" s="3124">
        <f t="shared" si="2"/>
        <v>4</v>
      </c>
      <c r="O8" s="2728">
        <v>0</v>
      </c>
      <c r="P8" s="3135">
        <f t="shared" si="0"/>
        <v>0</v>
      </c>
      <c r="Q8" s="3568">
        <f t="shared" si="1"/>
        <v>0</v>
      </c>
      <c r="R8" s="3230"/>
      <c r="T8" s="1766" t="s">
        <v>2945</v>
      </c>
      <c r="U8" s="1342">
        <f t="shared" si="3"/>
        <v>0</v>
      </c>
      <c r="W8" s="1342" t="s">
        <v>3589</v>
      </c>
      <c r="X8" s="3724" t="s">
        <v>3591</v>
      </c>
    </row>
    <row r="9" spans="1:30" ht="19.5" hidden="1" customHeight="1" x14ac:dyDescent="0.25">
      <c r="A9" s="4218"/>
      <c r="B9" s="4323"/>
      <c r="C9" s="4082">
        <v>106118969</v>
      </c>
      <c r="D9" s="2873" t="s">
        <v>2523</v>
      </c>
      <c r="E9" s="2749" t="s">
        <v>2520</v>
      </c>
      <c r="F9" s="2729">
        <v>1</v>
      </c>
      <c r="G9" s="2729"/>
      <c r="H9" s="2731"/>
      <c r="I9" s="2452"/>
      <c r="J9" s="3347">
        <f>'Lista global'!I266</f>
        <v>4.3666666666666671</v>
      </c>
      <c r="K9" s="3347">
        <f>'Lista global'!P266</f>
        <v>5.4624999999999995</v>
      </c>
      <c r="L9" s="3347">
        <f>'Lista global'!Q266</f>
        <v>4.6000000000000005</v>
      </c>
      <c r="M9" s="2731" t="s">
        <v>0</v>
      </c>
      <c r="N9" s="3124">
        <f t="shared" si="2"/>
        <v>4</v>
      </c>
      <c r="O9" s="2728">
        <v>0</v>
      </c>
      <c r="P9" s="3135">
        <f t="shared" si="0"/>
        <v>0</v>
      </c>
      <c r="Q9" s="3568">
        <f t="shared" si="1"/>
        <v>0</v>
      </c>
      <c r="R9" s="3230"/>
      <c r="T9" s="1766" t="s">
        <v>2946</v>
      </c>
      <c r="U9" s="1342">
        <f t="shared" si="3"/>
        <v>0</v>
      </c>
      <c r="W9" s="1342" t="s">
        <v>3589</v>
      </c>
      <c r="X9" s="3724" t="s">
        <v>3592</v>
      </c>
    </row>
    <row r="10" spans="1:30" ht="19.5" hidden="1" customHeight="1" thickBot="1" x14ac:dyDescent="0.3">
      <c r="A10" s="4218"/>
      <c r="B10" s="4323"/>
      <c r="C10" s="4083">
        <v>106118975</v>
      </c>
      <c r="D10" s="2454" t="s">
        <v>2522</v>
      </c>
      <c r="E10" s="2105" t="s">
        <v>2521</v>
      </c>
      <c r="F10" s="2394">
        <v>1</v>
      </c>
      <c r="G10" s="2394"/>
      <c r="H10" s="2106"/>
      <c r="I10" s="3063"/>
      <c r="J10" s="3347">
        <f>'Lista global'!I267</f>
        <v>3.333333333333333</v>
      </c>
      <c r="K10" s="3347">
        <f>'Lista global'!P267</f>
        <v>4.1749999999999998</v>
      </c>
      <c r="L10" s="3347">
        <f>'Lista global'!Q267</f>
        <v>3.5157894736842104</v>
      </c>
      <c r="M10" s="2453" t="s">
        <v>0</v>
      </c>
      <c r="N10" s="3124">
        <f t="shared" si="2"/>
        <v>4</v>
      </c>
      <c r="O10" s="3142">
        <v>0</v>
      </c>
      <c r="P10" s="3566">
        <f t="shared" si="0"/>
        <v>0</v>
      </c>
      <c r="Q10" s="3568">
        <f t="shared" si="1"/>
        <v>0</v>
      </c>
      <c r="R10" s="3230"/>
      <c r="T10" s="1766" t="s">
        <v>3028</v>
      </c>
      <c r="U10" s="1342">
        <f t="shared" si="3"/>
        <v>0</v>
      </c>
      <c r="W10" s="1342" t="s">
        <v>3589</v>
      </c>
      <c r="X10" s="3724" t="s">
        <v>3593</v>
      </c>
    </row>
    <row r="11" spans="1:30" ht="19.5" customHeight="1" thickBot="1" x14ac:dyDescent="0.3">
      <c r="A11" s="4218"/>
      <c r="B11" s="4323"/>
      <c r="C11" s="4080">
        <v>106207101</v>
      </c>
      <c r="D11" s="2744" t="s">
        <v>3201</v>
      </c>
      <c r="E11" s="2745" t="s">
        <v>3202</v>
      </c>
      <c r="F11" s="2829"/>
      <c r="G11" s="2829">
        <v>1</v>
      </c>
      <c r="H11" s="2830" t="s">
        <v>3160</v>
      </c>
      <c r="I11" s="3561"/>
      <c r="J11" s="3347">
        <f>'Lista global'!I355</f>
        <v>698.36666666666667</v>
      </c>
      <c r="K11" s="3347">
        <f>'Lista global'!P355</f>
        <v>872.96249999999998</v>
      </c>
      <c r="L11" s="3347">
        <f>'Lista global'!Q355</f>
        <v>735.12631578947378</v>
      </c>
      <c r="M11" s="2381">
        <f>IF(AND($N$2=$S$4,$O$2=2),1,0)</f>
        <v>0</v>
      </c>
      <c r="N11" s="3124">
        <f>M11*($O$2*F11+G11)</f>
        <v>0</v>
      </c>
      <c r="O11" s="3118">
        <f>IF(ROUNDDOWN(($P$2*N11/4)/10,0)&lt;M11,M11,ROUNDDOWN(($P$2*N11/4)/10,0))</f>
        <v>0</v>
      </c>
      <c r="P11" s="3128">
        <f t="shared" si="0"/>
        <v>0</v>
      </c>
      <c r="Q11" s="3568">
        <f t="shared" si="1"/>
        <v>0</v>
      </c>
      <c r="R11" s="3230"/>
      <c r="T11" s="1766" t="s">
        <v>4148</v>
      </c>
      <c r="U11" s="1342">
        <v>0</v>
      </c>
      <c r="W11" s="1342" t="s">
        <v>3589</v>
      </c>
    </row>
    <row r="12" spans="1:30" s="1346" customFormat="1" ht="19.5" customHeight="1" thickBot="1" x14ac:dyDescent="0.3">
      <c r="A12" s="4218"/>
      <c r="B12" s="4323"/>
      <c r="C12" s="3227">
        <v>106208230</v>
      </c>
      <c r="D12" s="4050" t="s">
        <v>2938</v>
      </c>
      <c r="E12" s="4051" t="s">
        <v>2939</v>
      </c>
      <c r="F12" s="4052"/>
      <c r="G12" s="4052">
        <v>1</v>
      </c>
      <c r="H12" s="3227" t="s">
        <v>3161</v>
      </c>
      <c r="I12" s="4053"/>
      <c r="J12" s="4054">
        <f>'Lista global'!I278</f>
        <v>994.80000000000007</v>
      </c>
      <c r="K12" s="4054">
        <f>'Lista global'!P278</f>
        <v>1243.2249999999999</v>
      </c>
      <c r="L12" s="4054">
        <f>'Lista global'!Q278</f>
        <v>1046.9263157894738</v>
      </c>
      <c r="M12" s="4055">
        <f>IF(AND($N$2=$S$4,OR($O$2=3,$O$2=4)),1,0)</f>
        <v>0</v>
      </c>
      <c r="N12" s="3734">
        <f>M12*($O$2*F12+G12)</f>
        <v>0</v>
      </c>
      <c r="O12" s="3735">
        <f>IF(ROUNDDOWN(($P$2*N12/4)/10,0)&lt;M12,M12,ROUNDDOWN(($P$2*N12/4)/10,0))</f>
        <v>0</v>
      </c>
      <c r="P12" s="4056">
        <f t="shared" si="0"/>
        <v>0</v>
      </c>
      <c r="Q12" s="3737">
        <f>L12*O12</f>
        <v>0</v>
      </c>
      <c r="R12" s="3738"/>
      <c r="T12" s="4057"/>
      <c r="U12" s="1346">
        <f t="shared" si="3"/>
        <v>0</v>
      </c>
      <c r="W12" s="1346" t="s">
        <v>3589</v>
      </c>
      <c r="X12" s="4039"/>
      <c r="Z12" s="4039"/>
    </row>
    <row r="13" spans="1:30" ht="19.5" hidden="1" customHeight="1" x14ac:dyDescent="0.3">
      <c r="A13" s="4218"/>
      <c r="B13" s="4323"/>
      <c r="C13" s="3169">
        <v>106118132</v>
      </c>
      <c r="D13" s="3072" t="s">
        <v>2975</v>
      </c>
      <c r="E13" s="2108" t="s">
        <v>2976</v>
      </c>
      <c r="F13" s="3060"/>
      <c r="G13" s="3060">
        <v>1</v>
      </c>
      <c r="H13" s="3367"/>
      <c r="I13" s="3560"/>
      <c r="J13" s="3565"/>
      <c r="K13" s="3564"/>
      <c r="L13" s="3564"/>
      <c r="M13" s="4055">
        <f t="shared" ref="M13:M15" si="4">IF(AND($N$2=$S$4,OR($O$2=3,$O$2=4)),1,0)</f>
        <v>0</v>
      </c>
      <c r="N13" s="3734">
        <f t="shared" ref="N13:N16" si="5">M13*($O$2*F13+G13)</f>
        <v>0</v>
      </c>
      <c r="O13" s="1463">
        <v>0</v>
      </c>
      <c r="P13" s="3135">
        <f t="shared" si="0"/>
        <v>0</v>
      </c>
      <c r="Q13" s="3568">
        <f t="shared" ref="Q13:Q69" si="6">L13*O13</f>
        <v>0</v>
      </c>
      <c r="R13" s="3230"/>
      <c r="T13" s="1766"/>
      <c r="U13" s="1342">
        <f t="shared" si="3"/>
        <v>0</v>
      </c>
      <c r="W13" s="1342" t="s">
        <v>3589</v>
      </c>
      <c r="X13" s="3724" t="s">
        <v>3594</v>
      </c>
    </row>
    <row r="14" spans="1:30" ht="19.5" hidden="1" customHeight="1" x14ac:dyDescent="0.3">
      <c r="A14" s="4218"/>
      <c r="B14" s="4323"/>
      <c r="C14" s="3562">
        <v>106119671</v>
      </c>
      <c r="D14" s="3072" t="s">
        <v>2977</v>
      </c>
      <c r="E14" s="2108" t="s">
        <v>2978</v>
      </c>
      <c r="F14" s="3060"/>
      <c r="G14" s="3060">
        <v>1</v>
      </c>
      <c r="H14" s="3367"/>
      <c r="I14" s="3560"/>
      <c r="J14" s="3565"/>
      <c r="K14" s="3564"/>
      <c r="L14" s="3564"/>
      <c r="M14" s="4055">
        <f t="shared" si="4"/>
        <v>0</v>
      </c>
      <c r="N14" s="3734">
        <f t="shared" si="5"/>
        <v>0</v>
      </c>
      <c r="O14" s="2728">
        <v>0</v>
      </c>
      <c r="P14" s="3135">
        <f t="shared" si="0"/>
        <v>0</v>
      </c>
      <c r="Q14" s="3568">
        <f t="shared" si="6"/>
        <v>0</v>
      </c>
      <c r="R14" s="3230"/>
      <c r="T14" s="1766"/>
      <c r="U14" s="1342">
        <f t="shared" si="3"/>
        <v>0</v>
      </c>
      <c r="W14" s="1342" t="s">
        <v>3589</v>
      </c>
      <c r="X14" s="3724" t="s">
        <v>3595</v>
      </c>
    </row>
    <row r="15" spans="1:30" ht="19.5" hidden="1" customHeight="1" thickBot="1" x14ac:dyDescent="0.3">
      <c r="A15" s="4218"/>
      <c r="B15" s="4324"/>
      <c r="C15" s="2499">
        <v>106119673</v>
      </c>
      <c r="D15" s="3071" t="s">
        <v>2807</v>
      </c>
      <c r="E15" s="2105" t="s">
        <v>2808</v>
      </c>
      <c r="F15" s="2387"/>
      <c r="G15" s="2387">
        <v>1</v>
      </c>
      <c r="H15" s="3142"/>
      <c r="I15" s="3563"/>
      <c r="J15" s="3565"/>
      <c r="K15" s="3564"/>
      <c r="L15" s="3564"/>
      <c r="M15" s="4055">
        <f t="shared" si="4"/>
        <v>0</v>
      </c>
      <c r="N15" s="3734">
        <f t="shared" si="5"/>
        <v>0</v>
      </c>
      <c r="O15" s="2728">
        <v>0</v>
      </c>
      <c r="P15" s="3135">
        <f t="shared" si="0"/>
        <v>0</v>
      </c>
      <c r="Q15" s="3568">
        <f t="shared" si="6"/>
        <v>0</v>
      </c>
      <c r="R15" s="3230"/>
      <c r="T15" s="1766"/>
      <c r="U15" s="1342">
        <f t="shared" si="3"/>
        <v>0</v>
      </c>
      <c r="W15" s="1342" t="s">
        <v>3589</v>
      </c>
      <c r="X15" s="3724" t="s">
        <v>3596</v>
      </c>
    </row>
    <row r="16" spans="1:30" s="1351" customFormat="1" ht="19.5" customHeight="1" thickBot="1" x14ac:dyDescent="0.3">
      <c r="A16" s="4218"/>
      <c r="B16" s="4085" t="s">
        <v>4140</v>
      </c>
      <c r="C16" s="4089">
        <v>106208218</v>
      </c>
      <c r="D16" s="4088" t="s">
        <v>4141</v>
      </c>
      <c r="E16" s="2743"/>
      <c r="F16" s="2840"/>
      <c r="G16" s="2840">
        <v>1</v>
      </c>
      <c r="H16" s="2757">
        <v>14</v>
      </c>
      <c r="I16" s="3561"/>
      <c r="J16" s="3564">
        <f>'Lista global'!I373</f>
        <v>81.77</v>
      </c>
      <c r="K16" s="3564">
        <f>'Lista global'!P373</f>
        <v>136.28333333333333</v>
      </c>
      <c r="L16" s="3564">
        <f>'Lista global'!Q373</f>
        <v>102.21249999999999</v>
      </c>
      <c r="M16" s="4055">
        <f>IF(AND($M$12=1,$O$2=4),1,0)</f>
        <v>0</v>
      </c>
      <c r="N16" s="3734">
        <f t="shared" si="5"/>
        <v>0</v>
      </c>
      <c r="O16" s="3735">
        <f>O12*M16</f>
        <v>0</v>
      </c>
      <c r="P16" s="4056">
        <f t="shared" si="0"/>
        <v>0</v>
      </c>
      <c r="Q16" s="3737">
        <f>L16*O16</f>
        <v>0</v>
      </c>
      <c r="R16" s="3230"/>
      <c r="T16" s="1766"/>
      <c r="X16" s="4087"/>
      <c r="Z16" s="4087"/>
    </row>
    <row r="17" spans="1:30" ht="19.5" customHeight="1" thickBot="1" x14ac:dyDescent="0.3">
      <c r="A17" s="4218"/>
      <c r="B17" s="4040" t="s">
        <v>3164</v>
      </c>
      <c r="C17" s="2496">
        <v>106105692</v>
      </c>
      <c r="D17" s="3072" t="s">
        <v>3210</v>
      </c>
      <c r="E17" s="2108" t="s">
        <v>3211</v>
      </c>
      <c r="F17" s="2469"/>
      <c r="G17" s="2469">
        <v>1</v>
      </c>
      <c r="H17" s="2109">
        <v>7</v>
      </c>
      <c r="I17" s="2470"/>
      <c r="J17" s="3564">
        <f>'Lista global'!I280</f>
        <v>3.5666666666666664</v>
      </c>
      <c r="K17" s="3564">
        <f>'Lista global'!P280</f>
        <v>4.4624999999999995</v>
      </c>
      <c r="L17" s="3564">
        <f>'Lista global'!Q280</f>
        <v>3.7578947368421054</v>
      </c>
      <c r="M17" s="2381">
        <f>IF($N$2=$S$4,1,0)</f>
        <v>0</v>
      </c>
      <c r="N17" s="3124">
        <f>M17*($O$2*F17+G17)</f>
        <v>0</v>
      </c>
      <c r="O17" s="3120">
        <f>IF($P$2&lt;6,M17,IF($P$2&lt;11,3*M17,$O$12*M17*5))</f>
        <v>0</v>
      </c>
      <c r="P17" s="3125">
        <f t="shared" si="0"/>
        <v>0</v>
      </c>
      <c r="Q17" s="3568">
        <f t="shared" si="6"/>
        <v>0</v>
      </c>
      <c r="R17" s="3230"/>
      <c r="T17" s="1766"/>
      <c r="U17" s="1342">
        <f t="shared" si="3"/>
        <v>0</v>
      </c>
      <c r="W17" s="1342" t="s">
        <v>3551</v>
      </c>
      <c r="X17" s="3725" t="s">
        <v>3600</v>
      </c>
    </row>
    <row r="18" spans="1:30" ht="19.5" customHeight="1" thickBot="1" x14ac:dyDescent="0.3">
      <c r="A18" s="4218"/>
      <c r="B18" s="3145" t="s">
        <v>2803</v>
      </c>
      <c r="C18" s="3032">
        <v>106125859</v>
      </c>
      <c r="D18" s="2724" t="s">
        <v>3875</v>
      </c>
      <c r="E18" s="2733" t="s">
        <v>3876</v>
      </c>
      <c r="F18" s="3060"/>
      <c r="G18" s="3060">
        <v>1</v>
      </c>
      <c r="H18" s="3367" t="s">
        <v>3165</v>
      </c>
      <c r="I18" s="3560"/>
      <c r="J18" s="3564">
        <f>'Lista global'!I365</f>
        <v>47.89</v>
      </c>
      <c r="K18" s="3564">
        <f>'Lista global'!P365</f>
        <v>59.862499999999997</v>
      </c>
      <c r="L18" s="3564">
        <f>'Lista global'!Q365</f>
        <v>50.410526315789475</v>
      </c>
      <c r="M18" s="2381">
        <f>IF($N$2=$S$4,1,0)</f>
        <v>0</v>
      </c>
      <c r="N18" s="3124">
        <f>M18*($O$2*F18+G18)</f>
        <v>0</v>
      </c>
      <c r="O18" s="3115">
        <f>IF($P$2&lt;6,M18,IF($P$2&lt;11,3*M18,$O$12*M18*5))</f>
        <v>0</v>
      </c>
      <c r="P18" s="3128">
        <f t="shared" si="0"/>
        <v>0</v>
      </c>
      <c r="Q18" s="3568">
        <f t="shared" si="6"/>
        <v>0</v>
      </c>
      <c r="R18" s="3230"/>
      <c r="T18" s="1766"/>
      <c r="U18" s="1342">
        <f t="shared" si="3"/>
        <v>0</v>
      </c>
      <c r="W18" s="1342" t="s">
        <v>3526</v>
      </c>
      <c r="X18" s="3724" t="s">
        <v>3878</v>
      </c>
    </row>
    <row r="19" spans="1:30" ht="19.5" customHeight="1" thickBot="1" x14ac:dyDescent="0.3">
      <c r="A19" s="4218"/>
      <c r="B19" s="2386" t="s">
        <v>261</v>
      </c>
      <c r="C19" s="2755">
        <v>106114701</v>
      </c>
      <c r="D19" s="2457" t="s">
        <v>1243</v>
      </c>
      <c r="E19" s="2458" t="s">
        <v>1244</v>
      </c>
      <c r="F19" s="2459">
        <v>1</v>
      </c>
      <c r="G19" s="2460"/>
      <c r="H19" s="2461" t="s">
        <v>3203</v>
      </c>
      <c r="I19" s="2494"/>
      <c r="J19" s="3564">
        <f>'Lista global'!I146</f>
        <v>74.277777777777771</v>
      </c>
      <c r="K19" s="3564">
        <f>'Lista global'!P146</f>
        <v>92.85</v>
      </c>
      <c r="L19" s="3564">
        <f>'Lista global'!Q146</f>
        <v>78.189473684210526</v>
      </c>
      <c r="M19" s="2980">
        <v>1</v>
      </c>
      <c r="N19" s="3124">
        <f>IF($N$2=$S$5,$O$2*F19+G19,1)</f>
        <v>4</v>
      </c>
      <c r="O19" s="3116">
        <f>IF(ROUND(N19*$P$2/4,0)&lt;M19,M19,ROUND(N19*$P$2/4,0))</f>
        <v>28</v>
      </c>
      <c r="P19" s="3126">
        <f t="shared" si="0"/>
        <v>2599.7999999999997</v>
      </c>
      <c r="Q19" s="3568">
        <f t="shared" si="6"/>
        <v>2189.3052631578948</v>
      </c>
      <c r="R19" s="3230"/>
      <c r="U19" s="1342">
        <f t="shared" si="3"/>
        <v>2079.7777777777774</v>
      </c>
      <c r="W19" s="1342" t="s">
        <v>3516</v>
      </c>
      <c r="X19" s="3724" t="s">
        <v>3534</v>
      </c>
      <c r="Y19" s="1342" t="s">
        <v>3535</v>
      </c>
      <c r="Z19" s="3724" t="s">
        <v>3536</v>
      </c>
    </row>
    <row r="20" spans="1:30" ht="19.5" customHeight="1" thickBot="1" x14ac:dyDescent="0.3">
      <c r="A20" s="4218"/>
      <c r="B20" s="4232" t="s">
        <v>71</v>
      </c>
      <c r="C20" s="3094">
        <v>106208154</v>
      </c>
      <c r="D20" s="1396" t="s">
        <v>2512</v>
      </c>
      <c r="E20" s="4101" t="s">
        <v>2513</v>
      </c>
      <c r="F20" s="2449"/>
      <c r="G20" s="1463">
        <v>1</v>
      </c>
      <c r="H20" s="2397" t="s">
        <v>3807</v>
      </c>
      <c r="I20" s="2398"/>
      <c r="J20" s="3347">
        <f>'Lista global'!I375</f>
        <v>1404.43</v>
      </c>
      <c r="K20" s="3347">
        <f>'Lista global'!P375</f>
        <v>1755.5374999999999</v>
      </c>
      <c r="L20" s="3347">
        <f>'Lista global'!Q375</f>
        <v>1478.3473684210528</v>
      </c>
      <c r="M20" s="2980">
        <f>IF($Q$2=$S$4,1,0)</f>
        <v>1</v>
      </c>
      <c r="N20" s="3124">
        <f>IF($Q$2=$S$4,$O$2*F20+G20,0)</f>
        <v>1</v>
      </c>
      <c r="O20" s="3116">
        <f>IF(ROUNDDOWN(N20*$P$2/20,0)&lt;M20,M20,ROUNDDOWN(N20*$P$2/20,0))</f>
        <v>1</v>
      </c>
      <c r="P20" s="3126">
        <f t="shared" si="0"/>
        <v>1755.5374999999999</v>
      </c>
      <c r="Q20" s="3568">
        <f t="shared" si="6"/>
        <v>1478.3473684210528</v>
      </c>
      <c r="R20" s="3230"/>
    </row>
    <row r="21" spans="1:30" ht="19.5" hidden="1" customHeight="1" thickBot="1" x14ac:dyDescent="0.3">
      <c r="A21" s="4218"/>
      <c r="B21" s="4233"/>
      <c r="C21" s="2756">
        <v>106204781</v>
      </c>
      <c r="D21" s="3835" t="s">
        <v>3640</v>
      </c>
      <c r="E21" s="3141" t="s">
        <v>2509</v>
      </c>
      <c r="F21" s="3142"/>
      <c r="G21" s="2387">
        <v>1</v>
      </c>
      <c r="H21" s="3142" t="s">
        <v>3806</v>
      </c>
      <c r="I21" s="3563"/>
      <c r="J21" s="3347"/>
      <c r="K21" s="3347"/>
      <c r="L21" s="3347">
        <f>'Lista global'!Q268</f>
        <v>1822.7263157894736</v>
      </c>
      <c r="M21" s="2980" t="s">
        <v>0</v>
      </c>
      <c r="N21" s="3124">
        <f>IF($Q$2=$S$4,$O$2*F21+G21,0)</f>
        <v>1</v>
      </c>
      <c r="O21" s="2830">
        <v>0</v>
      </c>
      <c r="P21" s="4100">
        <f t="shared" si="0"/>
        <v>0</v>
      </c>
      <c r="Q21" s="3568">
        <f t="shared" si="6"/>
        <v>0</v>
      </c>
      <c r="R21" s="3230" t="s">
        <v>2309</v>
      </c>
      <c r="U21" s="1342">
        <f t="shared" si="3"/>
        <v>0</v>
      </c>
      <c r="W21" s="1342" t="s">
        <v>3538</v>
      </c>
    </row>
    <row r="22" spans="1:30" ht="19.5" hidden="1" customHeight="1" x14ac:dyDescent="0.25">
      <c r="A22" s="4218"/>
      <c r="B22" s="4233"/>
      <c r="C22" s="2722">
        <v>106101365</v>
      </c>
      <c r="D22" s="2467" t="s">
        <v>2504</v>
      </c>
      <c r="E22" s="2468" t="s">
        <v>2505</v>
      </c>
      <c r="F22" s="2109"/>
      <c r="G22" s="2469">
        <v>1</v>
      </c>
      <c r="H22" s="2109">
        <v>2</v>
      </c>
      <c r="I22" s="2470"/>
      <c r="J22" s="3347"/>
      <c r="K22" s="3347"/>
      <c r="L22" s="3347">
        <f>'Lista global'!Q269</f>
        <v>1706.5473684210529</v>
      </c>
      <c r="M22" s="2473" t="s">
        <v>0</v>
      </c>
      <c r="N22" s="3124">
        <f t="shared" si="2"/>
        <v>1</v>
      </c>
      <c r="O22" s="2728">
        <v>0</v>
      </c>
      <c r="P22" s="3135">
        <f t="shared" si="0"/>
        <v>0</v>
      </c>
      <c r="Q22" s="3568">
        <f t="shared" si="6"/>
        <v>0</v>
      </c>
      <c r="R22" s="3230"/>
      <c r="U22" s="1342">
        <f t="shared" si="3"/>
        <v>0</v>
      </c>
      <c r="W22" s="1342" t="s">
        <v>3538</v>
      </c>
      <c r="X22" s="3724">
        <v>33482</v>
      </c>
    </row>
    <row r="23" spans="1:30" ht="19.5" hidden="1" customHeight="1" x14ac:dyDescent="0.25">
      <c r="A23" s="4218"/>
      <c r="B23" s="4233"/>
      <c r="C23" s="3025">
        <v>106104092</v>
      </c>
      <c r="D23" s="2832" t="s">
        <v>1361</v>
      </c>
      <c r="E23" s="2749" t="s">
        <v>1362</v>
      </c>
      <c r="F23" s="2728"/>
      <c r="G23" s="2729">
        <v>1</v>
      </c>
      <c r="H23" s="2728">
        <v>2</v>
      </c>
      <c r="I23" s="2464"/>
      <c r="J23" s="3347"/>
      <c r="K23" s="3347"/>
      <c r="L23" s="3347">
        <f>'Lista global'!Q16</f>
        <v>5.957894736842106</v>
      </c>
      <c r="M23" s="2731" t="s">
        <v>0</v>
      </c>
      <c r="N23" s="3124">
        <f t="shared" si="2"/>
        <v>1</v>
      </c>
      <c r="O23" s="2728">
        <v>0</v>
      </c>
      <c r="P23" s="3135">
        <f t="shared" si="0"/>
        <v>0</v>
      </c>
      <c r="Q23" s="3568">
        <f t="shared" si="6"/>
        <v>0</v>
      </c>
      <c r="R23" s="3230"/>
      <c r="U23" s="1342">
        <f t="shared" si="3"/>
        <v>0</v>
      </c>
      <c r="W23" s="1342" t="s">
        <v>3538</v>
      </c>
      <c r="X23" s="3724" t="s">
        <v>3541</v>
      </c>
    </row>
    <row r="24" spans="1:30" ht="19.5" hidden="1" customHeight="1" x14ac:dyDescent="0.25">
      <c r="A24" s="4218"/>
      <c r="B24" s="4233"/>
      <c r="C24" s="3025">
        <v>106101464</v>
      </c>
      <c r="D24" s="2724" t="s">
        <v>2542</v>
      </c>
      <c r="E24" s="2117" t="s">
        <v>2543</v>
      </c>
      <c r="F24" s="2728"/>
      <c r="G24" s="2729">
        <v>1</v>
      </c>
      <c r="H24" s="2728">
        <v>2</v>
      </c>
      <c r="I24" s="2464"/>
      <c r="J24" s="3347"/>
      <c r="K24" s="3347"/>
      <c r="L24" s="3347">
        <f>'Lista global'!Q270</f>
        <v>90.273684210526326</v>
      </c>
      <c r="M24" s="2731" t="s">
        <v>0</v>
      </c>
      <c r="N24" s="3124">
        <f t="shared" si="2"/>
        <v>1</v>
      </c>
      <c r="O24" s="2728">
        <v>0</v>
      </c>
      <c r="P24" s="3135">
        <f t="shared" si="0"/>
        <v>0</v>
      </c>
      <c r="Q24" s="3568">
        <f t="shared" si="6"/>
        <v>0</v>
      </c>
      <c r="R24" s="3230"/>
      <c r="U24" s="1342">
        <f t="shared" si="3"/>
        <v>0</v>
      </c>
      <c r="W24" s="1342" t="s">
        <v>3538</v>
      </c>
      <c r="X24" s="3724">
        <v>33875</v>
      </c>
    </row>
    <row r="25" spans="1:30" ht="19.5" hidden="1" customHeight="1" thickBot="1" x14ac:dyDescent="0.3">
      <c r="A25" s="4218"/>
      <c r="B25" s="4233"/>
      <c r="C25" s="3032">
        <v>106110738</v>
      </c>
      <c r="D25" s="2454" t="s">
        <v>2554</v>
      </c>
      <c r="E25" s="2105" t="s">
        <v>2555</v>
      </c>
      <c r="F25" s="2106"/>
      <c r="G25" s="2394">
        <v>1</v>
      </c>
      <c r="H25" s="2106">
        <v>2</v>
      </c>
      <c r="I25" s="3063"/>
      <c r="J25" s="3347"/>
      <c r="K25" s="3347"/>
      <c r="L25" s="3347">
        <f>'Lista global'!Q271</f>
        <v>47.221052631578949</v>
      </c>
      <c r="M25" s="2453" t="s">
        <v>0</v>
      </c>
      <c r="N25" s="3124">
        <f t="shared" si="2"/>
        <v>1</v>
      </c>
      <c r="O25" s="2106">
        <v>0</v>
      </c>
      <c r="P25" s="3136">
        <f t="shared" si="0"/>
        <v>0</v>
      </c>
      <c r="Q25" s="3568">
        <f t="shared" si="6"/>
        <v>0</v>
      </c>
      <c r="R25" s="3230"/>
      <c r="U25" s="1342">
        <f t="shared" si="3"/>
        <v>0</v>
      </c>
      <c r="W25" s="1342" t="s">
        <v>3601</v>
      </c>
      <c r="X25" s="3724">
        <v>33662</v>
      </c>
    </row>
    <row r="26" spans="1:30" ht="19.5" hidden="1" customHeight="1" thickBot="1" x14ac:dyDescent="0.3">
      <c r="A26" s="4218"/>
      <c r="B26" s="4233"/>
      <c r="C26" s="2757">
        <v>106208151</v>
      </c>
      <c r="D26" s="2742" t="s">
        <v>3805</v>
      </c>
      <c r="E26" s="2743" t="s">
        <v>2511</v>
      </c>
      <c r="F26" s="2830"/>
      <c r="G26" s="2829">
        <v>1</v>
      </c>
      <c r="H26" s="2830" t="s">
        <v>3806</v>
      </c>
      <c r="I26" s="3561"/>
      <c r="J26" s="3347"/>
      <c r="K26" s="3347"/>
      <c r="L26" s="3347"/>
      <c r="M26" s="2381" t="s">
        <v>0</v>
      </c>
      <c r="N26" s="3124">
        <f t="shared" si="2"/>
        <v>1</v>
      </c>
      <c r="O26" s="3142">
        <v>0</v>
      </c>
      <c r="P26" s="3566">
        <f t="shared" si="0"/>
        <v>0</v>
      </c>
      <c r="Q26" s="3568">
        <f t="shared" si="6"/>
        <v>0</v>
      </c>
      <c r="R26" s="3230"/>
      <c r="U26" s="1342">
        <f t="shared" si="3"/>
        <v>0</v>
      </c>
    </row>
    <row r="27" spans="1:30" ht="19.5" customHeight="1" thickBot="1" x14ac:dyDescent="0.3">
      <c r="A27" s="4218"/>
      <c r="B27" s="4234"/>
      <c r="C27" s="2496">
        <v>106128815</v>
      </c>
      <c r="D27" s="3140" t="s">
        <v>3778</v>
      </c>
      <c r="E27" s="3141" t="s">
        <v>3779</v>
      </c>
      <c r="F27" s="3367"/>
      <c r="G27" s="3060">
        <v>1</v>
      </c>
      <c r="H27" s="3367">
        <v>1.6</v>
      </c>
      <c r="I27" s="3560"/>
      <c r="J27" s="3238">
        <f>'Lista global'!I360</f>
        <v>1611.34</v>
      </c>
      <c r="K27" s="3238">
        <f>'Lista global'!P360</f>
        <v>2014.1749999999997</v>
      </c>
      <c r="L27" s="3661">
        <f>'Lista global'!Q360</f>
        <v>1696.1473684210525</v>
      </c>
      <c r="M27" s="2980">
        <f>IF($Q$2=$S$6,1,0)</f>
        <v>0</v>
      </c>
      <c r="N27" s="3124">
        <f t="shared" si="2"/>
        <v>1</v>
      </c>
      <c r="O27" s="3116">
        <f>IF(ROUNDDOWN(N27*$P$2/20,0)&lt;M27,M27,ROUNDDOWN(N27*$P$2/20,0))</f>
        <v>1</v>
      </c>
      <c r="P27" s="3126">
        <f t="shared" ref="P27" si="7">K27*O27</f>
        <v>2014.1749999999997</v>
      </c>
      <c r="Q27" s="3568">
        <f t="shared" si="6"/>
        <v>1696.1473684210525</v>
      </c>
      <c r="R27" s="3230"/>
    </row>
    <row r="28" spans="1:30" ht="19.5" customHeight="1" x14ac:dyDescent="0.25">
      <c r="A28" s="4218"/>
      <c r="B28" s="3162" t="s">
        <v>213</v>
      </c>
      <c r="C28" s="3028">
        <v>106117401</v>
      </c>
      <c r="D28" s="2448" t="s">
        <v>1894</v>
      </c>
      <c r="E28" s="1441" t="s">
        <v>1518</v>
      </c>
      <c r="F28" s="2721"/>
      <c r="G28" s="2721">
        <v>1</v>
      </c>
      <c r="H28" s="2396" t="s">
        <v>649</v>
      </c>
      <c r="I28" s="2839"/>
      <c r="J28" s="3238">
        <f>'Lista global'!I152</f>
        <v>0.93333333333333324</v>
      </c>
      <c r="K28" s="3238">
        <f>'Lista global'!P152</f>
        <v>1.1625000000000001</v>
      </c>
      <c r="L28" s="3661">
        <f>'Lista global'!Q152</f>
        <v>0.97894736842105268</v>
      </c>
      <c r="M28" s="2473">
        <v>1</v>
      </c>
      <c r="N28" s="3124">
        <f>M28*($O$2*F28+G28)</f>
        <v>1</v>
      </c>
      <c r="O28" s="3363">
        <f>G28*($O$58+$O$59+$O$60+$O$61+$O$62+$O$63+$O$64+$O$65+$O$66+$O$67+$O$69)</f>
        <v>4</v>
      </c>
      <c r="P28" s="3244">
        <f t="shared" si="0"/>
        <v>4.6500000000000004</v>
      </c>
      <c r="Q28" s="3568">
        <f t="shared" si="6"/>
        <v>3.9157894736842107</v>
      </c>
      <c r="U28" s="1342">
        <f t="shared" si="3"/>
        <v>3.7333333333333329</v>
      </c>
      <c r="W28" s="1342" t="s">
        <v>3602</v>
      </c>
      <c r="X28" s="3724">
        <v>420004</v>
      </c>
      <c r="Y28" s="1342" t="s">
        <v>3603</v>
      </c>
      <c r="Z28" s="3724" t="s">
        <v>3604</v>
      </c>
    </row>
    <row r="29" spans="1:30" s="3739" customFormat="1" ht="19.5" customHeight="1" thickBot="1" x14ac:dyDescent="0.3">
      <c r="A29" s="4218"/>
      <c r="B29" s="3731" t="s">
        <v>341</v>
      </c>
      <c r="C29" s="3059">
        <v>106127312</v>
      </c>
      <c r="D29" s="3808" t="s">
        <v>3637</v>
      </c>
      <c r="E29" s="3809" t="s">
        <v>3638</v>
      </c>
      <c r="F29" s="3810">
        <v>1</v>
      </c>
      <c r="G29" s="3810"/>
      <c r="H29" s="3228">
        <v>13</v>
      </c>
      <c r="I29" s="3811"/>
      <c r="J29" s="3732">
        <f>'Lista global'!I138</f>
        <v>171.11111111111111</v>
      </c>
      <c r="K29" s="3732">
        <f>'Lista global'!P138</f>
        <v>213.88750000000002</v>
      </c>
      <c r="L29" s="3732">
        <f>'Lista global'!Q138</f>
        <v>180.11578947368423</v>
      </c>
      <c r="M29" s="3733">
        <v>1</v>
      </c>
      <c r="N29" s="3734">
        <f>IF($Q$2=$S$5,$O$2*F29+G29,1)</f>
        <v>1</v>
      </c>
      <c r="O29" s="3735">
        <f>IF(ROUND(N29*$P$2/4,0)&lt;M29,M29,ROUND(N29*$P$2/4,0))</f>
        <v>7</v>
      </c>
      <c r="P29" s="3736">
        <f t="shared" si="0"/>
        <v>1497.2125000000001</v>
      </c>
      <c r="Q29" s="3737">
        <f t="shared" si="6"/>
        <v>1260.8105263157895</v>
      </c>
      <c r="R29" s="3738" t="s">
        <v>2309</v>
      </c>
      <c r="T29" s="1346"/>
      <c r="U29" s="1346">
        <f t="shared" si="3"/>
        <v>1197.7777777777778</v>
      </c>
      <c r="W29" s="1346" t="s">
        <v>3516</v>
      </c>
      <c r="X29" s="3740">
        <v>516705</v>
      </c>
      <c r="Y29" s="1346"/>
      <c r="Z29" s="1346"/>
      <c r="AA29" s="1346"/>
      <c r="AB29" s="1346"/>
    </row>
    <row r="30" spans="1:30" s="3191" customFormat="1" ht="19.5" customHeight="1" thickBot="1" x14ac:dyDescent="0.25">
      <c r="A30" s="4219"/>
      <c r="B30" s="3145" t="s">
        <v>138</v>
      </c>
      <c r="C30" s="2763">
        <v>106205336</v>
      </c>
      <c r="D30" s="3072" t="s">
        <v>1985</v>
      </c>
      <c r="E30" s="3807" t="s">
        <v>1468</v>
      </c>
      <c r="F30" s="3060"/>
      <c r="G30" s="3060">
        <v>1</v>
      </c>
      <c r="H30" s="3367" t="s">
        <v>2861</v>
      </c>
      <c r="I30" s="3560"/>
      <c r="J30" s="3564">
        <f>'Lista global'!I335</f>
        <v>11.755555555555555</v>
      </c>
      <c r="K30" s="3564">
        <f>'Lista global'!P335</f>
        <v>14.7</v>
      </c>
      <c r="L30" s="3564">
        <f>'Lista global'!Q335</f>
        <v>12.378947368421054</v>
      </c>
      <c r="M30" s="2605">
        <v>1</v>
      </c>
      <c r="N30" s="3124">
        <f>M30*($O$2*F30+G30)</f>
        <v>1</v>
      </c>
      <c r="O30" s="3252">
        <f>IF(ROUNDDOWN($P$2/10,0)&lt;M30,M30,ROUNDDOWN($P$2/10,0))</f>
        <v>2</v>
      </c>
      <c r="P30" s="3381">
        <f>K30*O30</f>
        <v>29.4</v>
      </c>
      <c r="Q30" s="3568">
        <f t="shared" si="6"/>
        <v>24.757894736842108</v>
      </c>
    </row>
    <row r="31" spans="1:30" s="3739" customFormat="1" ht="21" customHeight="1" x14ac:dyDescent="0.25">
      <c r="A31" s="4217" t="s">
        <v>2484</v>
      </c>
      <c r="B31" s="4030" t="s">
        <v>2485</v>
      </c>
      <c r="C31" s="2849">
        <v>106130090</v>
      </c>
      <c r="D31" s="4058" t="s">
        <v>2954</v>
      </c>
      <c r="E31" s="4059" t="s">
        <v>2955</v>
      </c>
      <c r="F31" s="4060">
        <v>1</v>
      </c>
      <c r="G31" s="4060"/>
      <c r="H31" s="2475">
        <v>4</v>
      </c>
      <c r="I31" s="4061"/>
      <c r="J31" s="3732">
        <f>'Lista global'!I287</f>
        <v>153.56666666666666</v>
      </c>
      <c r="K31" s="3732">
        <f>'Lista global'!P287</f>
        <v>198.88750000000002</v>
      </c>
      <c r="L31" s="3732">
        <f>'Lista global'!Q287</f>
        <v>167.48421052631582</v>
      </c>
      <c r="M31" s="3619">
        <v>1</v>
      </c>
      <c r="N31" s="3734">
        <f>IF($O2=4,6,IF($O2=3,5,3))</f>
        <v>6</v>
      </c>
      <c r="O31" s="4062">
        <f>IF(ROUND(N31*$P$2/10,0)&lt;M31,M31,ROUND(N31*$P$2/10,0))</f>
        <v>17</v>
      </c>
      <c r="P31" s="4063">
        <f t="shared" si="0"/>
        <v>3381.0875000000001</v>
      </c>
      <c r="Q31" s="3737">
        <f t="shared" si="6"/>
        <v>2847.2315789473691</v>
      </c>
      <c r="R31" s="3738" t="s">
        <v>2309</v>
      </c>
      <c r="U31" s="1346">
        <f t="shared" si="3"/>
        <v>2610.6333333333332</v>
      </c>
      <c r="W31" s="1346" t="s">
        <v>3605</v>
      </c>
      <c r="X31" s="4039" t="s">
        <v>3606</v>
      </c>
      <c r="Y31" s="1346"/>
      <c r="Z31" s="4039"/>
      <c r="AA31" s="1346"/>
      <c r="AB31" s="1346"/>
      <c r="AC31" s="1346"/>
      <c r="AD31" s="1346"/>
    </row>
    <row r="32" spans="1:30" s="1574" customFormat="1" ht="19.5" customHeight="1" thickBot="1" x14ac:dyDescent="0.3">
      <c r="A32" s="4218"/>
      <c r="B32" s="3164" t="s">
        <v>3126</v>
      </c>
      <c r="C32" s="2484">
        <v>106206368</v>
      </c>
      <c r="D32" s="2454" t="s">
        <v>2906</v>
      </c>
      <c r="E32" s="2105" t="s">
        <v>2956</v>
      </c>
      <c r="F32" s="2394">
        <v>1</v>
      </c>
      <c r="G32" s="2394"/>
      <c r="H32" s="2453">
        <v>4</v>
      </c>
      <c r="I32" s="2595"/>
      <c r="J32" s="3347">
        <f>'Lista global'!I308</f>
        <v>19.477777777777778</v>
      </c>
      <c r="K32" s="3347">
        <f>'Lista global'!P308</f>
        <v>48.699999999999996</v>
      </c>
      <c r="L32" s="3347">
        <f>'Lista global'!Q308</f>
        <v>32.466666666666669</v>
      </c>
      <c r="M32" s="2453">
        <v>1</v>
      </c>
      <c r="N32" s="3124">
        <f>$N$31</f>
        <v>6</v>
      </c>
      <c r="O32" s="3118">
        <f>IF(ROUNDDOWN(N32*$P$2/20,0)&lt;M32,M32,ROUNDDOWN(N32*$P$2/20,0))</f>
        <v>8</v>
      </c>
      <c r="P32" s="3128">
        <f t="shared" si="0"/>
        <v>389.59999999999997</v>
      </c>
      <c r="Q32" s="3568">
        <f t="shared" si="6"/>
        <v>259.73333333333335</v>
      </c>
      <c r="R32" s="3230"/>
      <c r="U32" s="1342">
        <f t="shared" si="3"/>
        <v>155.82222222222222</v>
      </c>
      <c r="W32" s="1342" t="s">
        <v>3502</v>
      </c>
      <c r="X32" s="3724"/>
      <c r="Y32" s="1342"/>
      <c r="Z32" s="3724"/>
      <c r="AA32" s="1342"/>
      <c r="AB32" s="1342"/>
      <c r="AC32" s="1342"/>
      <c r="AD32" s="1342"/>
    </row>
    <row r="33" spans="1:30" ht="19.5" customHeight="1" thickBot="1" x14ac:dyDescent="0.3">
      <c r="A33" s="4218"/>
      <c r="B33" s="2386" t="s">
        <v>3350</v>
      </c>
      <c r="C33" s="2757">
        <v>106206886</v>
      </c>
      <c r="D33" s="2744" t="s">
        <v>3352</v>
      </c>
      <c r="E33" s="2745" t="s">
        <v>3353</v>
      </c>
      <c r="F33" s="2829"/>
      <c r="G33" s="2829">
        <v>1</v>
      </c>
      <c r="H33" s="2980"/>
      <c r="I33" s="2395"/>
      <c r="J33" s="3347">
        <f>'Lista global'!I200</f>
        <v>42.277777777777771</v>
      </c>
      <c r="K33" s="3347">
        <f>'Lista global'!P200</f>
        <v>95</v>
      </c>
      <c r="L33" s="3347">
        <f>'Lista global'!Q200</f>
        <v>63.333333333333336</v>
      </c>
      <c r="M33" s="2980">
        <v>1</v>
      </c>
      <c r="N33" s="3124">
        <f t="shared" si="2"/>
        <v>1</v>
      </c>
      <c r="O33" s="3243">
        <f>IF(ROUNDDOWN(P2/4,0)&lt;M33,M33,ROUNDDOWN(P2/4,0))</f>
        <v>7</v>
      </c>
      <c r="P33" s="3244">
        <f t="shared" si="0"/>
        <v>665</v>
      </c>
      <c r="Q33" s="3568">
        <f t="shared" si="6"/>
        <v>443.33333333333337</v>
      </c>
      <c r="R33" s="3230"/>
      <c r="T33" s="1574"/>
      <c r="U33" s="1342">
        <f t="shared" si="3"/>
        <v>295.9444444444444</v>
      </c>
      <c r="W33" s="1342" t="s">
        <v>3502</v>
      </c>
    </row>
    <row r="34" spans="1:30" s="1346" customFormat="1" ht="19.5" customHeight="1" thickBot="1" x14ac:dyDescent="0.3">
      <c r="A34" s="4218"/>
      <c r="B34" s="4064" t="s">
        <v>21</v>
      </c>
      <c r="C34" s="3741">
        <v>106208156</v>
      </c>
      <c r="D34" s="4050" t="s">
        <v>3683</v>
      </c>
      <c r="E34" s="4051" t="s">
        <v>3682</v>
      </c>
      <c r="F34" s="4036">
        <v>1</v>
      </c>
      <c r="G34" s="4036"/>
      <c r="H34" s="4037">
        <v>1</v>
      </c>
      <c r="I34" s="4038"/>
      <c r="J34" s="3732">
        <f>'Lista global'!I351</f>
        <v>402.36666666666667</v>
      </c>
      <c r="K34" s="3732">
        <f>'Lista global'!P351</f>
        <v>512.78750000000002</v>
      </c>
      <c r="L34" s="3732">
        <f>'Lista global'!Q351</f>
        <v>431.82105263157899</v>
      </c>
      <c r="M34" s="3741">
        <v>1</v>
      </c>
      <c r="N34" s="3734">
        <v>4</v>
      </c>
      <c r="O34" s="3735">
        <f>IF(ROUNDDOWN(($P$2*N34/4)/10,0)&lt;M34,M34,ROUNDDOWN(($P$2*N34/4)/10,0))</f>
        <v>2</v>
      </c>
      <c r="P34" s="4056">
        <f t="shared" si="0"/>
        <v>1025.575</v>
      </c>
      <c r="Q34" s="3737">
        <f t="shared" si="6"/>
        <v>863.64210526315799</v>
      </c>
      <c r="R34" s="3738"/>
      <c r="T34" s="3739"/>
      <c r="X34" s="4039"/>
      <c r="Z34" s="4039"/>
    </row>
    <row r="35" spans="1:30" ht="19.5" customHeight="1" thickBot="1" x14ac:dyDescent="0.3">
      <c r="A35" s="4218"/>
      <c r="B35" s="3064" t="s">
        <v>2486</v>
      </c>
      <c r="C35" s="2746">
        <v>106125296</v>
      </c>
      <c r="D35" s="2744" t="s">
        <v>2587</v>
      </c>
      <c r="E35" s="2745" t="s">
        <v>2587</v>
      </c>
      <c r="F35" s="2829">
        <v>1</v>
      </c>
      <c r="G35" s="2842"/>
      <c r="H35" s="2980">
        <v>8</v>
      </c>
      <c r="I35" s="2395"/>
      <c r="J35" s="3347">
        <f>'Lista global'!I316</f>
        <v>473.42222222222222</v>
      </c>
      <c r="K35" s="3347">
        <f>'Lista global'!P316</f>
        <v>881.25</v>
      </c>
      <c r="L35" s="3347">
        <f>'Lista global'!Q316</f>
        <v>742.1052631578948</v>
      </c>
      <c r="M35" s="2381">
        <f>IF($N$2=$S$5,1,0)</f>
        <v>1</v>
      </c>
      <c r="N35" s="3124">
        <f>M35*($O$2*F35+G35)</f>
        <v>4</v>
      </c>
      <c r="O35" s="3115">
        <f>IF(ROUNDDOWN(($P$2*N35/4)/20,0)&lt;M35,M35,ROUNDDOWN(($P$2*N35/4)/20,0))</f>
        <v>1</v>
      </c>
      <c r="P35" s="3125">
        <f t="shared" si="0"/>
        <v>881.25</v>
      </c>
      <c r="Q35" s="3568">
        <f t="shared" si="6"/>
        <v>742.1052631578948</v>
      </c>
      <c r="R35" s="3230" t="s">
        <v>2309</v>
      </c>
      <c r="U35" s="1342">
        <f t="shared" si="3"/>
        <v>473.42222222222222</v>
      </c>
      <c r="W35" s="1342" t="s">
        <v>3611</v>
      </c>
      <c r="X35" s="3726" t="s">
        <v>3613</v>
      </c>
      <c r="Y35" s="1342" t="s">
        <v>3611</v>
      </c>
      <c r="Z35" s="3724" t="s">
        <v>3612</v>
      </c>
    </row>
    <row r="36" spans="1:30" s="3739" customFormat="1" ht="19.5" customHeight="1" x14ac:dyDescent="0.25">
      <c r="A36" s="4218"/>
      <c r="B36" s="4032" t="s">
        <v>3162</v>
      </c>
      <c r="C36" s="2904">
        <v>106208147</v>
      </c>
      <c r="D36" s="4102" t="s">
        <v>2545</v>
      </c>
      <c r="E36" s="4059" t="s">
        <v>2546</v>
      </c>
      <c r="F36" s="4069"/>
      <c r="G36" s="4070">
        <v>1</v>
      </c>
      <c r="H36" s="3619" t="s">
        <v>3163</v>
      </c>
      <c r="I36" s="4071"/>
      <c r="J36" s="3732">
        <f>'Lista global'!I277</f>
        <v>31.088888888888889</v>
      </c>
      <c r="K36" s="3732">
        <f>'Lista global'!P277</f>
        <v>38.862499999999997</v>
      </c>
      <c r="L36" s="3732">
        <f>'Lista global'!Q277</f>
        <v>32.726315789473688</v>
      </c>
      <c r="M36" s="3619">
        <v>1</v>
      </c>
      <c r="N36" s="3734">
        <f>IF($N$2=$S$5,$O$2*F36+G36,$O$2*F36+G36+1)</f>
        <v>1</v>
      </c>
      <c r="O36" s="4062">
        <f>IF(ROUND(N36*$P$2/8,0)&lt;M36,M36,ROUND(N36*$P$2/8,0))</f>
        <v>4</v>
      </c>
      <c r="P36" s="4063">
        <f t="shared" si="0"/>
        <v>155.44999999999999</v>
      </c>
      <c r="Q36" s="3737">
        <f t="shared" si="6"/>
        <v>130.90526315789475</v>
      </c>
      <c r="R36" s="3738" t="s">
        <v>2309</v>
      </c>
      <c r="T36" s="1346"/>
      <c r="U36" s="1346">
        <f t="shared" si="3"/>
        <v>124.35555555555555</v>
      </c>
      <c r="W36" s="1346" t="s">
        <v>3497</v>
      </c>
      <c r="X36" s="4039" t="s">
        <v>3498</v>
      </c>
      <c r="Y36" s="1346"/>
      <c r="Z36" s="4039"/>
      <c r="AA36" s="1346"/>
      <c r="AB36" s="1346"/>
      <c r="AC36" s="1346"/>
      <c r="AD36" s="1346"/>
    </row>
    <row r="37" spans="1:30" s="1346" customFormat="1" ht="19.5" customHeight="1" x14ac:dyDescent="0.25">
      <c r="A37" s="4218"/>
      <c r="B37" s="4072" t="s">
        <v>328</v>
      </c>
      <c r="C37" s="2904">
        <v>106208148</v>
      </c>
      <c r="D37" s="4034" t="s">
        <v>2547</v>
      </c>
      <c r="E37" s="4035" t="s">
        <v>2548</v>
      </c>
      <c r="F37" s="3810">
        <v>1</v>
      </c>
      <c r="G37" s="3810"/>
      <c r="H37" s="3228" t="s">
        <v>1471</v>
      </c>
      <c r="I37" s="3811"/>
      <c r="J37" s="3732">
        <f>'Lista global'!I272</f>
        <v>97.066666666666663</v>
      </c>
      <c r="K37" s="3732">
        <f>'Lista global'!P272</f>
        <v>121.33749999999999</v>
      </c>
      <c r="L37" s="3732">
        <f>'Lista global'!Q272</f>
        <v>102.17894736842105</v>
      </c>
      <c r="M37" s="3228">
        <v>1</v>
      </c>
      <c r="N37" s="3734">
        <f t="shared" si="2"/>
        <v>4</v>
      </c>
      <c r="O37" s="4067">
        <f>IF(ROUND(N37*$P$2/8,0)&lt;M37,M37,ROUND(N37*$P$2/8,0))</f>
        <v>14</v>
      </c>
      <c r="P37" s="4068">
        <f t="shared" si="0"/>
        <v>1698.7249999999999</v>
      </c>
      <c r="Q37" s="3737">
        <f t="shared" si="6"/>
        <v>1430.5052631578947</v>
      </c>
      <c r="R37" s="3738" t="s">
        <v>2309</v>
      </c>
      <c r="T37" s="3739"/>
      <c r="U37" s="1346">
        <f t="shared" si="3"/>
        <v>1358.9333333333334</v>
      </c>
      <c r="W37" s="1346" t="s">
        <v>3493</v>
      </c>
      <c r="X37" s="4039">
        <v>566858</v>
      </c>
      <c r="Y37" s="1346" t="s">
        <v>3494</v>
      </c>
      <c r="Z37" s="4039" t="s">
        <v>3495</v>
      </c>
    </row>
    <row r="38" spans="1:30" s="1346" customFormat="1" ht="19.5" customHeight="1" thickBot="1" x14ac:dyDescent="0.3">
      <c r="A38" s="4218"/>
      <c r="B38" s="4033" t="s">
        <v>285</v>
      </c>
      <c r="C38" s="4073">
        <v>106208146</v>
      </c>
      <c r="D38" s="4074" t="s">
        <v>1303</v>
      </c>
      <c r="E38" s="4075" t="s">
        <v>1304</v>
      </c>
      <c r="F38" s="4076">
        <v>1</v>
      </c>
      <c r="G38" s="4076"/>
      <c r="H38" s="4077" t="s">
        <v>1471</v>
      </c>
      <c r="I38" s="4078"/>
      <c r="J38" s="3732">
        <f>'Lista global'!I217</f>
        <v>21.977777777777778</v>
      </c>
      <c r="K38" s="3732">
        <f>'Lista global'!P217</f>
        <v>27.474999999999998</v>
      </c>
      <c r="L38" s="3732">
        <f>'Lista global'!Q217</f>
        <v>23.13684210526316</v>
      </c>
      <c r="M38" s="3733">
        <v>1</v>
      </c>
      <c r="N38" s="3734">
        <f t="shared" si="2"/>
        <v>4</v>
      </c>
      <c r="O38" s="3735">
        <f>IF(ROUND(N38*$P$2/8,0)&lt;M38,M38,ROUND(N38*$P$2/8,0))</f>
        <v>14</v>
      </c>
      <c r="P38" s="4056">
        <f t="shared" si="0"/>
        <v>384.65</v>
      </c>
      <c r="Q38" s="3737">
        <f t="shared" si="6"/>
        <v>323.91578947368424</v>
      </c>
      <c r="R38" s="3738"/>
      <c r="U38" s="1346">
        <f t="shared" si="3"/>
        <v>307.68888888888887</v>
      </c>
      <c r="W38" s="1346" t="s">
        <v>3493</v>
      </c>
      <c r="X38" s="4039">
        <v>101234</v>
      </c>
      <c r="Y38" s="1346" t="s">
        <v>3497</v>
      </c>
      <c r="Z38" s="4039" t="s">
        <v>3500</v>
      </c>
    </row>
    <row r="39" spans="1:30" s="1360" customFormat="1" ht="19.5" customHeight="1" x14ac:dyDescent="0.25">
      <c r="A39" s="4218"/>
      <c r="B39" s="4329" t="s">
        <v>3030</v>
      </c>
      <c r="C39" s="4079">
        <v>106206611</v>
      </c>
      <c r="D39" s="3910" t="s">
        <v>3031</v>
      </c>
      <c r="E39" s="4029" t="s">
        <v>3032</v>
      </c>
      <c r="F39" s="3095">
        <v>3</v>
      </c>
      <c r="G39" s="3094"/>
      <c r="H39" s="3095"/>
      <c r="I39" s="2839"/>
      <c r="J39" s="3801">
        <f>'Lista global'!I305</f>
        <v>47.022222222222219</v>
      </c>
      <c r="K39" s="3801">
        <f>'Lista global'!P305</f>
        <v>117.55</v>
      </c>
      <c r="L39" s="3801">
        <f>'Lista global'!Q305</f>
        <v>78.366666666666674</v>
      </c>
      <c r="M39" s="4026">
        <v>1</v>
      </c>
      <c r="N39" s="3464">
        <f t="shared" si="2"/>
        <v>12</v>
      </c>
      <c r="O39" s="4027">
        <f>IF(ROUNDUP((N39*$P$2/4)/10,0)&lt;M39,M39,ROUNDUP((N39*$P$2/4)/10,0))</f>
        <v>9</v>
      </c>
      <c r="P39" s="4028">
        <f t="shared" si="0"/>
        <v>1057.95</v>
      </c>
      <c r="Q39" s="3915">
        <f t="shared" si="6"/>
        <v>705.30000000000007</v>
      </c>
      <c r="R39" s="3912" t="s">
        <v>2309</v>
      </c>
      <c r="U39" s="1360">
        <f t="shared" si="3"/>
        <v>423.2</v>
      </c>
      <c r="W39" s="1360" t="s">
        <v>3502</v>
      </c>
      <c r="X39" s="1688"/>
      <c r="Z39" s="1688"/>
    </row>
    <row r="40" spans="1:30" s="1360" customFormat="1" ht="19.5" customHeight="1" x14ac:dyDescent="0.25">
      <c r="A40" s="4218"/>
      <c r="B40" s="4330"/>
      <c r="C40" s="3055">
        <v>106123619</v>
      </c>
      <c r="D40" s="2748"/>
      <c r="E40" s="2831"/>
      <c r="F40" s="3562"/>
      <c r="G40" s="2763"/>
      <c r="H40" s="3562"/>
      <c r="I40" s="4090"/>
      <c r="J40" s="3347"/>
      <c r="K40" s="3347"/>
      <c r="L40" s="3347"/>
      <c r="M40" s="2731"/>
      <c r="N40" s="3124"/>
      <c r="O40" s="3121"/>
      <c r="P40" s="3131"/>
      <c r="Q40" s="3568"/>
      <c r="R40" s="3230"/>
      <c r="T40" s="1342"/>
      <c r="U40" s="1342"/>
      <c r="W40" s="1342"/>
      <c r="X40" s="3724"/>
      <c r="Y40" s="1342"/>
      <c r="Z40" s="3724"/>
      <c r="AA40" s="1342"/>
      <c r="AB40" s="1342"/>
      <c r="AC40" s="1342"/>
      <c r="AD40" s="1342"/>
    </row>
    <row r="41" spans="1:30" s="1360" customFormat="1" ht="19.5" customHeight="1" x14ac:dyDescent="0.25">
      <c r="A41" s="4218"/>
      <c r="B41" s="4330"/>
      <c r="C41" s="3365">
        <v>106126977</v>
      </c>
      <c r="D41" s="4045"/>
      <c r="E41" s="3804"/>
      <c r="F41" s="3192"/>
      <c r="G41" s="2868"/>
      <c r="H41" s="3192"/>
      <c r="I41" s="4046"/>
      <c r="J41" s="3347"/>
      <c r="K41" s="3347"/>
      <c r="L41" s="3347"/>
      <c r="M41" s="2947"/>
      <c r="N41" s="3124"/>
      <c r="O41" s="3117"/>
      <c r="P41" s="3127"/>
      <c r="Q41" s="3568"/>
      <c r="R41" s="3230"/>
      <c r="T41" s="1342"/>
      <c r="U41" s="1342"/>
      <c r="W41" s="1342"/>
      <c r="X41" s="3724"/>
      <c r="Y41" s="1342"/>
      <c r="Z41" s="3724"/>
      <c r="AA41" s="1342"/>
      <c r="AB41" s="1342"/>
      <c r="AC41" s="1342"/>
      <c r="AD41" s="1342"/>
    </row>
    <row r="42" spans="1:30" s="1351" customFormat="1" ht="19.5" customHeight="1" thickBot="1" x14ac:dyDescent="0.3">
      <c r="A42" s="4218"/>
      <c r="B42" s="4330"/>
      <c r="C42" s="3557">
        <v>106204234</v>
      </c>
      <c r="D42" s="2402" t="s">
        <v>1608</v>
      </c>
      <c r="E42" s="3106" t="s">
        <v>1609</v>
      </c>
      <c r="F42" s="2481">
        <v>3</v>
      </c>
      <c r="G42" s="3166"/>
      <c r="H42" s="2726" t="s">
        <v>649</v>
      </c>
      <c r="I42" s="3167"/>
      <c r="J42" s="3347">
        <f>'Lista global'!I231</f>
        <v>13.311111111111112</v>
      </c>
      <c r="K42" s="3347">
        <f>'Lista global'!P231</f>
        <v>18.462499999999999</v>
      </c>
      <c r="L42" s="3347">
        <f>'Lista global'!Q231</f>
        <v>15.547368421052632</v>
      </c>
      <c r="M42" s="2453">
        <v>1</v>
      </c>
      <c r="N42" s="3124">
        <f t="shared" si="2"/>
        <v>12</v>
      </c>
      <c r="O42" s="3118">
        <f>$O$39</f>
        <v>9</v>
      </c>
      <c r="P42" s="3128">
        <f t="shared" si="0"/>
        <v>166.16249999999999</v>
      </c>
      <c r="Q42" s="3568">
        <f t="shared" si="6"/>
        <v>139.92631578947368</v>
      </c>
      <c r="R42" s="3230"/>
      <c r="T42" s="1360"/>
      <c r="U42" s="1342">
        <f t="shared" si="3"/>
        <v>119.80000000000001</v>
      </c>
      <c r="W42" s="1342" t="s">
        <v>3503</v>
      </c>
      <c r="X42" s="3724" t="s">
        <v>3504</v>
      </c>
      <c r="Y42" s="1342" t="s">
        <v>3505</v>
      </c>
      <c r="Z42" s="3724" t="s">
        <v>3506</v>
      </c>
      <c r="AA42" s="1342" t="s">
        <v>3503</v>
      </c>
      <c r="AB42" s="1342" t="s">
        <v>3507</v>
      </c>
      <c r="AC42" s="1342" t="s">
        <v>3614</v>
      </c>
      <c r="AD42" s="1342" t="s">
        <v>3615</v>
      </c>
    </row>
    <row r="43" spans="1:30" ht="19.5" customHeight="1" x14ac:dyDescent="0.25">
      <c r="A43" s="4218"/>
      <c r="B43" s="1439" t="s">
        <v>2771</v>
      </c>
      <c r="C43" s="2718">
        <v>106206389</v>
      </c>
      <c r="D43" s="2448" t="s">
        <v>2588</v>
      </c>
      <c r="E43" s="1441" t="s">
        <v>2589</v>
      </c>
      <c r="F43" s="2449">
        <v>1</v>
      </c>
      <c r="G43" s="3171"/>
      <c r="H43" s="2396"/>
      <c r="I43" s="2398"/>
      <c r="J43" s="3347">
        <f>'Lista global'!I306</f>
        <v>19.688888888888886</v>
      </c>
      <c r="K43" s="3347">
        <f>'Lista global'!P306</f>
        <v>49.225000000000001</v>
      </c>
      <c r="L43" s="3347">
        <f>'Lista global'!Q306</f>
        <v>32.81666666666667</v>
      </c>
      <c r="M43" s="2473">
        <v>1</v>
      </c>
      <c r="N43" s="3124">
        <f t="shared" si="2"/>
        <v>4</v>
      </c>
      <c r="O43" s="3243">
        <f>IF(ROUND(($P$2*N43/4)/2,0)&lt;M43,M43,ROUND(($P$2*N43/4)/2,0))</f>
        <v>14</v>
      </c>
      <c r="P43" s="3244">
        <f t="shared" si="0"/>
        <v>689.15</v>
      </c>
      <c r="Q43" s="3568">
        <f t="shared" si="6"/>
        <v>459.43333333333339</v>
      </c>
      <c r="R43" s="3230" t="s">
        <v>2309</v>
      </c>
      <c r="T43" s="1351"/>
      <c r="U43" s="1342">
        <f t="shared" si="3"/>
        <v>275.64444444444439</v>
      </c>
      <c r="W43" s="1342" t="s">
        <v>3502</v>
      </c>
    </row>
    <row r="44" spans="1:30" ht="19.5" customHeight="1" thickBot="1" x14ac:dyDescent="0.3">
      <c r="A44" s="4218"/>
      <c r="B44" s="2498" t="s">
        <v>3645</v>
      </c>
      <c r="C44" s="2484">
        <v>106115113</v>
      </c>
      <c r="D44" s="2454" t="s">
        <v>3648</v>
      </c>
      <c r="E44" s="2734" t="s">
        <v>3649</v>
      </c>
      <c r="F44" s="2394">
        <v>1</v>
      </c>
      <c r="G44" s="2482"/>
      <c r="H44" s="2453" t="s">
        <v>649</v>
      </c>
      <c r="I44" s="2595"/>
      <c r="J44" s="3756">
        <f>'Lista global'!I$345</f>
        <v>0.23333333333333331</v>
      </c>
      <c r="K44" s="3347">
        <f>'Lista global'!P$345</f>
        <v>0.28749999999999998</v>
      </c>
      <c r="L44" s="3347">
        <f>'Lista global'!Q$345</f>
        <v>0.24210526315789477</v>
      </c>
      <c r="M44" s="2453">
        <v>1</v>
      </c>
      <c r="N44" s="3124">
        <v>1</v>
      </c>
      <c r="O44" s="3121">
        <f>O43</f>
        <v>14</v>
      </c>
      <c r="P44" s="3131">
        <f>K44*O44</f>
        <v>4.0249999999999995</v>
      </c>
      <c r="Q44" s="3568">
        <f t="shared" si="6"/>
        <v>3.3894736842105266</v>
      </c>
      <c r="R44" s="3230"/>
      <c r="W44" s="1342" t="s">
        <v>3521</v>
      </c>
      <c r="X44" s="1342" t="s">
        <v>3653</v>
      </c>
      <c r="Y44" s="1342" t="s">
        <v>3521</v>
      </c>
      <c r="Z44" s="1342" t="s">
        <v>3654</v>
      </c>
    </row>
    <row r="45" spans="1:30" ht="19.5" customHeight="1" x14ac:dyDescent="0.25">
      <c r="A45" s="4218"/>
      <c r="B45" s="2880" t="s">
        <v>1507</v>
      </c>
      <c r="C45" s="3558">
        <v>106203799</v>
      </c>
      <c r="D45" s="2724" t="s">
        <v>2957</v>
      </c>
      <c r="E45" s="2749" t="s">
        <v>2958</v>
      </c>
      <c r="F45" s="2729">
        <v>1</v>
      </c>
      <c r="G45" s="3110"/>
      <c r="H45" s="2730">
        <v>12</v>
      </c>
      <c r="I45" s="2452"/>
      <c r="J45" s="3347">
        <f>'Lista global'!I228</f>
        <v>20.033333333333335</v>
      </c>
      <c r="K45" s="3347">
        <f>'Lista global'!P228</f>
        <v>50.075000000000003</v>
      </c>
      <c r="L45" s="3347">
        <f>'Lista global'!Q228</f>
        <v>33.38333333333334</v>
      </c>
      <c r="M45" s="2731">
        <v>1</v>
      </c>
      <c r="N45" s="3124">
        <f>IF($N$2=$S$5,$O$2*F45+G45,1)</f>
        <v>4</v>
      </c>
      <c r="O45" s="3121">
        <f>IF(ROUND(($P$2*N45/4)/2,0)&lt;M45,M45,ROUND(($P$2*N45/4)/2,0))</f>
        <v>14</v>
      </c>
      <c r="P45" s="3131">
        <f t="shared" si="0"/>
        <v>701.05000000000007</v>
      </c>
      <c r="Q45" s="3568">
        <f t="shared" si="6"/>
        <v>467.36666666666679</v>
      </c>
      <c r="R45" s="3230"/>
      <c r="U45" s="1342">
        <f t="shared" si="3"/>
        <v>280.4666666666667</v>
      </c>
      <c r="W45" s="1342" t="s">
        <v>3502</v>
      </c>
    </row>
    <row r="46" spans="1:30" ht="19.5" customHeight="1" x14ac:dyDescent="0.25">
      <c r="A46" s="4218"/>
      <c r="B46" s="2880" t="s">
        <v>3207</v>
      </c>
      <c r="C46" s="3558">
        <v>106126857</v>
      </c>
      <c r="D46" s="2724" t="s">
        <v>1896</v>
      </c>
      <c r="E46" s="2749" t="s">
        <v>1511</v>
      </c>
      <c r="F46" s="2729">
        <v>2</v>
      </c>
      <c r="G46" s="3110"/>
      <c r="H46" s="2730" t="s">
        <v>3206</v>
      </c>
      <c r="I46" s="2452"/>
      <c r="J46" s="3347">
        <f>'Lista global'!I363</f>
        <v>5.56</v>
      </c>
      <c r="K46" s="3347">
        <f>'Lista global'!P363</f>
        <v>6.9499999999999993</v>
      </c>
      <c r="L46" s="3347">
        <f>'Lista global'!Q363</f>
        <v>5.852631578947368</v>
      </c>
      <c r="M46" s="2731">
        <v>2</v>
      </c>
      <c r="N46" s="3124">
        <f>IF($N$2=$S$5,$O$2*F46+G46,2)</f>
        <v>8</v>
      </c>
      <c r="O46" s="3253">
        <f>N46*($O$58+$O$59+$O$60+$O$61+$O$62+$O$63+$O$64+$O$65+$O$66+$O$67+$O$69)</f>
        <v>32</v>
      </c>
      <c r="P46" s="3131">
        <f t="shared" si="0"/>
        <v>222.39999999999998</v>
      </c>
      <c r="Q46" s="3568">
        <f t="shared" si="6"/>
        <v>187.28421052631577</v>
      </c>
      <c r="R46" s="3230"/>
      <c r="U46" s="1342">
        <f t="shared" si="3"/>
        <v>177.92</v>
      </c>
      <c r="W46" s="1342" t="s">
        <v>3511</v>
      </c>
      <c r="X46" s="3724" t="s">
        <v>3523</v>
      </c>
      <c r="Y46" s="1342" t="s">
        <v>3508</v>
      </c>
      <c r="Z46" s="3724">
        <v>491630</v>
      </c>
      <c r="AA46" s="1342" t="s">
        <v>3524</v>
      </c>
      <c r="AB46" s="1342" t="s">
        <v>3525</v>
      </c>
    </row>
    <row r="47" spans="1:30" ht="19.5" customHeight="1" x14ac:dyDescent="0.25">
      <c r="A47" s="4218"/>
      <c r="B47" s="2880" t="s">
        <v>3208</v>
      </c>
      <c r="C47" s="3558">
        <v>106105886</v>
      </c>
      <c r="D47" s="2724" t="s">
        <v>1502</v>
      </c>
      <c r="E47" s="2749" t="s">
        <v>1233</v>
      </c>
      <c r="F47" s="2729">
        <v>2</v>
      </c>
      <c r="G47" s="3110"/>
      <c r="H47" s="2730" t="s">
        <v>3206</v>
      </c>
      <c r="I47" s="2452"/>
      <c r="J47" s="3347">
        <f>'Lista global'!I72</f>
        <v>3.333333333333333</v>
      </c>
      <c r="K47" s="3347">
        <f>'Lista global'!P72</f>
        <v>4.1624999999999996</v>
      </c>
      <c r="L47" s="3347">
        <f>'Lista global'!Q72</f>
        <v>3.5052631578947371</v>
      </c>
      <c r="M47" s="2731">
        <v>1</v>
      </c>
      <c r="N47" s="3124">
        <f>IF($N$2=$S$5,$O$2*F47+G47,2)</f>
        <v>8</v>
      </c>
      <c r="O47" s="3253">
        <f>IF(ROUNDDOWN(N47*$P$2/20,0)&lt;M47,M47,ROUNDDOWN(N47*$P$2/20,0))</f>
        <v>11</v>
      </c>
      <c r="P47" s="3131">
        <f t="shared" si="0"/>
        <v>45.787499999999994</v>
      </c>
      <c r="Q47" s="3568">
        <f t="shared" si="6"/>
        <v>38.557894736842108</v>
      </c>
      <c r="R47" s="3230"/>
      <c r="U47" s="1342">
        <f t="shared" si="3"/>
        <v>36.666666666666664</v>
      </c>
      <c r="W47" s="1342" t="s">
        <v>3616</v>
      </c>
      <c r="X47" s="3724" t="s">
        <v>3617</v>
      </c>
      <c r="Y47" s="1342" t="s">
        <v>3510</v>
      </c>
      <c r="Z47" s="3724">
        <v>31971</v>
      </c>
      <c r="AA47" s="1342" t="s">
        <v>3602</v>
      </c>
      <c r="AB47" s="1342">
        <v>481033</v>
      </c>
      <c r="AC47" s="1342" t="s">
        <v>3511</v>
      </c>
      <c r="AD47" s="1342" t="s">
        <v>3618</v>
      </c>
    </row>
    <row r="48" spans="1:30" s="1346" customFormat="1" ht="19.5" customHeight="1" x14ac:dyDescent="0.25">
      <c r="A48" s="4218"/>
      <c r="B48" s="4065" t="s">
        <v>2489</v>
      </c>
      <c r="C48" s="3055">
        <v>106127936</v>
      </c>
      <c r="D48" s="3808" t="s">
        <v>4137</v>
      </c>
      <c r="E48" s="3809" t="s">
        <v>4138</v>
      </c>
      <c r="F48" s="3810">
        <v>3</v>
      </c>
      <c r="G48" s="4066"/>
      <c r="H48" s="2828" t="s">
        <v>649</v>
      </c>
      <c r="I48" s="3811"/>
      <c r="J48" s="3732">
        <f>'Lista global'!I372</f>
        <v>39.26</v>
      </c>
      <c r="K48" s="3732">
        <f>'Lista global'!P372</f>
        <v>49.074999999999996</v>
      </c>
      <c r="L48" s="3732">
        <f>'Lista global'!Q372</f>
        <v>41.326315789473682</v>
      </c>
      <c r="M48" s="3228">
        <v>3</v>
      </c>
      <c r="N48" s="3734">
        <f t="shared" si="2"/>
        <v>12</v>
      </c>
      <c r="O48" s="4067">
        <f>F48*($O$58+$O$59+$O$60+$O$61+$O$62+$O$63+$O$64+$O$65+$O$66+$O$67+$O$69)</f>
        <v>12</v>
      </c>
      <c r="P48" s="4068">
        <f t="shared" si="0"/>
        <v>588.9</v>
      </c>
      <c r="Q48" s="3737">
        <f t="shared" si="6"/>
        <v>495.91578947368419</v>
      </c>
      <c r="R48" s="3738" t="s">
        <v>2309</v>
      </c>
      <c r="U48" s="1346">
        <f t="shared" si="3"/>
        <v>471.12</v>
      </c>
      <c r="W48" s="1346" t="s">
        <v>3602</v>
      </c>
      <c r="X48" s="4039">
        <v>381380</v>
      </c>
      <c r="Y48" s="1346" t="s">
        <v>3603</v>
      </c>
      <c r="Z48" s="4039" t="s">
        <v>3619</v>
      </c>
      <c r="AA48" s="1346" t="s">
        <v>3524</v>
      </c>
      <c r="AB48" s="1346" t="s">
        <v>3620</v>
      </c>
    </row>
    <row r="49" spans="1:30" ht="19.5" customHeight="1" x14ac:dyDescent="0.25">
      <c r="A49" s="4218"/>
      <c r="B49" s="2880" t="s">
        <v>2490</v>
      </c>
      <c r="C49" s="3558">
        <v>106119669</v>
      </c>
      <c r="D49" s="2724" t="s">
        <v>2594</v>
      </c>
      <c r="E49" s="2749" t="s">
        <v>2595</v>
      </c>
      <c r="F49" s="2729">
        <v>3</v>
      </c>
      <c r="G49" s="3110"/>
      <c r="H49" s="2730" t="s">
        <v>649</v>
      </c>
      <c r="I49" s="2452"/>
      <c r="J49" s="3347">
        <f>'Lista global'!I275</f>
        <v>13.366666666666665</v>
      </c>
      <c r="K49" s="3347">
        <f>'Lista global'!P275</f>
        <v>16.712499999999999</v>
      </c>
      <c r="L49" s="3347">
        <f>'Lista global'!Q275</f>
        <v>14.073684210526316</v>
      </c>
      <c r="M49" s="2731">
        <v>1</v>
      </c>
      <c r="N49" s="3124">
        <f t="shared" si="2"/>
        <v>12</v>
      </c>
      <c r="O49" s="3121">
        <f>IF(ROUNDDOWN($P$2/10,0)&lt;M49,M49,ROUNDDOWN($P$2/10,0))</f>
        <v>2</v>
      </c>
      <c r="P49" s="3131">
        <f t="shared" si="0"/>
        <v>33.424999999999997</v>
      </c>
      <c r="Q49" s="3568">
        <f t="shared" si="6"/>
        <v>28.147368421052633</v>
      </c>
      <c r="R49" s="3230" t="s">
        <v>2309</v>
      </c>
      <c r="U49" s="1342">
        <f t="shared" si="3"/>
        <v>26.733333333333331</v>
      </c>
      <c r="W49" s="1342" t="s">
        <v>3621</v>
      </c>
      <c r="X49" s="3724" t="s">
        <v>3622</v>
      </c>
      <c r="Y49" s="1342" t="s">
        <v>3623</v>
      </c>
      <c r="Z49" s="3724" t="s">
        <v>3624</v>
      </c>
    </row>
    <row r="50" spans="1:30" s="1351" customFormat="1" ht="19.5" customHeight="1" thickBot="1" x14ac:dyDescent="0.3">
      <c r="A50" s="4219"/>
      <c r="B50" s="4042" t="s">
        <v>2823</v>
      </c>
      <c r="C50" s="2484">
        <v>106122954</v>
      </c>
      <c r="D50" s="2112" t="s">
        <v>2773</v>
      </c>
      <c r="E50" s="2615" t="s">
        <v>2774</v>
      </c>
      <c r="F50" s="2489">
        <v>3</v>
      </c>
      <c r="G50" s="2484"/>
      <c r="H50" s="2484"/>
      <c r="I50" s="3761"/>
      <c r="J50" s="3347">
        <f>'Lista global'!I286</f>
        <v>6.6555555555555559</v>
      </c>
      <c r="K50" s="3347">
        <f>'Lista global'!P286</f>
        <v>8.3249999999999993</v>
      </c>
      <c r="L50" s="3347">
        <f>'Lista global'!Q286</f>
        <v>7.0105263157894742</v>
      </c>
      <c r="M50" s="2731">
        <v>3</v>
      </c>
      <c r="N50" s="3124">
        <f>$O$2*F50+G50</f>
        <v>12</v>
      </c>
      <c r="O50" s="3121">
        <f>F50*($O$58+$O$59+$O$60+$O$61+$O$62+$O$63+$O$64+$O$65+$O$66+$O$67+$O$69)</f>
        <v>12</v>
      </c>
      <c r="P50" s="3131">
        <f t="shared" si="0"/>
        <v>99.899999999999991</v>
      </c>
      <c r="Q50" s="3568">
        <f t="shared" si="6"/>
        <v>84.126315789473693</v>
      </c>
      <c r="R50" s="3230" t="s">
        <v>2309</v>
      </c>
      <c r="T50" s="1342"/>
      <c r="U50" s="1342">
        <f t="shared" si="3"/>
        <v>79.866666666666674</v>
      </c>
      <c r="W50" s="1342" t="s">
        <v>3625</v>
      </c>
      <c r="X50" s="3724" t="s">
        <v>3626</v>
      </c>
      <c r="Y50" s="1342"/>
      <c r="Z50" s="3724"/>
      <c r="AA50" s="1342"/>
      <c r="AB50" s="1342"/>
      <c r="AC50" s="1342"/>
      <c r="AD50" s="1342"/>
    </row>
    <row r="51" spans="1:30" ht="19.5" customHeight="1" x14ac:dyDescent="0.25">
      <c r="A51" s="4217"/>
      <c r="B51" s="2608" t="s">
        <v>2491</v>
      </c>
      <c r="C51" s="2765">
        <v>106111785</v>
      </c>
      <c r="D51" s="3072" t="s">
        <v>2590</v>
      </c>
      <c r="E51" s="2108" t="s">
        <v>2591</v>
      </c>
      <c r="F51" s="2469"/>
      <c r="G51" s="2109">
        <v>1</v>
      </c>
      <c r="H51" s="2473"/>
      <c r="I51" s="2474"/>
      <c r="J51" s="3347">
        <f>'Lista global'!I99</f>
        <v>23.266666666666669</v>
      </c>
      <c r="K51" s="3347">
        <f>'Lista global'!P99</f>
        <v>29.087499999999999</v>
      </c>
      <c r="L51" s="3347">
        <f>'Lista global'!Q99</f>
        <v>24.494736842105265</v>
      </c>
      <c r="M51" s="2731">
        <v>1</v>
      </c>
      <c r="N51" s="3124">
        <f>$O$2*F51+G51</f>
        <v>1</v>
      </c>
      <c r="O51" s="3121">
        <f>IF(ROUNDDOWN(N51*$P$2/10,0)&lt;M51,M51,ROUNDDOWN(N51*$P$2/10,0))</f>
        <v>2</v>
      </c>
      <c r="P51" s="3131">
        <f>K51*O51</f>
        <v>58.174999999999997</v>
      </c>
      <c r="Q51" s="3568">
        <f>L51*O51</f>
        <v>48.98947368421053</v>
      </c>
      <c r="R51" s="3230" t="s">
        <v>2309</v>
      </c>
      <c r="T51" s="1351"/>
      <c r="U51" s="1342">
        <f t="shared" si="3"/>
        <v>46.533333333333339</v>
      </c>
      <c r="W51" s="1342" t="s">
        <v>3627</v>
      </c>
      <c r="X51" s="3724" t="s">
        <v>3628</v>
      </c>
    </row>
    <row r="52" spans="1:30" s="1360" customFormat="1" ht="19.5" customHeight="1" x14ac:dyDescent="0.25">
      <c r="A52" s="4218"/>
      <c r="B52" s="4047" t="s">
        <v>4128</v>
      </c>
      <c r="C52" s="3745">
        <v>106128310</v>
      </c>
      <c r="D52" s="3072" t="s">
        <v>4144</v>
      </c>
      <c r="E52" s="2468" t="s">
        <v>4145</v>
      </c>
      <c r="F52" s="2723"/>
      <c r="G52" s="2496">
        <v>1</v>
      </c>
      <c r="H52" s="3169"/>
      <c r="I52" s="3170"/>
      <c r="J52" s="3801">
        <f>J18</f>
        <v>47.89</v>
      </c>
      <c r="K52" s="3801">
        <f t="shared" ref="K52:L52" si="8">K18</f>
        <v>59.862499999999997</v>
      </c>
      <c r="L52" s="3801">
        <f t="shared" si="8"/>
        <v>50.410526315789475</v>
      </c>
      <c r="M52" s="3169">
        <v>1</v>
      </c>
      <c r="N52" s="3124">
        <f>$O$2*F52+G52</f>
        <v>1</v>
      </c>
      <c r="O52" s="3121">
        <f>IF(ROUNDDOWN(N52*$P$2/10,0)&lt;M52,M52,ROUNDDOWN(N52*$P$2/10,0))</f>
        <v>2</v>
      </c>
      <c r="P52" s="3131">
        <f>K52*O52</f>
        <v>119.72499999999999</v>
      </c>
      <c r="Q52" s="3568">
        <f>L52*O52</f>
        <v>100.82105263157895</v>
      </c>
      <c r="R52" s="3912"/>
      <c r="X52" s="1688"/>
      <c r="Z52" s="1688"/>
    </row>
    <row r="53" spans="1:30" s="1351" customFormat="1" ht="19.5" customHeight="1" x14ac:dyDescent="0.25">
      <c r="A53" s="4218"/>
      <c r="B53" s="4023" t="s">
        <v>2772</v>
      </c>
      <c r="C53" s="2496">
        <v>106205983</v>
      </c>
      <c r="D53" s="3072" t="s">
        <v>1951</v>
      </c>
      <c r="E53" s="2468" t="s">
        <v>576</v>
      </c>
      <c r="F53" s="2723"/>
      <c r="G53" s="2496">
        <v>1</v>
      </c>
      <c r="H53" s="3169"/>
      <c r="I53" s="3170"/>
      <c r="J53" s="3347">
        <f>'Lista global'!I307</f>
        <v>58.411111111111111</v>
      </c>
      <c r="K53" s="3347">
        <f>'Lista global'!P307</f>
        <v>145.54999999999998</v>
      </c>
      <c r="L53" s="3347">
        <f>'Lista global'!Q307</f>
        <v>97.033333333333331</v>
      </c>
      <c r="M53" s="2473">
        <v>1</v>
      </c>
      <c r="N53" s="3124">
        <f t="shared" si="2"/>
        <v>1</v>
      </c>
      <c r="O53" s="3243">
        <f>IF(ROUNDDOWN(N53*$P$2/10,0)&lt;M53,M53,ROUNDDOWN(N53*$P$2/10,0))</f>
        <v>2</v>
      </c>
      <c r="P53" s="3244">
        <f t="shared" si="0"/>
        <v>291.09999999999997</v>
      </c>
      <c r="Q53" s="3568">
        <f t="shared" si="6"/>
        <v>194.06666666666666</v>
      </c>
      <c r="R53" s="3230" t="s">
        <v>2309</v>
      </c>
      <c r="T53" s="1342"/>
      <c r="U53" s="1342">
        <f t="shared" si="3"/>
        <v>116.82222222222222</v>
      </c>
      <c r="W53" s="1342" t="s">
        <v>3502</v>
      </c>
      <c r="X53" s="3724"/>
      <c r="Y53" s="1342"/>
      <c r="Z53" s="3724"/>
      <c r="AA53" s="1342"/>
      <c r="AB53" s="1342"/>
      <c r="AC53" s="1342"/>
      <c r="AD53" s="1342"/>
    </row>
    <row r="54" spans="1:30" s="1360" customFormat="1" ht="19.5" customHeight="1" x14ac:dyDescent="0.25">
      <c r="A54" s="4218"/>
      <c r="B54" s="2497" t="s">
        <v>204</v>
      </c>
      <c r="C54" s="2450">
        <v>106110898</v>
      </c>
      <c r="D54" s="2110" t="s">
        <v>1836</v>
      </c>
      <c r="E54" s="2101" t="s">
        <v>575</v>
      </c>
      <c r="F54" s="2451">
        <v>1</v>
      </c>
      <c r="G54" s="2476"/>
      <c r="H54" s="2401"/>
      <c r="I54" s="2452"/>
      <c r="J54" s="3347">
        <f>'Lista global'!I93</f>
        <v>13.866666666666667</v>
      </c>
      <c r="K54" s="3347">
        <f>'Lista global'!P93</f>
        <v>23.116666666666667</v>
      </c>
      <c r="L54" s="3347">
        <f>'Lista global'!Q93</f>
        <v>17.337499999999999</v>
      </c>
      <c r="M54" s="2731">
        <v>1</v>
      </c>
      <c r="N54" s="3124">
        <f>O2</f>
        <v>4</v>
      </c>
      <c r="O54" s="3121">
        <f>IF(ROUND(N54*$P$2/16,0)&lt;M54,M54,ROUND(N54*$P$2/16,0))</f>
        <v>7</v>
      </c>
      <c r="P54" s="3131">
        <f t="shared" si="0"/>
        <v>161.81666666666666</v>
      </c>
      <c r="Q54" s="3568">
        <f t="shared" si="6"/>
        <v>121.36249999999998</v>
      </c>
      <c r="R54" s="3230"/>
      <c r="T54" s="1351"/>
      <c r="U54" s="1342">
        <f t="shared" si="3"/>
        <v>97.066666666666663</v>
      </c>
      <c r="W54" s="1342" t="s">
        <v>3502</v>
      </c>
      <c r="X54" s="3724"/>
      <c r="Y54" s="1342"/>
      <c r="Z54" s="3724"/>
      <c r="AA54" s="1342"/>
      <c r="AB54" s="1342"/>
      <c r="AC54" s="1342"/>
      <c r="AD54" s="1342"/>
    </row>
    <row r="55" spans="1:30" s="1360" customFormat="1" ht="19.5" customHeight="1" thickBot="1" x14ac:dyDescent="0.3">
      <c r="A55" s="4219"/>
      <c r="B55" s="2498" t="s">
        <v>1593</v>
      </c>
      <c r="C55" s="2484">
        <v>106101089</v>
      </c>
      <c r="D55" s="2454" t="s">
        <v>1594</v>
      </c>
      <c r="E55" s="2105" t="s">
        <v>1595</v>
      </c>
      <c r="F55" s="2489" t="s">
        <v>0</v>
      </c>
      <c r="G55" s="2484" t="s">
        <v>0</v>
      </c>
      <c r="H55" s="2499">
        <v>5</v>
      </c>
      <c r="I55" s="2490"/>
      <c r="J55" s="3347">
        <f>'Lista global'!I5</f>
        <v>7.3666666666666663</v>
      </c>
      <c r="K55" s="3347">
        <f>'Lista global'!P5</f>
        <v>9.6125000000000007</v>
      </c>
      <c r="L55" s="3347">
        <f>'Lista global'!Q5</f>
        <v>8.0947368421052648</v>
      </c>
      <c r="M55" s="2453">
        <v>1</v>
      </c>
      <c r="N55" s="3124">
        <f>IF($Q$2=$S$5,IF(O2=2,1,2),IF(O2=2,2,3))</f>
        <v>3</v>
      </c>
      <c r="O55" s="3118">
        <f>IF(ROUND(N55*$P$2/16,0)&lt;M55,M55,ROUND(N55*$P$2/16,0))</f>
        <v>5</v>
      </c>
      <c r="P55" s="3128">
        <f t="shared" si="0"/>
        <v>48.0625</v>
      </c>
      <c r="Q55" s="3568">
        <f t="shared" si="6"/>
        <v>40.473684210526322</v>
      </c>
      <c r="R55" s="3230" t="s">
        <v>2309</v>
      </c>
      <c r="U55" s="1342">
        <f t="shared" si="3"/>
        <v>36.833333333333329</v>
      </c>
      <c r="W55" s="1342" t="s">
        <v>3629</v>
      </c>
      <c r="X55" s="3724" t="s">
        <v>3630</v>
      </c>
      <c r="Y55" s="1342"/>
      <c r="Z55" s="3724"/>
      <c r="AA55" s="1342"/>
      <c r="AB55" s="1342"/>
      <c r="AC55" s="1342"/>
      <c r="AD55" s="1342"/>
    </row>
    <row r="56" spans="1:30" ht="19.5" customHeight="1" x14ac:dyDescent="0.25">
      <c r="A56" s="4229" t="s">
        <v>2492</v>
      </c>
      <c r="B56" s="3162"/>
      <c r="C56" s="2718">
        <v>106112878</v>
      </c>
      <c r="D56" s="1411" t="s">
        <v>1558</v>
      </c>
      <c r="E56" s="1397" t="s">
        <v>1559</v>
      </c>
      <c r="F56" s="2449">
        <v>5</v>
      </c>
      <c r="G56" s="2447"/>
      <c r="H56" s="2447"/>
      <c r="I56" s="2851"/>
      <c r="J56" s="3347">
        <f>'Lista global'!I120</f>
        <v>1.9444444444444444</v>
      </c>
      <c r="K56" s="3347">
        <f>'Lista global'!P120</f>
        <v>2.4249999999999998</v>
      </c>
      <c r="L56" s="3347">
        <f>'Lista global'!Q120</f>
        <v>2.0421052631578949</v>
      </c>
      <c r="M56" s="2473">
        <v>5</v>
      </c>
      <c r="N56" s="3124">
        <f t="shared" si="2"/>
        <v>20</v>
      </c>
      <c r="O56" s="3243">
        <f>F56*($O$58+$O$59+$O$60+$O$61+$O$62+$O$63+$O$64+$O$65+$O$66+$O$67+$O$69)</f>
        <v>20</v>
      </c>
      <c r="P56" s="3244">
        <f t="shared" si="0"/>
        <v>48.5</v>
      </c>
      <c r="Q56" s="3568">
        <f t="shared" si="6"/>
        <v>40.842105263157897</v>
      </c>
      <c r="R56" s="3230"/>
      <c r="T56" s="1360"/>
      <c r="U56" s="1342">
        <f t="shared" si="3"/>
        <v>38.888888888888886</v>
      </c>
      <c r="W56" s="1342" t="s">
        <v>3551</v>
      </c>
      <c r="X56" s="3724" t="s">
        <v>3552</v>
      </c>
    </row>
    <row r="57" spans="1:30" ht="19.5" customHeight="1" thickBot="1" x14ac:dyDescent="0.3">
      <c r="A57" s="4230"/>
      <c r="B57" s="4095"/>
      <c r="C57" s="2484">
        <v>106107580</v>
      </c>
      <c r="D57" s="2112" t="s">
        <v>1277</v>
      </c>
      <c r="E57" s="2105" t="s">
        <v>1278</v>
      </c>
      <c r="F57" s="2394">
        <v>3</v>
      </c>
      <c r="G57" s="2484"/>
      <c r="H57" s="2484"/>
      <c r="I57" s="3761"/>
      <c r="J57" s="3347">
        <f>'Lista global'!I78</f>
        <v>0.8666666666666667</v>
      </c>
      <c r="K57" s="3347">
        <f>'Lista global'!P78</f>
        <v>1.0874999999999999</v>
      </c>
      <c r="L57" s="3347">
        <f>'Lista global'!Q78</f>
        <v>0.9157894736842106</v>
      </c>
      <c r="M57" s="2453">
        <v>3</v>
      </c>
      <c r="N57" s="3124">
        <f t="shared" si="2"/>
        <v>12</v>
      </c>
      <c r="O57" s="3118">
        <f>F57*($O$58+$O$59+$O$60+$O$61+$O$62+$O$63+$O$64+$O$65+$O$66+$O$67+$O$69)</f>
        <v>12</v>
      </c>
      <c r="P57" s="3128">
        <f t="shared" si="0"/>
        <v>13.049999999999999</v>
      </c>
      <c r="Q57" s="3568">
        <f t="shared" si="6"/>
        <v>10.989473684210527</v>
      </c>
      <c r="R57" s="3230"/>
      <c r="U57" s="1342">
        <f t="shared" si="3"/>
        <v>10.4</v>
      </c>
      <c r="W57" s="1342" t="s">
        <v>3553</v>
      </c>
      <c r="X57" s="3724" t="s">
        <v>3554</v>
      </c>
    </row>
    <row r="58" spans="1:30" ht="19.5" customHeight="1" x14ac:dyDescent="0.25">
      <c r="A58" s="4230"/>
      <c r="B58" s="4098" t="s">
        <v>4173</v>
      </c>
      <c r="C58" s="2496" t="s">
        <v>0</v>
      </c>
      <c r="D58" s="3072" t="s">
        <v>4149</v>
      </c>
      <c r="E58" s="3807" t="s">
        <v>4161</v>
      </c>
      <c r="F58" s="2469">
        <v>1</v>
      </c>
      <c r="G58" s="2485"/>
      <c r="H58" s="2473" t="s">
        <v>3156</v>
      </c>
      <c r="I58" s="2474"/>
      <c r="J58" s="3347">
        <f>'Lista global'!I297</f>
        <v>2070.6222222222223</v>
      </c>
      <c r="K58" s="3347">
        <f>'Lista global'!P297</f>
        <v>8374.0499999999993</v>
      </c>
      <c r="L58" s="3347">
        <f>'Lista global'!Q297</f>
        <v>4794.91</v>
      </c>
      <c r="M58" s="2473">
        <f t="shared" ref="M58:M63" si="9">IF(AND($M$2=T6,$N$2=$S$5),1,0)</f>
        <v>0</v>
      </c>
      <c r="N58" s="3124">
        <f t="shared" ref="N58:N69" si="10">$O$2*M58</f>
        <v>0</v>
      </c>
      <c r="O58" s="3121">
        <f t="shared" ref="O58:O69" si="11">ROUNDUP($O$2*$P$2*3/100,0)*M58</f>
        <v>0</v>
      </c>
      <c r="P58" s="3131">
        <f t="shared" si="0"/>
        <v>0</v>
      </c>
      <c r="Q58" s="3568">
        <f t="shared" si="6"/>
        <v>0</v>
      </c>
      <c r="R58" s="3230" t="s">
        <v>2309</v>
      </c>
      <c r="U58" s="1342">
        <f t="shared" si="3"/>
        <v>0</v>
      </c>
      <c r="W58" s="1342" t="s">
        <v>3502</v>
      </c>
    </row>
    <row r="59" spans="1:30" ht="19.5" customHeight="1" x14ac:dyDescent="0.25">
      <c r="A59" s="4230"/>
      <c r="B59" s="4098" t="s">
        <v>4174</v>
      </c>
      <c r="C59" s="2763" t="s">
        <v>0</v>
      </c>
      <c r="D59" s="2724" t="s">
        <v>4150</v>
      </c>
      <c r="E59" s="2733" t="s">
        <v>4162</v>
      </c>
      <c r="F59" s="2729">
        <v>1</v>
      </c>
      <c r="G59" s="2730"/>
      <c r="H59" s="2731" t="s">
        <v>3156</v>
      </c>
      <c r="I59" s="2452"/>
      <c r="J59" s="3347">
        <f>'Lista global'!I299</f>
        <v>2072.2111111111112</v>
      </c>
      <c r="K59" s="3347">
        <f>'Lista global'!P299</f>
        <v>8808.8644000000004</v>
      </c>
      <c r="L59" s="3347">
        <f>'Lista global'!Q299</f>
        <v>5043.88</v>
      </c>
      <c r="M59" s="2473">
        <f t="shared" si="9"/>
        <v>0</v>
      </c>
      <c r="N59" s="3124">
        <f t="shared" si="10"/>
        <v>0</v>
      </c>
      <c r="O59" s="3121">
        <f t="shared" si="11"/>
        <v>0</v>
      </c>
      <c r="P59" s="3131">
        <f t="shared" si="0"/>
        <v>0</v>
      </c>
      <c r="Q59" s="3568">
        <f t="shared" si="6"/>
        <v>0</v>
      </c>
      <c r="R59" s="3230" t="s">
        <v>2309</v>
      </c>
      <c r="U59" s="1342">
        <f t="shared" si="3"/>
        <v>0</v>
      </c>
      <c r="W59" s="1342" t="s">
        <v>3502</v>
      </c>
    </row>
    <row r="60" spans="1:30" ht="19.5" customHeight="1" x14ac:dyDescent="0.25">
      <c r="A60" s="4230"/>
      <c r="B60" s="4098" t="s">
        <v>4175</v>
      </c>
      <c r="C60" s="2763" t="s">
        <v>0</v>
      </c>
      <c r="D60" s="2724" t="s">
        <v>4151</v>
      </c>
      <c r="E60" s="2733" t="s">
        <v>4163</v>
      </c>
      <c r="F60" s="2729">
        <v>1</v>
      </c>
      <c r="G60" s="2730"/>
      <c r="H60" s="2731" t="s">
        <v>3156</v>
      </c>
      <c r="I60" s="2452"/>
      <c r="J60" s="3347">
        <f>'Lista global'!I300</f>
        <v>2072.2111111111112</v>
      </c>
      <c r="K60" s="3347">
        <f>'Lista global'!P300</f>
        <v>9401</v>
      </c>
      <c r="L60" s="3347">
        <f>'Lista global'!Q300</f>
        <v>5358.57</v>
      </c>
      <c r="M60" s="2473">
        <f t="shared" si="9"/>
        <v>0</v>
      </c>
      <c r="N60" s="3124">
        <f t="shared" si="10"/>
        <v>0</v>
      </c>
      <c r="O60" s="3121">
        <f t="shared" si="11"/>
        <v>0</v>
      </c>
      <c r="P60" s="3131">
        <f t="shared" si="0"/>
        <v>0</v>
      </c>
      <c r="Q60" s="3568">
        <f t="shared" si="6"/>
        <v>0</v>
      </c>
      <c r="R60" s="3230" t="s">
        <v>2309</v>
      </c>
      <c r="U60" s="1342">
        <f t="shared" si="3"/>
        <v>0</v>
      </c>
      <c r="W60" s="1342" t="s">
        <v>3502</v>
      </c>
    </row>
    <row r="61" spans="1:30" ht="19.5" customHeight="1" x14ac:dyDescent="0.25">
      <c r="A61" s="4230"/>
      <c r="B61" s="4098" t="s">
        <v>4176</v>
      </c>
      <c r="C61" s="2763" t="s">
        <v>0</v>
      </c>
      <c r="D61" s="2724" t="s">
        <v>4152</v>
      </c>
      <c r="E61" s="2733" t="s">
        <v>4164</v>
      </c>
      <c r="F61" s="2729">
        <v>1</v>
      </c>
      <c r="G61" s="2730"/>
      <c r="H61" s="2731" t="s">
        <v>3156</v>
      </c>
      <c r="I61" s="2452"/>
      <c r="J61" s="3347">
        <f>'Lista global'!I301</f>
        <v>2072.2111111111112</v>
      </c>
      <c r="K61" s="3347">
        <f>'Lista global'!P301</f>
        <v>9495.01</v>
      </c>
      <c r="L61" s="3347">
        <f>'Lista global'!Q301</f>
        <v>5412.15</v>
      </c>
      <c r="M61" s="2473">
        <f t="shared" si="9"/>
        <v>0</v>
      </c>
      <c r="N61" s="3124">
        <f t="shared" si="10"/>
        <v>0</v>
      </c>
      <c r="O61" s="3121">
        <f t="shared" si="11"/>
        <v>0</v>
      </c>
      <c r="P61" s="3131">
        <f t="shared" si="0"/>
        <v>0</v>
      </c>
      <c r="Q61" s="3568">
        <f t="shared" si="6"/>
        <v>0</v>
      </c>
      <c r="R61" s="3230" t="s">
        <v>2309</v>
      </c>
      <c r="U61" s="1342">
        <f t="shared" si="3"/>
        <v>0</v>
      </c>
      <c r="W61" s="1342" t="s">
        <v>3502</v>
      </c>
    </row>
    <row r="62" spans="1:30" ht="19.5" customHeight="1" x14ac:dyDescent="0.25">
      <c r="A62" s="4230"/>
      <c r="B62" s="4098" t="s">
        <v>4177</v>
      </c>
      <c r="C62" s="2763" t="s">
        <v>0</v>
      </c>
      <c r="D62" s="2724" t="s">
        <v>4153</v>
      </c>
      <c r="E62" s="2733" t="s">
        <v>4165</v>
      </c>
      <c r="F62" s="2729">
        <v>1</v>
      </c>
      <c r="G62" s="2730"/>
      <c r="H62" s="2731" t="s">
        <v>3156</v>
      </c>
      <c r="I62" s="2452"/>
      <c r="J62" s="3347">
        <f>'Lista global'!I302</f>
        <v>2072.2111111111112</v>
      </c>
      <c r="K62" s="3347">
        <f>'Lista global'!P302</f>
        <v>9495.01</v>
      </c>
      <c r="L62" s="3347">
        <f>'Lista global'!Q302</f>
        <v>5412.15</v>
      </c>
      <c r="M62" s="2731">
        <f t="shared" si="9"/>
        <v>1</v>
      </c>
      <c r="N62" s="3124">
        <f t="shared" si="10"/>
        <v>4</v>
      </c>
      <c r="O62" s="3121">
        <f t="shared" si="11"/>
        <v>4</v>
      </c>
      <c r="P62" s="3131">
        <f t="shared" si="0"/>
        <v>37980.04</v>
      </c>
      <c r="Q62" s="3568">
        <f t="shared" si="6"/>
        <v>21648.6</v>
      </c>
      <c r="R62" s="3230" t="s">
        <v>2309</v>
      </c>
      <c r="U62" s="1342">
        <f t="shared" si="3"/>
        <v>8288.8444444444449</v>
      </c>
      <c r="W62" s="1342" t="s">
        <v>3502</v>
      </c>
    </row>
    <row r="63" spans="1:30" ht="19.5" customHeight="1" thickBot="1" x14ac:dyDescent="0.3">
      <c r="A63" s="4210"/>
      <c r="B63" s="4099" t="s">
        <v>4178</v>
      </c>
      <c r="C63" s="2484" t="s">
        <v>0</v>
      </c>
      <c r="D63" s="2454" t="s">
        <v>4154</v>
      </c>
      <c r="E63" s="2734" t="s">
        <v>4166</v>
      </c>
      <c r="F63" s="2394">
        <v>1</v>
      </c>
      <c r="G63" s="2482"/>
      <c r="H63" s="2453" t="s">
        <v>3156</v>
      </c>
      <c r="I63" s="2595"/>
      <c r="J63" s="3347">
        <f>J62</f>
        <v>2072.2111111111112</v>
      </c>
      <c r="K63" s="3347">
        <f t="shared" ref="K63:L63" si="12">K62</f>
        <v>9495.01</v>
      </c>
      <c r="L63" s="3347">
        <f t="shared" si="12"/>
        <v>5412.15</v>
      </c>
      <c r="M63" s="2381">
        <f t="shared" si="9"/>
        <v>0</v>
      </c>
      <c r="N63" s="3124">
        <f t="shared" ref="N63" si="13">$O$2*M63</f>
        <v>0</v>
      </c>
      <c r="O63" s="3115">
        <f t="shared" ref="O63" si="14">ROUNDUP($O$2*$P$2*3/100,0)*M63</f>
        <v>0</v>
      </c>
      <c r="P63" s="3125">
        <f t="shared" ref="P63" si="15">K63*O63</f>
        <v>0</v>
      </c>
      <c r="Q63" s="3568">
        <f t="shared" ref="Q63" si="16">L63*O63</f>
        <v>0</v>
      </c>
      <c r="R63" s="3230" t="s">
        <v>2309</v>
      </c>
      <c r="U63" s="1342">
        <f t="shared" ref="U63" si="17">O63*J63</f>
        <v>0</v>
      </c>
      <c r="W63" s="1342" t="s">
        <v>3502</v>
      </c>
    </row>
    <row r="64" spans="1:30" ht="19.5" customHeight="1" x14ac:dyDescent="0.25">
      <c r="A64" s="4210"/>
      <c r="B64" s="4098" t="s">
        <v>4179</v>
      </c>
      <c r="C64" s="2496" t="s">
        <v>0</v>
      </c>
      <c r="D64" s="3072" t="s">
        <v>4155</v>
      </c>
      <c r="E64" s="3807" t="s">
        <v>4167</v>
      </c>
      <c r="F64" s="2469">
        <v>1</v>
      </c>
      <c r="G64" s="2485"/>
      <c r="H64" s="2473" t="s">
        <v>3155</v>
      </c>
      <c r="I64" s="2474"/>
      <c r="J64" s="3347">
        <f>'Lista global'!I311</f>
        <v>2072.2111111111112</v>
      </c>
      <c r="K64" s="3347">
        <f>'Lista global'!P311</f>
        <v>8374.0499999999993</v>
      </c>
      <c r="L64" s="3347">
        <f>'Lista global'!Q311</f>
        <v>4794.91</v>
      </c>
      <c r="M64" s="2473">
        <f t="shared" ref="M64:M69" si="18">IF(AND($M$2=T6,$N$2=$S$4),1,0)</f>
        <v>0</v>
      </c>
      <c r="N64" s="3124">
        <f t="shared" si="10"/>
        <v>0</v>
      </c>
      <c r="O64" s="3121">
        <f t="shared" si="11"/>
        <v>0</v>
      </c>
      <c r="P64" s="3131">
        <f t="shared" si="0"/>
        <v>0</v>
      </c>
      <c r="Q64" s="3568">
        <f t="shared" si="6"/>
        <v>0</v>
      </c>
      <c r="R64" s="3230" t="s">
        <v>2309</v>
      </c>
      <c r="U64" s="1342">
        <f t="shared" si="3"/>
        <v>0</v>
      </c>
      <c r="W64" s="1342" t="s">
        <v>3502</v>
      </c>
    </row>
    <row r="65" spans="1:30" ht="19.5" customHeight="1" x14ac:dyDescent="0.25">
      <c r="A65" s="4210"/>
      <c r="B65" s="4098" t="s">
        <v>4180</v>
      </c>
      <c r="C65" s="2763" t="s">
        <v>0</v>
      </c>
      <c r="D65" s="2724" t="s">
        <v>4156</v>
      </c>
      <c r="E65" s="2733" t="s">
        <v>4168</v>
      </c>
      <c r="F65" s="2729">
        <v>1</v>
      </c>
      <c r="G65" s="2730"/>
      <c r="H65" s="2731" t="s">
        <v>3155</v>
      </c>
      <c r="I65" s="2452"/>
      <c r="J65" s="3347">
        <f>'Lista global'!I312</f>
        <v>2072.2111111111112</v>
      </c>
      <c r="K65" s="3347">
        <f>'Lista global'!P312</f>
        <v>8808.8644000000004</v>
      </c>
      <c r="L65" s="3347">
        <f>'Lista global'!Q312</f>
        <v>5043.88</v>
      </c>
      <c r="M65" s="2473">
        <f t="shared" si="18"/>
        <v>0</v>
      </c>
      <c r="N65" s="3124">
        <f t="shared" si="10"/>
        <v>0</v>
      </c>
      <c r="O65" s="3121">
        <f t="shared" si="11"/>
        <v>0</v>
      </c>
      <c r="P65" s="3131">
        <f t="shared" si="0"/>
        <v>0</v>
      </c>
      <c r="Q65" s="3568">
        <f t="shared" si="6"/>
        <v>0</v>
      </c>
      <c r="R65" s="3230" t="s">
        <v>2309</v>
      </c>
      <c r="U65" s="1342">
        <f t="shared" si="3"/>
        <v>0</v>
      </c>
      <c r="W65" s="1342" t="s">
        <v>3502</v>
      </c>
    </row>
    <row r="66" spans="1:30" ht="19.5" customHeight="1" x14ac:dyDescent="0.25">
      <c r="A66" s="4210"/>
      <c r="B66" s="4098" t="s">
        <v>4181</v>
      </c>
      <c r="C66" s="2763" t="s">
        <v>0</v>
      </c>
      <c r="D66" s="2724" t="s">
        <v>4157</v>
      </c>
      <c r="E66" s="2733" t="s">
        <v>4169</v>
      </c>
      <c r="F66" s="2729">
        <v>1</v>
      </c>
      <c r="G66" s="2730"/>
      <c r="H66" s="2731" t="s">
        <v>3155</v>
      </c>
      <c r="I66" s="2452"/>
      <c r="J66" s="3347">
        <f>'Lista global'!I313</f>
        <v>2072.2111111111112</v>
      </c>
      <c r="K66" s="3347">
        <f>'Lista global'!P313</f>
        <v>9401</v>
      </c>
      <c r="L66" s="3347">
        <f>'Lista global'!Q313</f>
        <v>5358.57</v>
      </c>
      <c r="M66" s="2473">
        <f t="shared" si="18"/>
        <v>0</v>
      </c>
      <c r="N66" s="3124">
        <f t="shared" si="10"/>
        <v>0</v>
      </c>
      <c r="O66" s="3121">
        <f t="shared" si="11"/>
        <v>0</v>
      </c>
      <c r="P66" s="3131">
        <f t="shared" si="0"/>
        <v>0</v>
      </c>
      <c r="Q66" s="3568">
        <f t="shared" si="6"/>
        <v>0</v>
      </c>
      <c r="R66" s="3230" t="s">
        <v>2309</v>
      </c>
      <c r="U66" s="1342">
        <f t="shared" si="3"/>
        <v>0</v>
      </c>
      <c r="W66" s="1342" t="s">
        <v>3502</v>
      </c>
    </row>
    <row r="67" spans="1:30" ht="19.5" customHeight="1" x14ac:dyDescent="0.25">
      <c r="A67" s="4210"/>
      <c r="B67" s="4098" t="s">
        <v>4182</v>
      </c>
      <c r="C67" s="2763" t="s">
        <v>0</v>
      </c>
      <c r="D67" s="2724" t="s">
        <v>4158</v>
      </c>
      <c r="E67" s="2733" t="s">
        <v>4170</v>
      </c>
      <c r="F67" s="2729">
        <v>1</v>
      </c>
      <c r="G67" s="2730"/>
      <c r="H67" s="2731" t="s">
        <v>3155</v>
      </c>
      <c r="I67" s="2452"/>
      <c r="J67" s="3347">
        <f>'Lista global'!I314</f>
        <v>2072.2111111111112</v>
      </c>
      <c r="K67" s="3347">
        <f>'Lista global'!P314</f>
        <v>9495.01</v>
      </c>
      <c r="L67" s="3347">
        <f>'Lista global'!Q314</f>
        <v>5412.15</v>
      </c>
      <c r="M67" s="2473">
        <f t="shared" si="18"/>
        <v>0</v>
      </c>
      <c r="N67" s="3124">
        <f t="shared" si="10"/>
        <v>0</v>
      </c>
      <c r="O67" s="3121">
        <f t="shared" si="11"/>
        <v>0</v>
      </c>
      <c r="P67" s="3131">
        <f>K67*O67</f>
        <v>0</v>
      </c>
      <c r="Q67" s="3568">
        <f t="shared" si="6"/>
        <v>0</v>
      </c>
      <c r="R67" s="3230" t="s">
        <v>2309</v>
      </c>
      <c r="U67" s="1342">
        <f t="shared" si="3"/>
        <v>0</v>
      </c>
      <c r="W67" s="1342" t="s">
        <v>3502</v>
      </c>
    </row>
    <row r="68" spans="1:30" ht="19.5" customHeight="1" x14ac:dyDescent="0.25">
      <c r="A68" s="4210"/>
      <c r="B68" s="4098" t="s">
        <v>4183</v>
      </c>
      <c r="C68" s="2763" t="s">
        <v>0</v>
      </c>
      <c r="D68" s="2724" t="s">
        <v>4159</v>
      </c>
      <c r="E68" s="2733" t="s">
        <v>4171</v>
      </c>
      <c r="F68" s="2729">
        <v>1</v>
      </c>
      <c r="G68" s="2730"/>
      <c r="H68" s="2731" t="s">
        <v>3155</v>
      </c>
      <c r="I68" s="2452"/>
      <c r="J68" s="3347">
        <f>J67</f>
        <v>2072.2111111111112</v>
      </c>
      <c r="K68" s="3347">
        <f t="shared" ref="K68:L68" si="19">K67</f>
        <v>9495.01</v>
      </c>
      <c r="L68" s="3347">
        <f t="shared" si="19"/>
        <v>5412.15</v>
      </c>
      <c r="M68" s="2473">
        <f t="shared" si="18"/>
        <v>0</v>
      </c>
      <c r="N68" s="3124">
        <f t="shared" ref="N68" si="20">$O$2*M68</f>
        <v>0</v>
      </c>
      <c r="O68" s="3121">
        <f t="shared" ref="O68" si="21">ROUNDUP($O$2*$P$2*3/100,0)*M68</f>
        <v>0</v>
      </c>
      <c r="P68" s="3131">
        <f>K68*O68</f>
        <v>0</v>
      </c>
      <c r="Q68" s="3568">
        <f t="shared" ref="Q68" si="22">L68*O68</f>
        <v>0</v>
      </c>
      <c r="R68" s="3230" t="s">
        <v>2309</v>
      </c>
      <c r="U68" s="1342">
        <f t="shared" ref="U68" si="23">O68*J68</f>
        <v>0</v>
      </c>
      <c r="W68" s="1342" t="s">
        <v>3502</v>
      </c>
    </row>
    <row r="69" spans="1:30" ht="19.5" customHeight="1" thickBot="1" x14ac:dyDescent="0.3">
      <c r="A69" s="4211"/>
      <c r="B69" s="4099" t="s">
        <v>4184</v>
      </c>
      <c r="C69" s="2756" t="s">
        <v>0</v>
      </c>
      <c r="D69" s="2843" t="s">
        <v>4160</v>
      </c>
      <c r="E69" s="3765" t="s">
        <v>4172</v>
      </c>
      <c r="F69" s="2387">
        <v>1</v>
      </c>
      <c r="G69" s="3766"/>
      <c r="H69" s="2381" t="s">
        <v>3155</v>
      </c>
      <c r="I69" s="2389"/>
      <c r="J69" s="3347">
        <f>J68</f>
        <v>2072.2111111111112</v>
      </c>
      <c r="K69" s="3347">
        <f t="shared" ref="K69" si="24">K68</f>
        <v>9495.01</v>
      </c>
      <c r="L69" s="3347">
        <f t="shared" ref="L69" si="25">L68</f>
        <v>5412.15</v>
      </c>
      <c r="M69" s="2453">
        <f t="shared" si="18"/>
        <v>0</v>
      </c>
      <c r="N69" s="3124">
        <f t="shared" si="10"/>
        <v>0</v>
      </c>
      <c r="O69" s="3121">
        <f t="shared" si="11"/>
        <v>0</v>
      </c>
      <c r="P69" s="3131">
        <f>K69*O69</f>
        <v>0</v>
      </c>
      <c r="Q69" s="3568">
        <f t="shared" si="6"/>
        <v>0</v>
      </c>
      <c r="R69" s="3230" t="s">
        <v>2309</v>
      </c>
      <c r="U69" s="1342">
        <f t="shared" si="3"/>
        <v>0</v>
      </c>
      <c r="W69" s="1342" t="s">
        <v>3502</v>
      </c>
    </row>
    <row r="70" spans="1:30" ht="15.75" thickBot="1" x14ac:dyDescent="0.3">
      <c r="A70" s="2856"/>
      <c r="B70" s="2544"/>
      <c r="C70" s="3802"/>
      <c r="D70" s="3757"/>
      <c r="E70" s="3235"/>
      <c r="F70" s="2814"/>
      <c r="G70" s="2860"/>
      <c r="H70" s="4024"/>
      <c r="I70" s="4024"/>
      <c r="L70" s="71"/>
      <c r="M70" s="3230"/>
      <c r="N70" s="84"/>
    </row>
    <row r="71" spans="1:30" ht="19.5" customHeight="1" x14ac:dyDescent="0.25">
      <c r="A71" s="4229" t="s">
        <v>3363</v>
      </c>
      <c r="B71" s="2720" t="s">
        <v>1030</v>
      </c>
      <c r="C71" s="2447">
        <v>106200533</v>
      </c>
      <c r="D71" s="1411" t="s">
        <v>3364</v>
      </c>
      <c r="E71" s="2732" t="s">
        <v>3365</v>
      </c>
      <c r="F71" s="2449"/>
      <c r="G71" s="2396"/>
      <c r="H71" s="2397"/>
      <c r="I71" s="2398"/>
      <c r="J71" s="3347">
        <f>tarjetas!$D$20</f>
        <v>17.64</v>
      </c>
      <c r="K71" s="3347">
        <f>J71/0.4</f>
        <v>44.1</v>
      </c>
      <c r="L71" s="3347">
        <f>J71/0.8</f>
        <v>22.05</v>
      </c>
      <c r="M71" s="2731">
        <v>1</v>
      </c>
      <c r="N71" s="3124">
        <f>O2</f>
        <v>4</v>
      </c>
      <c r="O71" s="3121">
        <f>IF(ROUNDDOWN(($P$2*N71/4)/5,0)&lt;M71,M71,ROUNDDOWN(($P$2*N71/4)/5,0))</f>
        <v>5</v>
      </c>
      <c r="P71" s="3131">
        <f>K71*O71</f>
        <v>220.5</v>
      </c>
      <c r="Q71" s="3568"/>
      <c r="R71" s="3230"/>
      <c r="W71" s="1342" t="s">
        <v>3502</v>
      </c>
    </row>
    <row r="72" spans="1:30" ht="19.5" customHeight="1" x14ac:dyDescent="0.25">
      <c r="A72" s="4230"/>
      <c r="B72" s="2497" t="s">
        <v>3366</v>
      </c>
      <c r="C72" s="2726">
        <v>106122984</v>
      </c>
      <c r="D72" s="2402" t="s">
        <v>3782</v>
      </c>
      <c r="E72" s="2733" t="s">
        <v>3367</v>
      </c>
      <c r="F72" s="2729"/>
      <c r="G72" s="2730"/>
      <c r="H72" s="2731"/>
      <c r="I72" s="2452"/>
      <c r="J72" s="3347">
        <f>tarjetas!$D$31</f>
        <v>133.32</v>
      </c>
      <c r="K72" s="3347">
        <f>J72/0.4</f>
        <v>333.29999999999995</v>
      </c>
      <c r="L72" s="3347">
        <f>J72/0.8</f>
        <v>166.64999999999998</v>
      </c>
      <c r="M72" s="2731">
        <v>1</v>
      </c>
      <c r="N72" s="3124">
        <v>1</v>
      </c>
      <c r="O72" s="3121">
        <f>IF(ROUNDUP(($P$2*N72/4)/5,0)&lt;M72,M72,ROUNDUP(($P$2*N72/4)/5,0))</f>
        <v>2</v>
      </c>
      <c r="P72" s="3131">
        <f>K72*O72</f>
        <v>666.59999999999991</v>
      </c>
      <c r="Q72" s="3568"/>
      <c r="R72" s="3230"/>
      <c r="W72" s="1342" t="s">
        <v>3502</v>
      </c>
    </row>
    <row r="73" spans="1:30" ht="19.5" customHeight="1" x14ac:dyDescent="0.25">
      <c r="A73" s="4230"/>
      <c r="B73" s="4022" t="s">
        <v>1029</v>
      </c>
      <c r="C73" s="2726">
        <v>106200874</v>
      </c>
      <c r="D73" s="2402" t="s">
        <v>3370</v>
      </c>
      <c r="E73" s="3658" t="s">
        <v>3371</v>
      </c>
      <c r="F73" s="2477"/>
      <c r="G73" s="2478"/>
      <c r="H73" s="2404"/>
      <c r="I73" s="2479"/>
      <c r="J73" s="3347">
        <f>tarjetas!$D$26</f>
        <v>175.24</v>
      </c>
      <c r="K73" s="3347">
        <f>J73/0.6</f>
        <v>292.06666666666672</v>
      </c>
      <c r="L73" s="3347">
        <f>J73/0.8</f>
        <v>219.05</v>
      </c>
      <c r="M73" s="2731">
        <v>1</v>
      </c>
      <c r="N73" s="3124">
        <v>1</v>
      </c>
      <c r="O73" s="3121">
        <f>IF(ROUNDUP(($P$2*N73/4)/5,0)&lt;M73,M73,ROUNDUP(($P$2*N73/4)/5,0))</f>
        <v>2</v>
      </c>
      <c r="P73" s="3131">
        <f>K73*O73</f>
        <v>584.13333333333344</v>
      </c>
      <c r="Q73" s="3568"/>
      <c r="R73" s="3230"/>
      <c r="W73" s="1342" t="s">
        <v>3502</v>
      </c>
    </row>
    <row r="74" spans="1:30" ht="19.5" customHeight="1" thickBot="1" x14ac:dyDescent="0.3">
      <c r="A74" s="4231"/>
      <c r="B74" s="2498" t="s">
        <v>3280</v>
      </c>
      <c r="C74" s="2484">
        <v>106124036</v>
      </c>
      <c r="D74" s="2454" t="s">
        <v>3368</v>
      </c>
      <c r="E74" s="2734" t="s">
        <v>3369</v>
      </c>
      <c r="F74" s="2394"/>
      <c r="G74" s="2482"/>
      <c r="H74" s="2453"/>
      <c r="I74" s="2595"/>
      <c r="J74" s="3347">
        <f>'Lista global'!I358</f>
        <v>179.78888888888889</v>
      </c>
      <c r="K74" s="3347">
        <f>'Lista global'!P358</f>
        <v>224.73749999999998</v>
      </c>
      <c r="L74" s="3347">
        <f>'Lista global'!Q358</f>
        <v>189.25263157894736</v>
      </c>
      <c r="M74" s="2731">
        <v>1</v>
      </c>
      <c r="N74" s="3124">
        <v>1</v>
      </c>
      <c r="O74" s="3121">
        <f>IF(ROUNDUP(($P$2*N74/4)/5,0)&lt;M74,M74,ROUNDUP(($P$2*N74/4)/5,0))</f>
        <v>2</v>
      </c>
      <c r="P74" s="3131">
        <f>K74*O74</f>
        <v>449.47499999999997</v>
      </c>
      <c r="Q74" s="3568"/>
      <c r="R74" s="3230"/>
      <c r="W74" s="1342" t="s">
        <v>3631</v>
      </c>
      <c r="X74" s="3724" t="s">
        <v>3632</v>
      </c>
    </row>
    <row r="75" spans="1:30" ht="19.5" customHeight="1" thickBot="1" x14ac:dyDescent="0.3">
      <c r="A75" s="3663" t="s">
        <v>3382</v>
      </c>
      <c r="B75" s="3764" t="s">
        <v>3642</v>
      </c>
      <c r="C75" s="2756">
        <v>106112808</v>
      </c>
      <c r="D75" s="2843" t="s">
        <v>3696</v>
      </c>
      <c r="E75" s="3765" t="s">
        <v>3697</v>
      </c>
      <c r="F75" s="2387"/>
      <c r="G75" s="3766">
        <v>1</v>
      </c>
      <c r="H75" s="2381"/>
      <c r="I75" s="2389"/>
      <c r="J75" s="3347">
        <f>'Lista global'!$I$354</f>
        <v>146.11111111111111</v>
      </c>
      <c r="K75" s="3347">
        <f>'Lista global'!$P$354</f>
        <v>182.63750000000002</v>
      </c>
      <c r="L75" s="3347">
        <f>'Lista global'!$Q$354</f>
        <v>153.80000000000001</v>
      </c>
      <c r="M75" s="2473">
        <v>1</v>
      </c>
      <c r="N75" s="3124">
        <v>1</v>
      </c>
      <c r="O75" s="3121">
        <f>IF(ROUNDUP(($O$2*N75/4)/5,0)&lt;M75,M75,ROUNDUP(($O$2*N75/4)/5,0))</f>
        <v>1</v>
      </c>
      <c r="P75" s="3131">
        <f t="shared" ref="P75" si="26">K75*O75</f>
        <v>182.63750000000002</v>
      </c>
      <c r="Q75" s="3568"/>
      <c r="R75" s="3230"/>
      <c r="W75" s="1342" t="s">
        <v>3526</v>
      </c>
      <c r="X75" s="1342" t="s">
        <v>3652</v>
      </c>
      <c r="Z75" s="1342"/>
    </row>
    <row r="76" spans="1:30" ht="19.5" customHeight="1" thickBot="1" x14ac:dyDescent="0.3">
      <c r="A76" s="2856"/>
      <c r="B76" s="2544"/>
      <c r="C76" s="2898"/>
      <c r="D76" s="3234"/>
      <c r="E76" s="3235"/>
      <c r="F76" s="2814"/>
      <c r="G76" s="2860"/>
      <c r="H76" s="4041"/>
      <c r="I76" s="4041"/>
      <c r="J76" s="3347"/>
      <c r="K76" s="3347"/>
      <c r="L76" s="3347"/>
      <c r="M76" s="4041"/>
      <c r="N76" s="3124"/>
      <c r="O76" s="3845"/>
      <c r="P76" s="3568"/>
      <c r="Q76" s="3568"/>
      <c r="R76" s="3230"/>
      <c r="X76" s="1342"/>
      <c r="Z76" s="1342"/>
    </row>
    <row r="77" spans="1:30" ht="19.5" customHeight="1" x14ac:dyDescent="0.25">
      <c r="A77" s="4229" t="s">
        <v>3660</v>
      </c>
      <c r="B77" s="3767" t="s">
        <v>2949</v>
      </c>
      <c r="C77" s="2940" t="s">
        <v>1500</v>
      </c>
      <c r="D77" s="2448" t="s">
        <v>1149</v>
      </c>
      <c r="E77" s="1441" t="s">
        <v>1149</v>
      </c>
      <c r="F77" s="2940">
        <v>1</v>
      </c>
      <c r="G77" s="2397"/>
      <c r="H77" s="2789">
        <v>6</v>
      </c>
      <c r="I77" s="2398"/>
      <c r="J77" s="3347">
        <f>'Lista global'!I262</f>
        <v>127.06666666666666</v>
      </c>
      <c r="K77" s="3347">
        <f>'Lista global'!P262</f>
        <v>318.47499999999997</v>
      </c>
      <c r="L77" s="3347">
        <f>'Lista global'!Q262</f>
        <v>212.31666666666666</v>
      </c>
      <c r="M77" s="2731">
        <f>IF($L$2=$S$4,1,0)</f>
        <v>1</v>
      </c>
      <c r="N77" s="3124">
        <f>IF($L$2=$S$4,F77*O2,0)</f>
        <v>4</v>
      </c>
      <c r="O77" s="3121">
        <f>IF(ROUNDDOWN(N77*$P$2/20,0)&lt;M77,M77,ROUNDDOWN(N77*$P$2/20,0))</f>
        <v>5</v>
      </c>
      <c r="P77" s="3131">
        <f>K77*O77</f>
        <v>1592.3749999999998</v>
      </c>
      <c r="Q77" s="3568">
        <f>L77*O77</f>
        <v>1061.5833333333333</v>
      </c>
      <c r="R77" s="3230"/>
      <c r="U77" s="1342">
        <f>O77*J77</f>
        <v>635.33333333333326</v>
      </c>
      <c r="W77" s="1342" t="s">
        <v>3502</v>
      </c>
    </row>
    <row r="78" spans="1:30" ht="19.5" customHeight="1" thickBot="1" x14ac:dyDescent="0.3">
      <c r="A78" s="4231"/>
      <c r="B78" s="3764" t="s">
        <v>3644</v>
      </c>
      <c r="C78" s="2756">
        <v>106116005</v>
      </c>
      <c r="D78" s="2843" t="s">
        <v>1498</v>
      </c>
      <c r="E78" s="3765" t="s">
        <v>1499</v>
      </c>
      <c r="F78" s="2387">
        <v>1</v>
      </c>
      <c r="G78" s="3766"/>
      <c r="H78" s="2381" t="s">
        <v>649</v>
      </c>
      <c r="I78" s="2389"/>
      <c r="J78" s="3347">
        <f>'Lista global'!$I$150</f>
        <v>3.1111111111111107</v>
      </c>
      <c r="K78" s="3347">
        <f>'Lista global'!$P$150</f>
        <v>3.8874999999999997</v>
      </c>
      <c r="L78" s="3347">
        <f>'Lista global'!$Q$150</f>
        <v>3.2736842105263158</v>
      </c>
      <c r="M78" s="2473">
        <f>M77</f>
        <v>1</v>
      </c>
      <c r="N78" s="3124">
        <f>N77</f>
        <v>4</v>
      </c>
      <c r="O78" s="3243">
        <f>O77</f>
        <v>5</v>
      </c>
      <c r="P78" s="3244">
        <f t="shared" ref="P78:P85" si="27">K78*O78</f>
        <v>19.4375</v>
      </c>
      <c r="Q78" s="3568">
        <f t="shared" ref="Q78" si="28">L78*O78</f>
        <v>16.368421052631579</v>
      </c>
      <c r="R78" s="3230"/>
      <c r="W78" s="1342" t="s">
        <v>3511</v>
      </c>
      <c r="X78" s="1342" t="s">
        <v>3518</v>
      </c>
      <c r="Y78" s="1342" t="s">
        <v>3508</v>
      </c>
      <c r="Z78" s="1342">
        <v>491605</v>
      </c>
      <c r="AA78" s="1342" t="s">
        <v>3519</v>
      </c>
      <c r="AB78" s="1342" t="s">
        <v>3520</v>
      </c>
      <c r="AC78" s="1342" t="s">
        <v>3521</v>
      </c>
      <c r="AD78" s="1342" t="s">
        <v>3522</v>
      </c>
    </row>
    <row r="79" spans="1:30" ht="19.5" customHeight="1" thickBot="1" x14ac:dyDescent="0.3">
      <c r="A79" s="2856"/>
      <c r="B79" s="2544"/>
      <c r="C79" s="2898"/>
      <c r="D79" s="3234"/>
      <c r="E79" s="3235"/>
      <c r="F79" s="2814"/>
      <c r="G79" s="2860"/>
      <c r="H79" s="4094"/>
      <c r="I79" s="4094"/>
      <c r="J79" s="3347"/>
      <c r="K79" s="3347"/>
      <c r="L79" s="3347"/>
      <c r="M79" s="4094"/>
      <c r="N79" s="3124"/>
      <c r="O79" s="3845"/>
      <c r="P79" s="3568"/>
      <c r="Q79" s="3568"/>
      <c r="R79" s="3230"/>
      <c r="X79" s="1342"/>
      <c r="Z79" s="1342"/>
    </row>
    <row r="80" spans="1:30" ht="19.5" customHeight="1" x14ac:dyDescent="0.25">
      <c r="A80" s="4229" t="s">
        <v>3661</v>
      </c>
      <c r="B80" s="2720" t="s">
        <v>3410</v>
      </c>
      <c r="C80" s="2447">
        <v>106124015</v>
      </c>
      <c r="D80" s="1411" t="s">
        <v>3674</v>
      </c>
      <c r="E80" s="2732" t="s">
        <v>3675</v>
      </c>
      <c r="F80" s="2449"/>
      <c r="G80" s="2396">
        <v>1</v>
      </c>
      <c r="H80" s="2397"/>
      <c r="I80" s="2398"/>
      <c r="J80" s="3347">
        <f>'Lista global'!I347</f>
        <v>219.77777777777777</v>
      </c>
      <c r="K80" s="3347">
        <f>'Lista global'!$P$347</f>
        <v>274.72499999999997</v>
      </c>
      <c r="L80" s="3347">
        <f>'Lista global'!$Q$347</f>
        <v>231.34736842105264</v>
      </c>
      <c r="M80" s="2731"/>
      <c r="N80" s="3124"/>
      <c r="O80" s="3121"/>
      <c r="P80" s="3131">
        <f t="shared" si="27"/>
        <v>0</v>
      </c>
      <c r="Q80" s="3568"/>
      <c r="R80" s="3230"/>
    </row>
    <row r="81" spans="1:26" ht="19.5" customHeight="1" x14ac:dyDescent="0.25">
      <c r="A81" s="4230"/>
      <c r="B81" s="4237" t="s">
        <v>3668</v>
      </c>
      <c r="C81" s="2726">
        <v>106129787</v>
      </c>
      <c r="D81" s="2724" t="s">
        <v>3911</v>
      </c>
      <c r="E81" s="2733" t="s">
        <v>3912</v>
      </c>
      <c r="F81" s="2729"/>
      <c r="G81" s="2730">
        <v>3</v>
      </c>
      <c r="H81" s="2731"/>
      <c r="I81" s="2452"/>
      <c r="J81" s="3801">
        <v>0.5</v>
      </c>
      <c r="K81" s="3801">
        <f>J81/0.8</f>
        <v>0.625</v>
      </c>
      <c r="L81" s="3801">
        <f>J81/0.95</f>
        <v>0.52631578947368418</v>
      </c>
      <c r="M81" s="2473"/>
      <c r="N81" s="3124"/>
      <c r="O81" s="3121"/>
      <c r="P81" s="3131">
        <f t="shared" si="27"/>
        <v>0</v>
      </c>
      <c r="Q81" s="3568"/>
      <c r="R81" s="3230"/>
      <c r="W81" s="1342" t="s">
        <v>3602</v>
      </c>
      <c r="X81" s="3724">
        <v>420000</v>
      </c>
      <c r="Y81" s="1342" t="s">
        <v>3603</v>
      </c>
      <c r="Z81" s="3724" t="s">
        <v>3905</v>
      </c>
    </row>
    <row r="82" spans="1:26" ht="19.5" customHeight="1" x14ac:dyDescent="0.25">
      <c r="A82" s="4230"/>
      <c r="B82" s="4238"/>
      <c r="C82" s="2726">
        <v>106120385</v>
      </c>
      <c r="D82" s="2724" t="s">
        <v>3808</v>
      </c>
      <c r="E82" s="2733" t="s">
        <v>3809</v>
      </c>
      <c r="F82" s="2477"/>
      <c r="G82" s="2478">
        <v>2</v>
      </c>
      <c r="H82" s="2404"/>
      <c r="I82" s="2479"/>
      <c r="J82" s="3347">
        <f>'Lista global'!$I$352</f>
        <v>114.54444444444445</v>
      </c>
      <c r="K82" s="3347">
        <f>'Lista global'!$P$352</f>
        <v>143.17500000000001</v>
      </c>
      <c r="L82" s="3347">
        <f>'Lista global'!$Q$352</f>
        <v>120.56842105263159</v>
      </c>
      <c r="M82" s="2473"/>
      <c r="N82" s="3124"/>
      <c r="O82" s="3121"/>
      <c r="P82" s="3131">
        <f t="shared" si="27"/>
        <v>0</v>
      </c>
      <c r="Q82" s="3568"/>
      <c r="R82" s="3230"/>
    </row>
    <row r="83" spans="1:26" ht="19.5" customHeight="1" x14ac:dyDescent="0.25">
      <c r="A83" s="4230"/>
      <c r="B83" s="2497" t="s">
        <v>3669</v>
      </c>
      <c r="C83" s="2763">
        <v>106120384</v>
      </c>
      <c r="D83" s="2724" t="s">
        <v>3810</v>
      </c>
      <c r="E83" s="2733" t="s">
        <v>3811</v>
      </c>
      <c r="F83" s="2729"/>
      <c r="G83" s="2730">
        <v>2</v>
      </c>
      <c r="H83" s="2731"/>
      <c r="I83" s="2452"/>
      <c r="J83" s="3347">
        <f>'Lista global'!$I$353</f>
        <v>41.388888888888886</v>
      </c>
      <c r="K83" s="3347">
        <f>'Lista global'!$P$353</f>
        <v>51.737499999999997</v>
      </c>
      <c r="L83" s="3347">
        <f>'Lista global'!$Q$353</f>
        <v>43.568421052631578</v>
      </c>
      <c r="M83" s="2473"/>
      <c r="N83" s="3124"/>
      <c r="O83" s="3121"/>
      <c r="P83" s="3131">
        <f t="shared" si="27"/>
        <v>0</v>
      </c>
      <c r="Q83" s="3568"/>
      <c r="R83" s="3230"/>
    </row>
    <row r="84" spans="1:26" ht="19.5" customHeight="1" x14ac:dyDescent="0.25">
      <c r="A84" s="4230"/>
      <c r="B84" s="2497" t="s">
        <v>3670</v>
      </c>
      <c r="C84" s="2763">
        <v>106123943</v>
      </c>
      <c r="D84" s="2724" t="s">
        <v>3812</v>
      </c>
      <c r="E84" s="2733" t="s">
        <v>3813</v>
      </c>
      <c r="F84" s="2729"/>
      <c r="G84" s="2730">
        <v>2</v>
      </c>
      <c r="H84" s="2731"/>
      <c r="I84" s="2452"/>
      <c r="J84" s="3347"/>
      <c r="K84" s="3347"/>
      <c r="L84" s="3347"/>
      <c r="M84" s="2473"/>
      <c r="N84" s="3124"/>
      <c r="O84" s="3121"/>
      <c r="P84" s="3131">
        <f t="shared" si="27"/>
        <v>0</v>
      </c>
      <c r="Q84" s="3568"/>
      <c r="R84" s="3230"/>
    </row>
    <row r="85" spans="1:26" ht="19.5" customHeight="1" thickBot="1" x14ac:dyDescent="0.3">
      <c r="A85" s="4231"/>
      <c r="B85" s="3764" t="s">
        <v>3671</v>
      </c>
      <c r="C85" s="2756">
        <v>106124049</v>
      </c>
      <c r="D85" s="2454" t="s">
        <v>3815</v>
      </c>
      <c r="E85" s="2734" t="s">
        <v>3814</v>
      </c>
      <c r="F85" s="2387"/>
      <c r="G85" s="3766">
        <v>2</v>
      </c>
      <c r="H85" s="2381"/>
      <c r="I85" s="2389"/>
      <c r="J85" s="3347"/>
      <c r="K85" s="3347"/>
      <c r="L85" s="3347"/>
      <c r="M85" s="2473"/>
      <c r="N85" s="3124"/>
      <c r="O85" s="3121"/>
      <c r="P85" s="3131">
        <f t="shared" si="27"/>
        <v>0</v>
      </c>
      <c r="Q85" s="3568"/>
      <c r="R85" s="3230"/>
      <c r="X85" s="1342"/>
      <c r="Z85" s="1342"/>
    </row>
    <row r="86" spans="1:26" ht="15.75" thickBot="1" x14ac:dyDescent="0.3">
      <c r="A86" s="3662"/>
    </row>
    <row r="87" spans="1:26" ht="19.5" customHeight="1" x14ac:dyDescent="0.25">
      <c r="A87" s="4229" t="s">
        <v>3662</v>
      </c>
      <c r="B87" s="4232" t="s">
        <v>3172</v>
      </c>
      <c r="C87" s="2447">
        <v>106127046</v>
      </c>
      <c r="D87" s="3768" t="s">
        <v>3785</v>
      </c>
      <c r="E87" s="2732" t="s">
        <v>3786</v>
      </c>
      <c r="F87" s="2449"/>
      <c r="G87" s="2396">
        <v>1</v>
      </c>
      <c r="H87" s="2397"/>
      <c r="I87" s="2398"/>
      <c r="J87" s="3347">
        <f>'Lista global'!$I$348</f>
        <v>99.933333333333323</v>
      </c>
      <c r="K87" s="3347">
        <f>'Lista global'!$P$348</f>
        <v>249.6</v>
      </c>
      <c r="L87" s="3347">
        <f>'Lista global'!$Q$348</f>
        <v>166.4</v>
      </c>
      <c r="M87" s="2731"/>
      <c r="N87" s="3124"/>
      <c r="O87" s="3121"/>
      <c r="P87" s="3131">
        <f t="shared" ref="P87:P89" si="29">K87*O87</f>
        <v>0</v>
      </c>
      <c r="Q87" s="3568"/>
      <c r="R87" s="3230"/>
      <c r="W87" s="1342" t="s">
        <v>3502</v>
      </c>
    </row>
    <row r="88" spans="1:26" ht="19.5" customHeight="1" x14ac:dyDescent="0.25">
      <c r="A88" s="4230"/>
      <c r="B88" s="4233"/>
      <c r="C88" s="2726">
        <v>106127211</v>
      </c>
      <c r="D88" s="2724" t="s">
        <v>3787</v>
      </c>
      <c r="E88" s="2733" t="s">
        <v>3788</v>
      </c>
      <c r="F88" s="2477"/>
      <c r="G88" s="2478">
        <v>2</v>
      </c>
      <c r="H88" s="2404"/>
      <c r="I88" s="2479"/>
      <c r="J88" s="3347">
        <f>'Lista global'!$I$357</f>
        <v>31.31</v>
      </c>
      <c r="K88" s="3347">
        <f>'Lista global'!$P$357</f>
        <v>39.137499999999996</v>
      </c>
      <c r="L88" s="3347">
        <f>'Lista global'!$Q$357</f>
        <v>32.957894736842107</v>
      </c>
      <c r="M88" s="2473"/>
      <c r="N88" s="3124"/>
      <c r="O88" s="3121"/>
      <c r="P88" s="3131">
        <f t="shared" si="29"/>
        <v>0</v>
      </c>
      <c r="Q88" s="3568"/>
      <c r="R88" s="3230"/>
      <c r="W88" s="1342" t="s">
        <v>3627</v>
      </c>
      <c r="X88" s="3724">
        <v>8951340000</v>
      </c>
    </row>
    <row r="89" spans="1:26" ht="19.5" customHeight="1" thickBot="1" x14ac:dyDescent="0.3">
      <c r="A89" s="4231"/>
      <c r="B89" s="4234"/>
      <c r="C89" s="2484">
        <v>106121596</v>
      </c>
      <c r="D89" s="2454" t="s">
        <v>3816</v>
      </c>
      <c r="E89" s="2734" t="s">
        <v>3817</v>
      </c>
      <c r="F89" s="2394"/>
      <c r="G89" s="2482" t="s">
        <v>3659</v>
      </c>
      <c r="H89" s="2453"/>
      <c r="I89" s="2595"/>
      <c r="J89" s="3347">
        <f>'Lista global'!$I$350</f>
        <v>32.355555555555554</v>
      </c>
      <c r="K89" s="3347">
        <f>'Lista global'!$P$350</f>
        <v>40.449999999999996</v>
      </c>
      <c r="L89" s="3347">
        <f>'Lista global'!$Q$350</f>
        <v>34.06315789473684</v>
      </c>
      <c r="M89" s="2473"/>
      <c r="N89" s="3124"/>
      <c r="O89" s="3121"/>
      <c r="P89" s="3131">
        <f t="shared" si="29"/>
        <v>0</v>
      </c>
      <c r="Q89" s="3568"/>
      <c r="R89" s="3230"/>
      <c r="W89" s="1342" t="s">
        <v>3664</v>
      </c>
      <c r="X89" s="3724" t="s">
        <v>3665</v>
      </c>
    </row>
    <row r="90" spans="1:26" ht="15.75" thickBot="1" x14ac:dyDescent="0.3"/>
    <row r="91" spans="1:26" ht="19.5" customHeight="1" thickBot="1" x14ac:dyDescent="0.3">
      <c r="A91" s="3663"/>
      <c r="B91" s="3843" t="s">
        <v>0</v>
      </c>
      <c r="C91" s="2757" t="s">
        <v>0</v>
      </c>
      <c r="D91" s="2744" t="s">
        <v>3821</v>
      </c>
      <c r="E91" s="3844" t="s">
        <v>3822</v>
      </c>
      <c r="F91" s="2829"/>
      <c r="G91" s="2842"/>
      <c r="H91" s="2980"/>
      <c r="I91" s="2395"/>
      <c r="J91" s="3347"/>
      <c r="K91" s="3347"/>
      <c r="L91" s="3347"/>
      <c r="M91" s="2473">
        <v>1</v>
      </c>
      <c r="N91" s="3124">
        <f t="shared" ref="N91" si="30">$O$2*F91+G91</f>
        <v>0</v>
      </c>
      <c r="O91" s="3121">
        <v>0</v>
      </c>
      <c r="P91" s="3131"/>
      <c r="Q91" s="3568"/>
      <c r="R91" s="3230"/>
      <c r="X91" s="1342"/>
      <c r="Z91" s="1342"/>
    </row>
    <row r="92" spans="1:26" ht="15.75" thickBot="1" x14ac:dyDescent="0.3">
      <c r="B92" s="3753" t="s">
        <v>3793</v>
      </c>
      <c r="O92" s="3138" t="s">
        <v>941</v>
      </c>
      <c r="P92" s="3139">
        <f>SUM(P4:P91)</f>
        <v>62907.639999999992</v>
      </c>
      <c r="Q92" s="3139">
        <f>SUM(Q4:Q91)</f>
        <v>39909.168640350879</v>
      </c>
      <c r="R92" s="3230"/>
      <c r="U92" s="3139">
        <f>SUM(U4:U91)</f>
        <v>20044.228888888891</v>
      </c>
    </row>
    <row r="94" spans="1:26" ht="15.75" thickBot="1" x14ac:dyDescent="0.3">
      <c r="A94" s="1383" t="s">
        <v>1287</v>
      </c>
      <c r="B94" s="1383"/>
      <c r="C94" s="86"/>
      <c r="D94" s="4025"/>
      <c r="E94" s="1383"/>
      <c r="F94" s="1383"/>
      <c r="G94" s="1383"/>
      <c r="H94" s="794"/>
      <c r="I94" s="1383"/>
      <c r="J94" s="1383"/>
      <c r="K94" s="1383"/>
      <c r="L94" s="71"/>
      <c r="M94" s="3230"/>
      <c r="N94" s="84"/>
      <c r="O94" s="84"/>
      <c r="P94" s="71"/>
      <c r="Q94" s="3230"/>
    </row>
    <row r="95" spans="1:26" ht="15" customHeight="1" x14ac:dyDescent="0.25">
      <c r="A95" s="4220" t="s">
        <v>1291</v>
      </c>
      <c r="B95" s="4221"/>
      <c r="C95" s="4221"/>
      <c r="D95" s="4221"/>
      <c r="E95" s="4221"/>
      <c r="F95" s="4221"/>
      <c r="G95" s="4221"/>
      <c r="H95" s="4221"/>
      <c r="I95" s="4222"/>
      <c r="J95" s="1345"/>
      <c r="K95" s="1345"/>
      <c r="L95" s="3231"/>
      <c r="M95" s="3232"/>
      <c r="N95" s="84"/>
      <c r="O95" s="3355"/>
      <c r="P95" s="3356"/>
      <c r="Q95" s="3230"/>
    </row>
    <row r="96" spans="1:26" ht="23.25" customHeight="1" x14ac:dyDescent="0.25">
      <c r="A96" s="4223" t="s">
        <v>1292</v>
      </c>
      <c r="B96" s="4224"/>
      <c r="C96" s="4224"/>
      <c r="D96" s="4224"/>
      <c r="E96" s="4224"/>
      <c r="F96" s="4224"/>
      <c r="G96" s="4224"/>
      <c r="H96" s="4224"/>
      <c r="I96" s="4225"/>
      <c r="J96" s="1345"/>
      <c r="K96" s="1345"/>
      <c r="L96" s="3231"/>
      <c r="M96" s="3232"/>
      <c r="N96" s="84"/>
      <c r="O96" s="84"/>
      <c r="P96" s="71"/>
      <c r="Q96" s="3230"/>
    </row>
    <row r="97" spans="1:17" ht="30.75" customHeight="1" x14ac:dyDescent="0.25">
      <c r="A97" s="4223" t="s">
        <v>1293</v>
      </c>
      <c r="B97" s="4224"/>
      <c r="C97" s="4224"/>
      <c r="D97" s="4224"/>
      <c r="E97" s="4224"/>
      <c r="F97" s="4224"/>
      <c r="G97" s="4224"/>
      <c r="H97" s="4224"/>
      <c r="I97" s="4225"/>
      <c r="J97" s="1345"/>
      <c r="K97" s="1345"/>
      <c r="L97" s="3231"/>
      <c r="M97" s="3232"/>
      <c r="N97" s="84"/>
      <c r="O97" s="84"/>
      <c r="P97" s="71"/>
      <c r="Q97" s="3230"/>
    </row>
    <row r="98" spans="1:17" ht="38.25" customHeight="1" x14ac:dyDescent="0.25">
      <c r="A98" s="4223" t="s">
        <v>2503</v>
      </c>
      <c r="B98" s="4224"/>
      <c r="C98" s="4224"/>
      <c r="D98" s="4224"/>
      <c r="E98" s="4224"/>
      <c r="F98" s="4224"/>
      <c r="G98" s="4224"/>
      <c r="H98" s="4224"/>
      <c r="I98" s="4225"/>
      <c r="J98" s="1345"/>
      <c r="K98" s="1345"/>
      <c r="L98" s="3231"/>
      <c r="M98" s="3232"/>
      <c r="N98" s="84"/>
      <c r="O98" s="84"/>
      <c r="P98" s="71"/>
      <c r="Q98" s="3230"/>
    </row>
    <row r="99" spans="1:17" ht="35.25" customHeight="1" x14ac:dyDescent="0.25">
      <c r="A99" s="4223" t="s">
        <v>3212</v>
      </c>
      <c r="B99" s="4224"/>
      <c r="C99" s="4224"/>
      <c r="D99" s="4224"/>
      <c r="E99" s="4224"/>
      <c r="F99" s="4224"/>
      <c r="G99" s="4224"/>
      <c r="H99" s="4224"/>
      <c r="I99" s="4225"/>
      <c r="J99" s="1345"/>
      <c r="K99" s="1345"/>
      <c r="L99" s="3231"/>
      <c r="M99" s="3232"/>
      <c r="N99" s="84"/>
      <c r="O99" s="84"/>
      <c r="P99" s="71"/>
      <c r="Q99" s="3230"/>
    </row>
    <row r="100" spans="1:17" x14ac:dyDescent="0.25">
      <c r="A100" s="4223" t="s">
        <v>3051</v>
      </c>
      <c r="B100" s="4224"/>
      <c r="C100" s="4224"/>
      <c r="D100" s="4224"/>
      <c r="E100" s="4224"/>
      <c r="F100" s="4224"/>
      <c r="G100" s="4224"/>
      <c r="H100" s="4224"/>
      <c r="I100" s="4225"/>
      <c r="J100" s="1345"/>
      <c r="K100" s="1345"/>
      <c r="L100" s="3231"/>
      <c r="M100" s="3232"/>
      <c r="N100" s="84"/>
      <c r="O100" s="84"/>
      <c r="P100" s="71"/>
      <c r="Q100" s="3230"/>
    </row>
    <row r="101" spans="1:17" ht="15" customHeight="1" x14ac:dyDescent="0.25">
      <c r="A101" s="4326" t="s">
        <v>3153</v>
      </c>
      <c r="B101" s="4327"/>
      <c r="C101" s="4327"/>
      <c r="D101" s="4327"/>
      <c r="E101" s="4327"/>
      <c r="F101" s="4327"/>
      <c r="G101" s="4327"/>
      <c r="H101" s="4327"/>
      <c r="I101" s="4328"/>
      <c r="J101" s="1345"/>
      <c r="K101" s="1345"/>
      <c r="L101" s="3231"/>
      <c r="M101" s="3232"/>
      <c r="N101" s="84"/>
      <c r="O101" s="84"/>
      <c r="P101" s="71"/>
      <c r="Q101" s="3230"/>
    </row>
    <row r="102" spans="1:17" ht="15" customHeight="1" x14ac:dyDescent="0.25">
      <c r="A102" s="4326" t="s">
        <v>3154</v>
      </c>
      <c r="B102" s="4327"/>
      <c r="C102" s="4327"/>
      <c r="D102" s="4327"/>
      <c r="E102" s="4327"/>
      <c r="F102" s="4327"/>
      <c r="G102" s="4327"/>
      <c r="H102" s="4327"/>
      <c r="I102" s="4328"/>
      <c r="J102" s="1345"/>
      <c r="K102" s="1345"/>
      <c r="L102" s="3231"/>
      <c r="M102" s="3232"/>
      <c r="N102" s="84"/>
      <c r="O102" s="84"/>
      <c r="P102" s="71"/>
      <c r="Q102" s="3230"/>
    </row>
    <row r="103" spans="1:17" ht="15" customHeight="1" x14ac:dyDescent="0.25">
      <c r="A103" s="4326" t="s">
        <v>3158</v>
      </c>
      <c r="B103" s="4327"/>
      <c r="C103" s="4327"/>
      <c r="D103" s="4327"/>
      <c r="E103" s="4327"/>
      <c r="F103" s="4327"/>
      <c r="G103" s="4327"/>
      <c r="H103" s="4327"/>
      <c r="I103" s="4328"/>
      <c r="J103" s="1345"/>
      <c r="K103" s="1345"/>
      <c r="L103" s="3231"/>
      <c r="M103" s="3232"/>
      <c r="N103" s="84"/>
      <c r="O103" s="84"/>
      <c r="P103" s="71"/>
      <c r="Q103" s="3230"/>
    </row>
    <row r="104" spans="1:17" ht="15" customHeight="1" x14ac:dyDescent="0.25">
      <c r="A104" s="4326" t="s">
        <v>3159</v>
      </c>
      <c r="B104" s="4327"/>
      <c r="C104" s="4327"/>
      <c r="D104" s="4327"/>
      <c r="E104" s="4327"/>
      <c r="F104" s="4327"/>
      <c r="G104" s="4327"/>
      <c r="H104" s="4327"/>
      <c r="I104" s="4328"/>
      <c r="J104" s="1345"/>
      <c r="K104" s="1345"/>
      <c r="L104" s="3231"/>
      <c r="M104" s="3232"/>
      <c r="N104" s="84"/>
      <c r="O104" s="84"/>
      <c r="P104" s="71"/>
      <c r="Q104" s="3230"/>
    </row>
    <row r="105" spans="1:17" ht="15" customHeight="1" x14ac:dyDescent="0.25">
      <c r="A105" s="4326" t="s">
        <v>3167</v>
      </c>
      <c r="B105" s="4327"/>
      <c r="C105" s="4327"/>
      <c r="D105" s="4327"/>
      <c r="E105" s="4327"/>
      <c r="F105" s="4327"/>
      <c r="G105" s="4327"/>
      <c r="H105" s="4327"/>
      <c r="I105" s="4328"/>
      <c r="J105" s="1345"/>
      <c r="K105" s="1345"/>
      <c r="L105" s="3231"/>
      <c r="M105" s="3232"/>
      <c r="N105" s="84"/>
      <c r="O105" s="84"/>
      <c r="P105" s="71"/>
      <c r="Q105" s="3230"/>
    </row>
    <row r="106" spans="1:17" ht="15" customHeight="1" x14ac:dyDescent="0.25">
      <c r="A106" s="4326" t="s">
        <v>3166</v>
      </c>
      <c r="B106" s="4327"/>
      <c r="C106" s="4327"/>
      <c r="D106" s="4327"/>
      <c r="E106" s="4327"/>
      <c r="F106" s="4327"/>
      <c r="G106" s="4327"/>
      <c r="H106" s="4327"/>
      <c r="I106" s="4328"/>
      <c r="J106" s="1345"/>
      <c r="K106" s="1345"/>
      <c r="L106" s="3231"/>
      <c r="M106" s="3232"/>
      <c r="N106" s="84"/>
      <c r="O106" s="84"/>
      <c r="P106" s="71"/>
      <c r="Q106" s="3230"/>
    </row>
    <row r="107" spans="1:17" ht="15" customHeight="1" x14ac:dyDescent="0.25">
      <c r="A107" s="4326" t="s">
        <v>3204</v>
      </c>
      <c r="B107" s="4327"/>
      <c r="C107" s="4327"/>
      <c r="D107" s="4327"/>
      <c r="E107" s="4327"/>
      <c r="F107" s="4327"/>
      <c r="G107" s="4327"/>
      <c r="H107" s="4327"/>
      <c r="I107" s="4328"/>
      <c r="J107" s="1345"/>
      <c r="K107" s="1345"/>
      <c r="L107" s="3231"/>
      <c r="M107" s="3232"/>
      <c r="N107" s="84"/>
      <c r="O107" s="84"/>
      <c r="P107" s="71"/>
      <c r="Q107" s="3230"/>
    </row>
    <row r="108" spans="1:17" ht="15" customHeight="1" x14ac:dyDescent="0.25">
      <c r="A108" s="4326" t="s">
        <v>4142</v>
      </c>
      <c r="B108" s="4327"/>
      <c r="C108" s="4327"/>
      <c r="D108" s="4327"/>
      <c r="E108" s="4327"/>
      <c r="F108" s="4327"/>
      <c r="G108" s="4327"/>
      <c r="H108" s="4327"/>
      <c r="I108" s="4328"/>
      <c r="J108" s="1345"/>
      <c r="K108" s="1345"/>
      <c r="L108" s="3231"/>
      <c r="M108" s="3232"/>
      <c r="N108" s="84"/>
      <c r="O108" s="84"/>
      <c r="P108" s="71"/>
      <c r="Q108" s="3230"/>
    </row>
    <row r="109" spans="1:17" x14ac:dyDescent="0.25">
      <c r="A109" s="4223" t="s">
        <v>2500</v>
      </c>
      <c r="B109" s="4224"/>
      <c r="C109" s="4224"/>
      <c r="D109" s="4224"/>
      <c r="E109" s="4224"/>
      <c r="F109" s="4224"/>
      <c r="G109" s="4224"/>
      <c r="H109" s="4224"/>
      <c r="I109" s="4225"/>
      <c r="J109" s="1345"/>
      <c r="K109" s="1345"/>
      <c r="L109" s="3231"/>
      <c r="M109" s="3232"/>
      <c r="N109" s="84"/>
      <c r="O109" s="84"/>
      <c r="P109" s="71"/>
      <c r="Q109" s="3230"/>
    </row>
    <row r="110" spans="1:17" x14ac:dyDescent="0.25">
      <c r="A110" s="4223" t="s">
        <v>2501</v>
      </c>
      <c r="B110" s="4224"/>
      <c r="C110" s="4224"/>
      <c r="D110" s="4224"/>
      <c r="E110" s="4224"/>
      <c r="F110" s="4224"/>
      <c r="G110" s="4224"/>
      <c r="H110" s="4224"/>
      <c r="I110" s="4225"/>
      <c r="J110" s="1345"/>
      <c r="K110" s="1345"/>
      <c r="L110" s="3231"/>
      <c r="M110" s="3232"/>
      <c r="N110" s="84"/>
      <c r="O110" s="84"/>
      <c r="P110" s="71"/>
      <c r="Q110" s="3230"/>
    </row>
    <row r="111" spans="1:17" ht="24" customHeight="1" thickBot="1" x14ac:dyDescent="0.3">
      <c r="A111" s="4226" t="s">
        <v>2502</v>
      </c>
      <c r="B111" s="4227"/>
      <c r="C111" s="4227"/>
      <c r="D111" s="4227"/>
      <c r="E111" s="4227"/>
      <c r="F111" s="4227"/>
      <c r="G111" s="4227"/>
      <c r="H111" s="4227"/>
      <c r="I111" s="4228"/>
      <c r="J111" s="1345"/>
      <c r="K111" s="1345"/>
      <c r="L111" s="1345"/>
      <c r="M111" s="2511"/>
    </row>
    <row r="112" spans="1:17" x14ac:dyDescent="0.25">
      <c r="A112" s="1344"/>
      <c r="B112" s="1344"/>
      <c r="C112" s="2391"/>
      <c r="D112" s="2382"/>
      <c r="E112" s="1344"/>
      <c r="F112" s="1344"/>
      <c r="G112" s="1344"/>
      <c r="I112" s="1344"/>
    </row>
  </sheetData>
  <mergeCells count="37">
    <mergeCell ref="G2:I2"/>
    <mergeCell ref="A3:B3"/>
    <mergeCell ref="D3:E3"/>
    <mergeCell ref="W3:X3"/>
    <mergeCell ref="Y3:Z3"/>
    <mergeCell ref="AC3:AD3"/>
    <mergeCell ref="A4:A30"/>
    <mergeCell ref="B4:B15"/>
    <mergeCell ref="B20:B27"/>
    <mergeCell ref="B39:B42"/>
    <mergeCell ref="AA3:AB3"/>
    <mergeCell ref="A31:A50"/>
    <mergeCell ref="A101:I101"/>
    <mergeCell ref="A51:A55"/>
    <mergeCell ref="A56:A69"/>
    <mergeCell ref="A71:A74"/>
    <mergeCell ref="A87:A89"/>
    <mergeCell ref="B87:B89"/>
    <mergeCell ref="A95:I95"/>
    <mergeCell ref="A96:I96"/>
    <mergeCell ref="A97:I97"/>
    <mergeCell ref="A98:I98"/>
    <mergeCell ref="A99:I99"/>
    <mergeCell ref="A100:I100"/>
    <mergeCell ref="A77:A78"/>
    <mergeCell ref="A80:A85"/>
    <mergeCell ref="B81:B82"/>
    <mergeCell ref="A109:I109"/>
    <mergeCell ref="A110:I110"/>
    <mergeCell ref="A111:I111"/>
    <mergeCell ref="A102:I102"/>
    <mergeCell ref="A103:I103"/>
    <mergeCell ref="A104:I104"/>
    <mergeCell ref="A105:I105"/>
    <mergeCell ref="A106:I106"/>
    <mergeCell ref="A107:I107"/>
    <mergeCell ref="A108:I108"/>
  </mergeCells>
  <dataValidations count="4">
    <dataValidation type="list" allowBlank="1" showInputMessage="1" showErrorMessage="1" sqref="Q2">
      <formula1>$S$4:$S$6</formula1>
    </dataValidation>
    <dataValidation type="whole" allowBlank="1" showInputMessage="1" showErrorMessage="1" promptTitle="Nº de módulos" prompt="Introduzca un valor entre 2 y 4" sqref="O2">
      <formula1>2</formula1>
      <formula2>4</formula2>
    </dataValidation>
    <dataValidation type="list" allowBlank="1" showInputMessage="1" showErrorMessage="1" sqref="M2">
      <formula1>$T$4:$T$11</formula1>
    </dataValidation>
    <dataValidation type="list" allowBlank="1" showInputMessage="1" showErrorMessage="1" sqref="L2 N2">
      <formula1>$S$4:$S$5</formula1>
    </dataValidation>
  </dataValidations>
  <pageMargins left="0.70866141732283472" right="0.70866141732283472" top="0.74803149606299213" bottom="0.74803149606299213" header="0.31496062992125984" footer="0.31496062992125984"/>
  <pageSetup paperSize="9" scale="46" orientation="landscape" horizontalDpi="200" verticalDpi="200" r:id="rId1"/>
  <ignoredErrors>
    <ignoredError sqref="H11:H12" twoDigitTextYear="1"/>
    <ignoredError sqref="N29 O49 O44" formula="1"/>
  </ignoredErrors>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2"/>
  <sheetViews>
    <sheetView topLeftCell="G1" zoomScaleNormal="100" workbookViewId="0">
      <selection activeCell="P3" sqref="P3"/>
    </sheetView>
  </sheetViews>
  <sheetFormatPr baseColWidth="10" defaultRowHeight="15" x14ac:dyDescent="0.25"/>
  <cols>
    <col min="1" max="1" width="11.42578125" style="1383" customWidth="1"/>
    <col min="2" max="2" width="10.28515625" style="1383" customWidth="1"/>
    <col min="3" max="3" width="9.5703125" style="1383" customWidth="1"/>
    <col min="4" max="4" width="35.28515625" style="1383" customWidth="1"/>
    <col min="5" max="5" width="38" style="1383" customWidth="1"/>
    <col min="6" max="6" width="26.7109375" style="1383" customWidth="1"/>
    <col min="7" max="7" width="35.85546875" style="1383" customWidth="1"/>
    <col min="8" max="8" width="12.140625" style="2633" customWidth="1"/>
    <col min="9" max="9" width="10.140625" style="1383" customWidth="1"/>
    <col min="10" max="10" width="10" style="1383" customWidth="1"/>
    <col min="11" max="11" width="8.42578125" style="1383" customWidth="1"/>
    <col min="12" max="12" width="10.5703125" style="1383" customWidth="1"/>
    <col min="13" max="13" width="12.7109375" style="1383" customWidth="1"/>
    <col min="14" max="14" width="11.42578125" style="1383" customWidth="1"/>
    <col min="15" max="15" width="9.7109375" style="1383" customWidth="1"/>
    <col min="16" max="16" width="14.5703125" style="1383" customWidth="1"/>
    <col min="17" max="17" width="16.28515625" style="2633" customWidth="1"/>
    <col min="18" max="18" width="11.42578125" style="1383"/>
    <col min="19" max="19" width="13.7109375" style="1383" customWidth="1"/>
    <col min="20" max="16384" width="11.42578125" style="1383"/>
  </cols>
  <sheetData>
    <row r="1" spans="1:19" x14ac:dyDescent="0.25">
      <c r="D1" s="305" t="s">
        <v>3883</v>
      </c>
      <c r="H1" s="1383"/>
      <c r="P1" s="3203" t="s">
        <v>3279</v>
      </c>
      <c r="Q1" s="1383"/>
    </row>
    <row r="2" spans="1:19" x14ac:dyDescent="0.25">
      <c r="H2" s="1383"/>
      <c r="P2" s="3240">
        <v>6</v>
      </c>
      <c r="Q2" s="1383"/>
    </row>
    <row r="3" spans="1:19" s="3722" customFormat="1" ht="36" x14ac:dyDescent="0.25">
      <c r="A3" s="4337" t="s">
        <v>3444</v>
      </c>
      <c r="B3" s="4337"/>
      <c r="C3" s="4337"/>
      <c r="D3" s="4333" t="s">
        <v>250</v>
      </c>
      <c r="E3" s="4334"/>
      <c r="F3" s="3721" t="s">
        <v>3445</v>
      </c>
      <c r="G3" s="3721" t="s">
        <v>3581</v>
      </c>
      <c r="H3" s="3721" t="s">
        <v>3486</v>
      </c>
      <c r="I3" s="3722" t="s">
        <v>253</v>
      </c>
      <c r="J3" s="3722" t="s">
        <v>267</v>
      </c>
      <c r="K3" s="3722" t="s">
        <v>1380</v>
      </c>
      <c r="L3" s="3722" t="s">
        <v>3360</v>
      </c>
      <c r="M3" s="3722" t="s">
        <v>745</v>
      </c>
      <c r="N3" s="3723" t="s">
        <v>2449</v>
      </c>
      <c r="O3" s="3903" t="s">
        <v>959</v>
      </c>
      <c r="P3" s="3723" t="s">
        <v>2981</v>
      </c>
      <c r="Q3" s="3723" t="s">
        <v>2980</v>
      </c>
      <c r="R3" s="3723" t="s">
        <v>3175</v>
      </c>
    </row>
    <row r="4" spans="1:19" x14ac:dyDescent="0.25">
      <c r="A4" s="4335" t="s">
        <v>3446</v>
      </c>
      <c r="B4" s="3691">
        <v>1</v>
      </c>
      <c r="C4" s="2748" t="s">
        <v>3448</v>
      </c>
      <c r="D4" s="2748" t="s">
        <v>3447</v>
      </c>
      <c r="E4" s="3700" t="s">
        <v>3446</v>
      </c>
      <c r="F4" s="2748" t="s">
        <v>3446</v>
      </c>
      <c r="G4" s="2748"/>
      <c r="H4" s="3131">
        <v>1520</v>
      </c>
      <c r="I4" s="3702">
        <v>0.4</v>
      </c>
      <c r="J4" s="3702">
        <v>0.6</v>
      </c>
      <c r="K4" s="71"/>
      <c r="L4" s="3703">
        <f>H4/I4</f>
        <v>3800</v>
      </c>
      <c r="M4" s="3703">
        <f>H4/J4</f>
        <v>2533.3333333333335</v>
      </c>
      <c r="N4" s="3704">
        <v>1</v>
      </c>
      <c r="O4" s="3705">
        <v>3</v>
      </c>
      <c r="P4" s="3704">
        <f>ROUNDUP($P$2*O4*3/100,0)</f>
        <v>1</v>
      </c>
      <c r="Q4" s="3711">
        <f t="shared" ref="Q4:Q18" si="0">$P4*L4</f>
        <v>3800</v>
      </c>
      <c r="R4" s="3715">
        <f t="shared" ref="R4:R18" si="1">$P4*M4</f>
        <v>2533.3333333333335</v>
      </c>
    </row>
    <row r="5" spans="1:19" x14ac:dyDescent="0.25">
      <c r="A5" s="4335"/>
      <c r="B5" s="3691">
        <v>2</v>
      </c>
      <c r="C5" s="2832"/>
      <c r="D5" s="2832" t="s">
        <v>3449</v>
      </c>
      <c r="E5" s="3701" t="s">
        <v>3556</v>
      </c>
      <c r="F5" s="2832" t="s">
        <v>3450</v>
      </c>
      <c r="G5" s="2832">
        <v>106125882</v>
      </c>
      <c r="H5" s="3131">
        <v>73</v>
      </c>
      <c r="I5" s="3702">
        <v>0.8</v>
      </c>
      <c r="J5" s="3705">
        <v>0.95</v>
      </c>
      <c r="K5" s="71"/>
      <c r="L5" s="3703">
        <f t="shared" ref="L5:L24" si="2">H5/I5</f>
        <v>91.25</v>
      </c>
      <c r="M5" s="3703">
        <f t="shared" ref="M5:M24" si="3">H5/J5</f>
        <v>76.842105263157904</v>
      </c>
      <c r="N5" s="3704">
        <v>1</v>
      </c>
      <c r="O5" s="2898">
        <v>3</v>
      </c>
      <c r="P5" s="3706">
        <f>P4</f>
        <v>1</v>
      </c>
      <c r="Q5" s="3711">
        <f t="shared" si="0"/>
        <v>91.25</v>
      </c>
      <c r="R5" s="3715">
        <f t="shared" si="1"/>
        <v>76.842105263157904</v>
      </c>
    </row>
    <row r="6" spans="1:19" x14ac:dyDescent="0.25">
      <c r="A6" s="4336" t="s">
        <v>3451</v>
      </c>
      <c r="B6" s="3691">
        <v>3</v>
      </c>
      <c r="C6" s="2748" t="s">
        <v>3454</v>
      </c>
      <c r="D6" s="2748" t="s">
        <v>3452</v>
      </c>
      <c r="E6" s="3700" t="s">
        <v>3569</v>
      </c>
      <c r="F6" s="2748" t="s">
        <v>3453</v>
      </c>
      <c r="G6" s="2748"/>
      <c r="H6" s="3131">
        <v>400</v>
      </c>
      <c r="I6" s="3707">
        <v>0.4</v>
      </c>
      <c r="J6" s="3708">
        <v>0.6</v>
      </c>
      <c r="K6" s="71"/>
      <c r="L6" s="3703">
        <f t="shared" si="2"/>
        <v>1000</v>
      </c>
      <c r="M6" s="3703">
        <f t="shared" si="3"/>
        <v>666.66666666666674</v>
      </c>
      <c r="N6" s="3704">
        <v>1</v>
      </c>
      <c r="O6" s="3705">
        <v>1</v>
      </c>
      <c r="P6" s="3704">
        <f>ROUNDUP($P$2*O6*3/100,0)</f>
        <v>1</v>
      </c>
      <c r="Q6" s="3711">
        <f t="shared" si="0"/>
        <v>1000</v>
      </c>
      <c r="R6" s="3715">
        <f t="shared" si="1"/>
        <v>666.66666666666674</v>
      </c>
    </row>
    <row r="7" spans="1:19" x14ac:dyDescent="0.25">
      <c r="A7" s="4336"/>
      <c r="B7" s="3691">
        <v>4</v>
      </c>
      <c r="C7" s="2832" t="s">
        <v>3457</v>
      </c>
      <c r="D7" s="2832" t="s">
        <v>3455</v>
      </c>
      <c r="E7" s="3701" t="s">
        <v>3570</v>
      </c>
      <c r="F7" s="2832" t="s">
        <v>3456</v>
      </c>
      <c r="G7" s="2832"/>
      <c r="H7" s="3131">
        <v>400</v>
      </c>
      <c r="I7" s="3707">
        <v>0.4</v>
      </c>
      <c r="J7" s="3708">
        <v>0.6</v>
      </c>
      <c r="K7" s="71"/>
      <c r="L7" s="3703">
        <f t="shared" si="2"/>
        <v>1000</v>
      </c>
      <c r="M7" s="3703">
        <f t="shared" si="3"/>
        <v>666.66666666666674</v>
      </c>
      <c r="N7" s="3713">
        <v>1</v>
      </c>
      <c r="O7" s="2898">
        <v>1</v>
      </c>
      <c r="P7" s="3704">
        <f>ROUNDUP($P$2*O7*3/100,0)</f>
        <v>1</v>
      </c>
      <c r="Q7" s="3711">
        <f t="shared" si="0"/>
        <v>1000</v>
      </c>
      <c r="R7" s="3715">
        <f t="shared" si="1"/>
        <v>666.66666666666674</v>
      </c>
      <c r="S7" s="1383" t="s">
        <v>3571</v>
      </c>
    </row>
    <row r="8" spans="1:19" x14ac:dyDescent="0.25">
      <c r="A8" s="4336"/>
      <c r="B8" s="3691">
        <v>5</v>
      </c>
      <c r="C8" s="2748" t="s">
        <v>3460</v>
      </c>
      <c r="D8" s="2748" t="s">
        <v>3458</v>
      </c>
      <c r="E8" s="3700" t="s">
        <v>3572</v>
      </c>
      <c r="F8" s="2748" t="s">
        <v>3459</v>
      </c>
      <c r="G8" s="2748"/>
      <c r="H8" s="3131">
        <v>180</v>
      </c>
      <c r="I8" s="3707">
        <v>0.4</v>
      </c>
      <c r="J8" s="3708">
        <v>0.6</v>
      </c>
      <c r="K8" s="71"/>
      <c r="L8" s="3703">
        <f t="shared" si="2"/>
        <v>450</v>
      </c>
      <c r="M8" s="3703">
        <f t="shared" si="3"/>
        <v>300</v>
      </c>
      <c r="N8" s="3713">
        <v>1</v>
      </c>
      <c r="O8" s="3705">
        <v>1</v>
      </c>
      <c r="P8" s="3704">
        <f>IF(ROUNDDOWN(O8*$P$2/20,0)&lt;N8,N8,ROUNDDOWN(O8*$P$2/20,0))</f>
        <v>1</v>
      </c>
      <c r="Q8" s="3711">
        <f t="shared" si="0"/>
        <v>450</v>
      </c>
      <c r="R8" s="3715">
        <f t="shared" si="1"/>
        <v>300</v>
      </c>
    </row>
    <row r="9" spans="1:19" s="1351" customFormat="1" x14ac:dyDescent="0.25">
      <c r="A9" s="4336"/>
      <c r="B9" s="3695">
        <v>6</v>
      </c>
      <c r="C9" s="2832" t="s">
        <v>3463</v>
      </c>
      <c r="D9" s="2832" t="s">
        <v>3461</v>
      </c>
      <c r="E9" s="3701" t="s">
        <v>3573</v>
      </c>
      <c r="F9" s="2832" t="s">
        <v>3462</v>
      </c>
      <c r="G9" s="2832"/>
      <c r="H9" s="3131">
        <v>500</v>
      </c>
      <c r="I9" s="3702">
        <v>0.6</v>
      </c>
      <c r="J9" s="3705">
        <v>0.8</v>
      </c>
      <c r="K9" s="3709"/>
      <c r="L9" s="3710">
        <f t="shared" si="2"/>
        <v>833.33333333333337</v>
      </c>
      <c r="M9" s="3710">
        <f t="shared" si="3"/>
        <v>625</v>
      </c>
      <c r="N9" s="3714">
        <v>0</v>
      </c>
      <c r="O9" s="2898">
        <v>1</v>
      </c>
      <c r="P9" s="3706">
        <f>IF(P2&lt;10,0,IF(P2&lt;50,1,2))</f>
        <v>0</v>
      </c>
      <c r="Q9" s="3711">
        <f t="shared" si="0"/>
        <v>0</v>
      </c>
      <c r="R9" s="3715">
        <f t="shared" si="1"/>
        <v>0</v>
      </c>
      <c r="S9" s="3696">
        <v>5.0000000000000001E-3</v>
      </c>
    </row>
    <row r="10" spans="1:19" ht="15" customHeight="1" x14ac:dyDescent="0.25">
      <c r="A10" s="4336" t="s">
        <v>3464</v>
      </c>
      <c r="B10" s="3691">
        <v>7</v>
      </c>
      <c r="C10" s="2748" t="s">
        <v>3467</v>
      </c>
      <c r="D10" s="2748" t="s">
        <v>3465</v>
      </c>
      <c r="E10" s="3700" t="s">
        <v>3580</v>
      </c>
      <c r="F10" s="2748" t="s">
        <v>3466</v>
      </c>
      <c r="G10" s="2748">
        <v>106127702</v>
      </c>
      <c r="H10" s="3131">
        <v>400</v>
      </c>
      <c r="I10" s="3702">
        <v>0.6</v>
      </c>
      <c r="J10" s="3705">
        <v>0.8</v>
      </c>
      <c r="K10" s="3709"/>
      <c r="L10" s="3710">
        <f t="shared" si="2"/>
        <v>666.66666666666674</v>
      </c>
      <c r="M10" s="3710">
        <f t="shared" si="3"/>
        <v>500</v>
      </c>
      <c r="N10" s="3714">
        <v>1</v>
      </c>
      <c r="O10" s="3705">
        <v>3</v>
      </c>
      <c r="P10" s="3706">
        <f>IF(ROUNDDOWN(O10*$P$2/15,0)&lt;N10,N10,ROUNDDOWN(O10*$P$2/15,0))</f>
        <v>1</v>
      </c>
      <c r="Q10" s="3711">
        <f t="shared" si="0"/>
        <v>666.66666666666674</v>
      </c>
      <c r="R10" s="3715">
        <f t="shared" si="1"/>
        <v>500</v>
      </c>
      <c r="S10" s="1383" t="s">
        <v>3574</v>
      </c>
    </row>
    <row r="11" spans="1:19" ht="24" x14ac:dyDescent="0.25">
      <c r="A11" s="4336"/>
      <c r="B11" s="3691">
        <v>8</v>
      </c>
      <c r="C11" s="2832" t="s">
        <v>3470</v>
      </c>
      <c r="D11" s="2832" t="s">
        <v>3468</v>
      </c>
      <c r="E11" s="3701" t="s">
        <v>3576</v>
      </c>
      <c r="F11" s="2832" t="s">
        <v>3469</v>
      </c>
      <c r="G11" s="2832">
        <v>106127698</v>
      </c>
      <c r="H11" s="3131">
        <v>400</v>
      </c>
      <c r="I11" s="3702">
        <v>0.6</v>
      </c>
      <c r="J11" s="3705">
        <v>0.8</v>
      </c>
      <c r="K11" s="3709"/>
      <c r="L11" s="3710">
        <f t="shared" si="2"/>
        <v>666.66666666666674</v>
      </c>
      <c r="M11" s="3710">
        <f t="shared" si="3"/>
        <v>500</v>
      </c>
      <c r="N11" s="3714">
        <v>1</v>
      </c>
      <c r="O11" s="2898">
        <v>1</v>
      </c>
      <c r="P11" s="3706">
        <f>IF(ROUNDDOWN(O11*$P$2/15,0)&lt;N11,N11,ROUNDDOWN(O11*$P$2/15,0))</f>
        <v>1</v>
      </c>
      <c r="Q11" s="3711">
        <f t="shared" si="0"/>
        <v>666.66666666666674</v>
      </c>
      <c r="R11" s="3715">
        <f t="shared" si="1"/>
        <v>500</v>
      </c>
      <c r="S11" s="1383" t="s">
        <v>3574</v>
      </c>
    </row>
    <row r="12" spans="1:19" x14ac:dyDescent="0.25">
      <c r="A12" s="4336"/>
      <c r="B12" s="3691">
        <v>9</v>
      </c>
      <c r="C12" s="2748" t="s">
        <v>3473</v>
      </c>
      <c r="D12" s="2748" t="s">
        <v>3471</v>
      </c>
      <c r="E12" s="3700" t="s">
        <v>3579</v>
      </c>
      <c r="F12" s="2748" t="s">
        <v>3472</v>
      </c>
      <c r="G12" s="2748"/>
      <c r="H12" s="3131">
        <v>1800</v>
      </c>
      <c r="I12" s="3707">
        <v>0.8</v>
      </c>
      <c r="J12" s="3708">
        <v>0.95</v>
      </c>
      <c r="K12" s="71"/>
      <c r="L12" s="3703">
        <f t="shared" si="2"/>
        <v>2250</v>
      </c>
      <c r="M12" s="3703">
        <f t="shared" si="3"/>
        <v>1894.7368421052633</v>
      </c>
      <c r="N12" s="3714">
        <v>1</v>
      </c>
      <c r="O12" s="3705">
        <v>1</v>
      </c>
      <c r="P12" s="3706">
        <f>IF(ROUNDDOWN(($P$2*O12/4)/10,0)&gt;N12,ROUNDDOWN(($P$2*O12/4)/10,0),1)</f>
        <v>1</v>
      </c>
      <c r="Q12" s="3711">
        <f t="shared" si="0"/>
        <v>2250</v>
      </c>
      <c r="R12" s="3715">
        <f t="shared" si="1"/>
        <v>1894.7368421052633</v>
      </c>
      <c r="S12" s="1383" t="s">
        <v>3577</v>
      </c>
    </row>
    <row r="13" spans="1:19" x14ac:dyDescent="0.25">
      <c r="A13" s="4336"/>
      <c r="B13" s="3691">
        <v>10</v>
      </c>
      <c r="C13" s="2832" t="s">
        <v>3475</v>
      </c>
      <c r="D13" s="2832" t="s">
        <v>3474</v>
      </c>
      <c r="E13" s="3701" t="s">
        <v>3575</v>
      </c>
      <c r="F13" s="2832" t="s">
        <v>3450</v>
      </c>
      <c r="G13" s="2832"/>
      <c r="H13" s="3131">
        <v>1900</v>
      </c>
      <c r="I13" s="3707">
        <v>0.6</v>
      </c>
      <c r="J13" s="3708">
        <v>0.8</v>
      </c>
      <c r="K13" s="71"/>
      <c r="L13" s="3703">
        <f t="shared" si="2"/>
        <v>3166.666666666667</v>
      </c>
      <c r="M13" s="3703">
        <f t="shared" si="3"/>
        <v>2375</v>
      </c>
      <c r="N13" s="3714">
        <v>0</v>
      </c>
      <c r="O13" s="2898">
        <v>1</v>
      </c>
      <c r="P13" s="3706">
        <v>0</v>
      </c>
      <c r="Q13" s="3711">
        <f t="shared" si="0"/>
        <v>0</v>
      </c>
      <c r="R13" s="3715">
        <f t="shared" si="1"/>
        <v>0</v>
      </c>
    </row>
    <row r="14" spans="1:19" x14ac:dyDescent="0.25">
      <c r="A14" s="4336"/>
      <c r="B14" s="3691">
        <v>11</v>
      </c>
      <c r="C14" s="2748"/>
      <c r="D14" s="2748" t="s">
        <v>3476</v>
      </c>
      <c r="E14" s="3700" t="s">
        <v>3555</v>
      </c>
      <c r="F14" s="2748" t="s">
        <v>3450</v>
      </c>
      <c r="G14" s="2748"/>
      <c r="H14" s="3131">
        <v>16</v>
      </c>
      <c r="I14" s="3702">
        <v>0.8</v>
      </c>
      <c r="J14" s="3705">
        <v>0.95</v>
      </c>
      <c r="K14" s="71"/>
      <c r="L14" s="3703">
        <f t="shared" si="2"/>
        <v>20</v>
      </c>
      <c r="M14" s="3703">
        <f t="shared" si="3"/>
        <v>16.842105263157894</v>
      </c>
      <c r="N14" s="3714">
        <v>1</v>
      </c>
      <c r="O14" s="3705">
        <v>4</v>
      </c>
      <c r="P14" s="3704">
        <f>IF(ROUND(O14*$P$2/20,0)&lt;N14,N14,ROUND(O14*$P$2/20,0))</f>
        <v>1</v>
      </c>
      <c r="Q14" s="3711">
        <f t="shared" si="0"/>
        <v>20</v>
      </c>
      <c r="R14" s="3715">
        <f t="shared" si="1"/>
        <v>16.842105263157894</v>
      </c>
      <c r="S14" s="3694">
        <v>0.02</v>
      </c>
    </row>
    <row r="15" spans="1:19" x14ac:dyDescent="0.25">
      <c r="A15" s="4336"/>
      <c r="B15" s="3691">
        <v>12</v>
      </c>
      <c r="C15" s="2832"/>
      <c r="D15" s="2832" t="s">
        <v>3477</v>
      </c>
      <c r="E15" s="3701" t="s">
        <v>3558</v>
      </c>
      <c r="F15" s="2832" t="s">
        <v>3450</v>
      </c>
      <c r="G15" s="2832">
        <v>106125883</v>
      </c>
      <c r="H15" s="3131">
        <v>50</v>
      </c>
      <c r="I15" s="3702">
        <v>0.8</v>
      </c>
      <c r="J15" s="3705">
        <v>0.95</v>
      </c>
      <c r="K15" s="71"/>
      <c r="L15" s="3703">
        <f t="shared" si="2"/>
        <v>62.5</v>
      </c>
      <c r="M15" s="3703">
        <f t="shared" si="3"/>
        <v>52.631578947368425</v>
      </c>
      <c r="N15" s="3704">
        <v>1</v>
      </c>
      <c r="O15" s="2898">
        <v>2</v>
      </c>
      <c r="P15" s="3704">
        <f>ROUNDUP($P$2*O15*6/100,0)</f>
        <v>1</v>
      </c>
      <c r="Q15" s="3711">
        <f t="shared" si="0"/>
        <v>62.5</v>
      </c>
      <c r="R15" s="3715">
        <f t="shared" si="1"/>
        <v>52.631578947368425</v>
      </c>
    </row>
    <row r="16" spans="1:19" x14ac:dyDescent="0.25">
      <c r="A16" s="4336"/>
      <c r="B16" s="3691">
        <v>13</v>
      </c>
      <c r="C16" s="2748"/>
      <c r="D16" s="2748" t="s">
        <v>3478</v>
      </c>
      <c r="E16" s="3700" t="s">
        <v>3559</v>
      </c>
      <c r="F16" s="2748" t="s">
        <v>3450</v>
      </c>
      <c r="G16" s="2748"/>
      <c r="H16" s="3131">
        <v>150</v>
      </c>
      <c r="I16" s="3702">
        <v>0.8</v>
      </c>
      <c r="J16" s="3705">
        <v>0.95</v>
      </c>
      <c r="K16" s="71"/>
      <c r="L16" s="3703">
        <f t="shared" si="2"/>
        <v>187.5</v>
      </c>
      <c r="M16" s="3703">
        <f t="shared" si="3"/>
        <v>157.89473684210526</v>
      </c>
      <c r="N16" s="3704">
        <v>1</v>
      </c>
      <c r="O16" s="3705">
        <v>6</v>
      </c>
      <c r="P16" s="3706">
        <f>IF(ROUNDUP(O16*$P$2/40,0)&lt;N16,N16,ROUNDUP(O16*$P$2/40,0))</f>
        <v>1</v>
      </c>
      <c r="Q16" s="3711">
        <f t="shared" si="0"/>
        <v>187.5</v>
      </c>
      <c r="R16" s="3715">
        <f t="shared" si="1"/>
        <v>157.89473684210526</v>
      </c>
      <c r="S16" s="1383" t="s">
        <v>3578</v>
      </c>
    </row>
    <row r="17" spans="1:23" x14ac:dyDescent="0.25">
      <c r="A17" s="4336"/>
      <c r="B17" s="3691">
        <v>14</v>
      </c>
      <c r="C17" s="2832"/>
      <c r="D17" s="2832" t="s">
        <v>3479</v>
      </c>
      <c r="E17" s="3701" t="s">
        <v>3557</v>
      </c>
      <c r="F17" s="2832" t="s">
        <v>3450</v>
      </c>
      <c r="G17" s="2832">
        <v>106125882</v>
      </c>
      <c r="H17" s="3131">
        <v>73</v>
      </c>
      <c r="I17" s="3702">
        <v>0.8</v>
      </c>
      <c r="J17" s="3705">
        <v>0.95</v>
      </c>
      <c r="K17" s="71"/>
      <c r="L17" s="3703">
        <f t="shared" si="2"/>
        <v>91.25</v>
      </c>
      <c r="M17" s="3703">
        <f t="shared" si="3"/>
        <v>76.842105263157904</v>
      </c>
      <c r="N17" s="3704">
        <v>1</v>
      </c>
      <c r="O17" s="2898">
        <v>1</v>
      </c>
      <c r="P17" s="3704">
        <f>ROUNDUP($P$2*O17*6/100,0)</f>
        <v>1</v>
      </c>
      <c r="Q17" s="3711">
        <f t="shared" si="0"/>
        <v>91.25</v>
      </c>
      <c r="R17" s="3715">
        <f t="shared" si="1"/>
        <v>76.842105263157904</v>
      </c>
    </row>
    <row r="18" spans="1:23" ht="15" customHeight="1" x14ac:dyDescent="0.25">
      <c r="A18" s="4336" t="s">
        <v>3480</v>
      </c>
      <c r="B18" s="3691">
        <v>15</v>
      </c>
      <c r="C18" s="2748"/>
      <c r="D18" s="2748" t="s">
        <v>3481</v>
      </c>
      <c r="E18" s="3700" t="s">
        <v>3560</v>
      </c>
      <c r="F18" s="2748" t="s">
        <v>3450</v>
      </c>
      <c r="G18" s="2748"/>
      <c r="H18" s="3131">
        <v>28.18</v>
      </c>
      <c r="I18" s="3702">
        <v>0.8</v>
      </c>
      <c r="J18" s="3705">
        <v>0.95</v>
      </c>
      <c r="K18" s="71"/>
      <c r="L18" s="3703">
        <f t="shared" si="2"/>
        <v>35.224999999999994</v>
      </c>
      <c r="M18" s="3703">
        <f t="shared" si="3"/>
        <v>29.663157894736845</v>
      </c>
      <c r="N18" s="3704">
        <v>1</v>
      </c>
      <c r="O18" s="3705">
        <v>30</v>
      </c>
      <c r="P18" s="3704">
        <f>ROUNDUP($P$2*O18/100,0)</f>
        <v>2</v>
      </c>
      <c r="Q18" s="3711">
        <f t="shared" si="0"/>
        <v>70.449999999999989</v>
      </c>
      <c r="R18" s="3715">
        <f t="shared" si="1"/>
        <v>59.326315789473689</v>
      </c>
    </row>
    <row r="19" spans="1:23" s="1351" customFormat="1" x14ac:dyDescent="0.25">
      <c r="A19" s="4336"/>
      <c r="B19" s="3695">
        <v>16</v>
      </c>
      <c r="C19" s="2832"/>
      <c r="D19" s="2832" t="s">
        <v>3482</v>
      </c>
      <c r="E19" s="3701" t="s">
        <v>3561</v>
      </c>
      <c r="F19" s="2832" t="s">
        <v>3450</v>
      </c>
      <c r="G19" s="2832"/>
      <c r="H19" s="3131"/>
      <c r="I19" s="3702">
        <v>0.8</v>
      </c>
      <c r="J19" s="3705">
        <v>0.95</v>
      </c>
      <c r="K19" s="3709"/>
      <c r="L19" s="3710"/>
      <c r="M19" s="3710"/>
      <c r="N19" s="3706"/>
      <c r="O19" s="2898">
        <v>30</v>
      </c>
      <c r="P19" s="3706" t="s">
        <v>0</v>
      </c>
      <c r="Q19" s="3712">
        <v>0</v>
      </c>
      <c r="R19" s="3716">
        <v>0</v>
      </c>
    </row>
    <row r="20" spans="1:23" x14ac:dyDescent="0.25">
      <c r="A20" s="4336"/>
      <c r="B20" s="3691">
        <v>17</v>
      </c>
      <c r="C20" s="2748"/>
      <c r="D20" s="2748" t="s">
        <v>3585</v>
      </c>
      <c r="E20" s="3700" t="s">
        <v>3562</v>
      </c>
      <c r="F20" s="2748" t="s">
        <v>3450</v>
      </c>
      <c r="G20" s="2748"/>
      <c r="H20" s="3131">
        <v>900</v>
      </c>
      <c r="I20" s="3702">
        <v>0.8</v>
      </c>
      <c r="J20" s="3705">
        <v>0.95</v>
      </c>
      <c r="K20" s="71"/>
      <c r="L20" s="3703">
        <f t="shared" si="2"/>
        <v>1125</v>
      </c>
      <c r="M20" s="3703">
        <f t="shared" si="3"/>
        <v>947.36842105263167</v>
      </c>
      <c r="N20" s="3706">
        <v>1</v>
      </c>
      <c r="O20" s="3705">
        <v>1</v>
      </c>
      <c r="P20" s="3706">
        <f>IF(ROUNDDOWN(($P$2*O20)/20,0)&gt;N20,ROUNDDOWN(($P$2*O20)/20,0),N20)</f>
        <v>1</v>
      </c>
      <c r="Q20" s="3711">
        <f t="shared" ref="Q20:R25" si="4">$P20*L20</f>
        <v>1125</v>
      </c>
      <c r="R20" s="3715">
        <f t="shared" si="4"/>
        <v>947.36842105263167</v>
      </c>
    </row>
    <row r="21" spans="1:23" x14ac:dyDescent="0.25">
      <c r="A21" s="4336"/>
      <c r="B21" s="3691">
        <v>18</v>
      </c>
      <c r="C21" s="2832"/>
      <c r="D21" s="2832" t="s">
        <v>3584</v>
      </c>
      <c r="E21" s="3701" t="s">
        <v>3563</v>
      </c>
      <c r="F21" s="2832" t="s">
        <v>3450</v>
      </c>
      <c r="G21" s="2832"/>
      <c r="H21" s="3131">
        <v>1100</v>
      </c>
      <c r="I21" s="3702">
        <v>0.8</v>
      </c>
      <c r="J21" s="3705">
        <v>0.95</v>
      </c>
      <c r="K21" s="71"/>
      <c r="L21" s="3703">
        <f t="shared" si="2"/>
        <v>1375</v>
      </c>
      <c r="M21" s="3703">
        <f t="shared" si="3"/>
        <v>1157.8947368421054</v>
      </c>
      <c r="N21" s="3706">
        <v>1</v>
      </c>
      <c r="O21" s="2898">
        <v>1</v>
      </c>
      <c r="P21" s="3706">
        <f>IF(ROUNDDOWN(($P$2*O21/4)/10,0)&gt;N21,ROUNDDOWN(($P$2*O21/4)/10,0),N21)</f>
        <v>1</v>
      </c>
      <c r="Q21" s="3711">
        <f t="shared" si="4"/>
        <v>1375</v>
      </c>
      <c r="R21" s="3715">
        <f t="shared" si="4"/>
        <v>1157.8947368421054</v>
      </c>
    </row>
    <row r="22" spans="1:23" x14ac:dyDescent="0.25">
      <c r="A22" s="4336"/>
      <c r="B22" s="3691">
        <v>19</v>
      </c>
      <c r="C22" s="2748"/>
      <c r="D22" s="2748" t="s">
        <v>3483</v>
      </c>
      <c r="E22" s="3700" t="s">
        <v>3564</v>
      </c>
      <c r="F22" s="2748" t="s">
        <v>3450</v>
      </c>
      <c r="G22" s="2748"/>
      <c r="H22" s="3131">
        <v>105</v>
      </c>
      <c r="I22" s="3702">
        <v>0.8</v>
      </c>
      <c r="J22" s="3705">
        <v>0.95</v>
      </c>
      <c r="K22" s="71"/>
      <c r="L22" s="3703">
        <f t="shared" si="2"/>
        <v>131.25</v>
      </c>
      <c r="M22" s="3703">
        <f t="shared" si="3"/>
        <v>110.52631578947368</v>
      </c>
      <c r="N22" s="3706">
        <v>1</v>
      </c>
      <c r="O22" s="3705">
        <v>1</v>
      </c>
      <c r="P22" s="3706">
        <f>ROUNDUP(O22*$P$2/4,0)</f>
        <v>2</v>
      </c>
      <c r="Q22" s="3711">
        <f t="shared" si="4"/>
        <v>262.5</v>
      </c>
      <c r="R22" s="3715">
        <f t="shared" si="4"/>
        <v>221.05263157894737</v>
      </c>
    </row>
    <row r="23" spans="1:23" x14ac:dyDescent="0.25">
      <c r="A23" s="4336"/>
      <c r="B23" s="3691">
        <v>20</v>
      </c>
      <c r="C23" s="2832"/>
      <c r="D23" s="2832" t="s">
        <v>3484</v>
      </c>
      <c r="E23" s="3701" t="s">
        <v>3565</v>
      </c>
      <c r="F23" s="2832" t="s">
        <v>3450</v>
      </c>
      <c r="G23" s="2832"/>
      <c r="H23" s="3131">
        <v>77</v>
      </c>
      <c r="I23" s="3702">
        <v>0.8</v>
      </c>
      <c r="J23" s="3705">
        <v>0.95</v>
      </c>
      <c r="K23" s="71"/>
      <c r="L23" s="3703">
        <f t="shared" si="2"/>
        <v>96.25</v>
      </c>
      <c r="M23" s="3703">
        <f t="shared" si="3"/>
        <v>81.05263157894737</v>
      </c>
      <c r="N23" s="3706">
        <v>1</v>
      </c>
      <c r="O23" s="2898">
        <v>1</v>
      </c>
      <c r="P23" s="3706">
        <f>ROUNDUP(O23*$P$2/4,0)</f>
        <v>2</v>
      </c>
      <c r="Q23" s="3711">
        <f t="shared" si="4"/>
        <v>192.5</v>
      </c>
      <c r="R23" s="3715">
        <f t="shared" si="4"/>
        <v>162.10526315789474</v>
      </c>
    </row>
    <row r="24" spans="1:23" x14ac:dyDescent="0.25">
      <c r="A24" s="4336"/>
      <c r="B24" s="3691">
        <v>22</v>
      </c>
      <c r="C24" s="2748"/>
      <c r="D24" s="2748" t="s">
        <v>3485</v>
      </c>
      <c r="E24" s="3700" t="s">
        <v>3566</v>
      </c>
      <c r="F24" s="2748" t="s">
        <v>3450</v>
      </c>
      <c r="G24" s="2748"/>
      <c r="H24" s="3131">
        <v>30</v>
      </c>
      <c r="I24" s="3707">
        <v>0.4</v>
      </c>
      <c r="J24" s="3708">
        <v>0.6</v>
      </c>
      <c r="K24" s="71"/>
      <c r="L24" s="3703">
        <f t="shared" si="2"/>
        <v>75</v>
      </c>
      <c r="M24" s="3703">
        <f t="shared" si="3"/>
        <v>50</v>
      </c>
      <c r="N24" s="3706">
        <v>1</v>
      </c>
      <c r="O24" s="3705">
        <v>1</v>
      </c>
      <c r="P24" s="3706">
        <f>ROUNDUP(O24*$P$2/4,0)</f>
        <v>2</v>
      </c>
      <c r="Q24" s="3711">
        <f t="shared" si="4"/>
        <v>150</v>
      </c>
      <c r="R24" s="3715">
        <f t="shared" si="4"/>
        <v>100</v>
      </c>
    </row>
    <row r="25" spans="1:23" s="1342" customFormat="1" ht="16.5" customHeight="1" x14ac:dyDescent="0.25">
      <c r="A25" s="4331" t="s">
        <v>3586</v>
      </c>
      <c r="B25" s="3720"/>
      <c r="C25" s="3718" t="s">
        <v>3366</v>
      </c>
      <c r="D25" s="2748" t="s">
        <v>3782</v>
      </c>
      <c r="E25" s="2733" t="s">
        <v>3367</v>
      </c>
      <c r="F25" s="2729"/>
      <c r="G25" s="2730"/>
      <c r="H25" s="3131"/>
      <c r="I25" s="3707">
        <v>0.4</v>
      </c>
      <c r="J25" s="3708">
        <v>0.8</v>
      </c>
      <c r="K25" s="3347">
        <f>tarjetas!$D$31</f>
        <v>133.32</v>
      </c>
      <c r="L25" s="3703">
        <f>K25/I25</f>
        <v>333.29999999999995</v>
      </c>
      <c r="M25" s="3703">
        <f>K25/J25</f>
        <v>166.64999999999998</v>
      </c>
      <c r="N25" s="3706">
        <v>1</v>
      </c>
      <c r="O25" s="3900">
        <v>1</v>
      </c>
      <c r="P25" s="3706">
        <f>IF(ROUNDUP(($P$2*O25/4)/5,0)&lt;N25,N25,ROUNDUP(($P$2*O25/4)/5,0))</f>
        <v>1</v>
      </c>
      <c r="Q25" s="3711">
        <f t="shared" si="4"/>
        <v>333.29999999999995</v>
      </c>
      <c r="R25" s="3715">
        <f t="shared" si="4"/>
        <v>166.64999999999998</v>
      </c>
    </row>
    <row r="26" spans="1:23" s="1342" customFormat="1" ht="16.5" customHeight="1" x14ac:dyDescent="0.25">
      <c r="A26" s="4332"/>
      <c r="B26" s="3720"/>
      <c r="C26" s="3718" t="s">
        <v>3280</v>
      </c>
      <c r="D26" s="2748" t="s">
        <v>3368</v>
      </c>
      <c r="E26" s="2733" t="s">
        <v>3369</v>
      </c>
      <c r="F26" s="2729"/>
      <c r="G26" s="2730"/>
      <c r="H26" s="3131"/>
      <c r="K26" s="3703">
        <f>'Lista global'!I358</f>
        <v>179.78888888888889</v>
      </c>
      <c r="L26" s="3703">
        <f>'Lista global'!P358</f>
        <v>224.73749999999998</v>
      </c>
      <c r="M26" s="3703">
        <f>'Lista global'!Q358</f>
        <v>189.25263157894736</v>
      </c>
      <c r="N26" s="3706">
        <v>1</v>
      </c>
      <c r="O26" s="3900">
        <v>1</v>
      </c>
      <c r="P26" s="3706">
        <f>IF(ROUNDUP(($P$2*O26/4)/5,0)&lt;N26,N26,ROUNDUP(($P$2*O26/4)/5,0))</f>
        <v>1</v>
      </c>
      <c r="Q26" s="3711">
        <f t="shared" ref="Q26" si="5">$P26*L26</f>
        <v>224.73749999999998</v>
      </c>
      <c r="R26" s="3715">
        <f t="shared" ref="R26" si="6">$P26*M26</f>
        <v>189.25263157894736</v>
      </c>
      <c r="V26" s="1342" t="s">
        <v>3631</v>
      </c>
      <c r="W26" s="1342" t="s">
        <v>3632</v>
      </c>
    </row>
    <row r="27" spans="1:23" x14ac:dyDescent="0.25">
      <c r="A27" s="3719"/>
      <c r="B27" s="3691"/>
      <c r="C27" s="2748" t="s">
        <v>3350</v>
      </c>
      <c r="D27" s="2748" t="s">
        <v>3352</v>
      </c>
      <c r="E27" s="3700" t="s">
        <v>3353</v>
      </c>
      <c r="F27" s="2748"/>
      <c r="G27" s="2748">
        <v>106206886</v>
      </c>
      <c r="H27" s="3131"/>
      <c r="I27" s="3707">
        <v>0.4</v>
      </c>
      <c r="J27" s="3708">
        <v>0.6</v>
      </c>
      <c r="K27" s="71">
        <f>'Lista global'!I200</f>
        <v>42.277777777777771</v>
      </c>
      <c r="L27" s="3703">
        <f>'Lista global'!P200</f>
        <v>95</v>
      </c>
      <c r="M27" s="3703">
        <f>'Lista global'!Q200</f>
        <v>63.333333333333336</v>
      </c>
      <c r="N27" s="3706">
        <v>1</v>
      </c>
      <c r="O27" s="3705">
        <v>1</v>
      </c>
      <c r="P27" s="3706">
        <f>IF(ROUNDDOWN($P$2/4,0)&lt;N27,N27,ROUNDDOWN($P$2/4,0))</f>
        <v>1</v>
      </c>
      <c r="Q27" s="3711">
        <f t="shared" ref="Q27" si="7">$P27*L27</f>
        <v>95</v>
      </c>
      <c r="R27" s="3715">
        <f t="shared" ref="R27" si="8">$P27*M27</f>
        <v>63.333333333333336</v>
      </c>
      <c r="T27" s="1383">
        <f t="shared" ref="T27" si="9">N27*I27</f>
        <v>0.4</v>
      </c>
      <c r="V27" s="1383" t="s">
        <v>3502</v>
      </c>
    </row>
    <row r="28" spans="1:23" ht="15.75" thickBot="1" x14ac:dyDescent="0.3">
      <c r="A28" s="3719"/>
      <c r="B28" s="3691"/>
      <c r="C28" s="2748" t="s">
        <v>138</v>
      </c>
      <c r="D28" s="2748" t="s">
        <v>1985</v>
      </c>
      <c r="E28" s="3700" t="s">
        <v>1468</v>
      </c>
      <c r="F28" s="2748"/>
      <c r="G28" s="2748">
        <v>106205336</v>
      </c>
      <c r="H28" s="3131"/>
      <c r="I28" s="3707">
        <v>0.8</v>
      </c>
      <c r="J28" s="3708">
        <v>0.95</v>
      </c>
      <c r="K28" s="71">
        <f>'Lista global'!I335</f>
        <v>11.755555555555555</v>
      </c>
      <c r="L28" s="3703">
        <f>'Lista global'!P335</f>
        <v>14.7</v>
      </c>
      <c r="M28" s="3703">
        <f>'Lista global'!Q335</f>
        <v>12.378947368421054</v>
      </c>
      <c r="N28" s="3706">
        <v>1</v>
      </c>
      <c r="O28" s="3705">
        <v>1</v>
      </c>
      <c r="P28" s="3706">
        <f>IF(ROUNDDOWN($P$2/10,0)&lt;N28,N28,ROUNDDOWN($P$2/10,0))</f>
        <v>1</v>
      </c>
      <c r="Q28" s="3711">
        <f t="shared" ref="Q28" si="10">$P28*L28</f>
        <v>14.7</v>
      </c>
      <c r="R28" s="3715">
        <f t="shared" ref="R28" si="11">$P28*M28</f>
        <v>12.378947368421054</v>
      </c>
    </row>
    <row r="29" spans="1:23" ht="15.75" thickBot="1" x14ac:dyDescent="0.3">
      <c r="A29" s="3662"/>
      <c r="D29" s="3753" t="s">
        <v>3793</v>
      </c>
      <c r="H29" s="1383"/>
      <c r="I29" s="2633"/>
      <c r="P29" s="3138" t="s">
        <v>941</v>
      </c>
      <c r="Q29" s="3139">
        <f>SUM(Q4:Q28)</f>
        <v>14129.020833333334</v>
      </c>
      <c r="R29" s="3717">
        <f>SUM(R4:R28)</f>
        <v>10521.818421052631</v>
      </c>
    </row>
    <row r="30" spans="1:23" x14ac:dyDescent="0.25">
      <c r="A30" s="3662"/>
      <c r="D30" s="2857"/>
      <c r="H30" s="1383"/>
      <c r="I30" s="2633"/>
      <c r="Q30" s="1383"/>
      <c r="R30" s="2633"/>
    </row>
    <row r="31" spans="1:23" x14ac:dyDescent="0.25">
      <c r="A31" s="3662"/>
      <c r="D31" s="2857"/>
      <c r="H31" s="1383"/>
      <c r="I31" s="2633"/>
      <c r="Q31" s="1383"/>
      <c r="R31" s="2633"/>
    </row>
    <row r="32" spans="1:23" x14ac:dyDescent="0.25">
      <c r="A32" s="144"/>
    </row>
  </sheetData>
  <mergeCells count="7">
    <mergeCell ref="A25:A26"/>
    <mergeCell ref="D3:E3"/>
    <mergeCell ref="A4:A5"/>
    <mergeCell ref="A6:A9"/>
    <mergeCell ref="A10:A17"/>
    <mergeCell ref="A18:A24"/>
    <mergeCell ref="A3:C3"/>
  </mergeCells>
  <pageMargins left="0.7" right="0.7" top="0.75" bottom="0.75" header="0.3" footer="0.3"/>
  <pageSetup paperSize="9" orientation="portrait" r:id="rId1"/>
  <ignoredErrors>
    <ignoredError sqref="P16 P5" formula="1"/>
  </ignoredErrors>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5"/>
  <sheetViews>
    <sheetView topLeftCell="B19" zoomScaleNormal="100" workbookViewId="0">
      <selection activeCell="P4" sqref="P4"/>
    </sheetView>
  </sheetViews>
  <sheetFormatPr baseColWidth="10" defaultRowHeight="15" x14ac:dyDescent="0.25"/>
  <cols>
    <col min="1" max="1" width="11.42578125" style="1383" customWidth="1"/>
    <col min="2" max="2" width="10.28515625" style="1383" customWidth="1"/>
    <col min="3" max="3" width="9.5703125" style="1383" customWidth="1"/>
    <col min="4" max="4" width="38.140625" style="1383" customWidth="1"/>
    <col min="5" max="5" width="38.7109375" style="1383" customWidth="1"/>
    <col min="6" max="6" width="38.5703125" style="1383" customWidth="1"/>
    <col min="7" max="7" width="35.85546875" style="1383" customWidth="1"/>
    <col min="8" max="8" width="12.140625" style="2633" customWidth="1"/>
    <col min="9" max="9" width="10.140625" style="1383" customWidth="1"/>
    <col min="10" max="10" width="10" style="1383" customWidth="1"/>
    <col min="11" max="11" width="8.42578125" style="1383" customWidth="1"/>
    <col min="12" max="12" width="10.5703125" style="1383" customWidth="1"/>
    <col min="13" max="13" width="12.7109375" style="1383" customWidth="1"/>
    <col min="14" max="14" width="11.42578125" style="1383" customWidth="1"/>
    <col min="15" max="15" width="9.7109375" style="1383" customWidth="1"/>
    <col min="16" max="16" width="14.5703125" style="1383" customWidth="1"/>
    <col min="17" max="17" width="16.28515625" style="2633" customWidth="1"/>
    <col min="18" max="18" width="11.42578125" style="1383"/>
    <col min="19" max="19" width="13.7109375" style="1383" customWidth="1"/>
    <col min="20" max="16384" width="11.42578125" style="1383"/>
  </cols>
  <sheetData>
    <row r="1" spans="1:19" x14ac:dyDescent="0.25">
      <c r="D1" s="305" t="s">
        <v>3937</v>
      </c>
      <c r="H1" s="1383"/>
      <c r="P1" s="3203" t="s">
        <v>3279</v>
      </c>
      <c r="Q1" s="1383"/>
    </row>
    <row r="2" spans="1:19" ht="15.75" thickBot="1" x14ac:dyDescent="0.3">
      <c r="H2" s="1383"/>
      <c r="P2" s="3240">
        <v>70</v>
      </c>
      <c r="Q2" s="1383"/>
    </row>
    <row r="3" spans="1:19" s="3722" customFormat="1" ht="36.75" thickBot="1" x14ac:dyDescent="0.3">
      <c r="A3" s="4340" t="s">
        <v>3444</v>
      </c>
      <c r="B3" s="4341"/>
      <c r="C3" s="4342"/>
      <c r="D3" s="4343" t="s">
        <v>250</v>
      </c>
      <c r="E3" s="4344"/>
      <c r="F3" s="3954" t="s">
        <v>3445</v>
      </c>
      <c r="G3" s="3955" t="s">
        <v>3581</v>
      </c>
      <c r="H3" s="3954" t="s">
        <v>3486</v>
      </c>
      <c r="I3" s="3722" t="s">
        <v>253</v>
      </c>
      <c r="J3" s="3722" t="s">
        <v>267</v>
      </c>
      <c r="K3" s="3722" t="s">
        <v>1380</v>
      </c>
      <c r="L3" s="3722" t="s">
        <v>3360</v>
      </c>
      <c r="M3" s="3722" t="s">
        <v>745</v>
      </c>
      <c r="N3" s="3723" t="s">
        <v>2449</v>
      </c>
      <c r="O3" s="3903" t="s">
        <v>959</v>
      </c>
      <c r="P3" s="3723" t="s">
        <v>2981</v>
      </c>
      <c r="Q3" s="3723" t="s">
        <v>2980</v>
      </c>
      <c r="R3" s="3723" t="s">
        <v>3175</v>
      </c>
    </row>
    <row r="4" spans="1:19" x14ac:dyDescent="0.25">
      <c r="A4" s="4345" t="s">
        <v>3446</v>
      </c>
      <c r="B4" s="3956">
        <v>1</v>
      </c>
      <c r="C4" s="3957" t="s">
        <v>3448</v>
      </c>
      <c r="D4" s="2720" t="s">
        <v>3938</v>
      </c>
      <c r="E4" s="3958" t="s">
        <v>3446</v>
      </c>
      <c r="F4" s="3959" t="s">
        <v>3939</v>
      </c>
      <c r="G4" s="3960">
        <v>106207427</v>
      </c>
      <c r="H4" s="3961">
        <v>1520</v>
      </c>
      <c r="I4" s="3702">
        <v>0.4</v>
      </c>
      <c r="J4" s="3702">
        <v>0.6</v>
      </c>
      <c r="K4" s="71"/>
      <c r="L4" s="3703">
        <f>H4/I4</f>
        <v>3800</v>
      </c>
      <c r="M4" s="3703">
        <f>H4/J4</f>
        <v>2533.3333333333335</v>
      </c>
      <c r="N4" s="3704">
        <v>1</v>
      </c>
      <c r="O4" s="3705">
        <v>3</v>
      </c>
      <c r="P4" s="3704">
        <f>ROUNDUP($P$2*O4*3/100,0)</f>
        <v>7</v>
      </c>
      <c r="Q4" s="3711">
        <f t="shared" ref="Q4:R26" si="0">$P4*L4</f>
        <v>26600</v>
      </c>
      <c r="R4" s="3715">
        <f t="shared" si="0"/>
        <v>17733.333333333336</v>
      </c>
    </row>
    <row r="5" spans="1:19" x14ac:dyDescent="0.25">
      <c r="A5" s="4346"/>
      <c r="B5" s="3962">
        <v>2</v>
      </c>
      <c r="C5" s="3963"/>
      <c r="D5" s="2497" t="s">
        <v>3940</v>
      </c>
      <c r="E5" s="3963" t="s">
        <v>3940</v>
      </c>
      <c r="F5" s="3964" t="s">
        <v>3941</v>
      </c>
      <c r="G5" s="3965">
        <v>106125882</v>
      </c>
      <c r="H5" s="3966"/>
      <c r="I5" s="3702"/>
      <c r="J5" s="3702"/>
      <c r="K5" s="71"/>
      <c r="L5" s="3703"/>
      <c r="M5" s="3703"/>
      <c r="N5" s="3704"/>
      <c r="O5" s="3705"/>
      <c r="P5" s="3704"/>
      <c r="Q5" s="3711"/>
      <c r="R5" s="3715"/>
    </row>
    <row r="6" spans="1:19" ht="15.75" thickBot="1" x14ac:dyDescent="0.3">
      <c r="A6" s="4347"/>
      <c r="B6" s="3967">
        <v>2.1</v>
      </c>
      <c r="C6" s="3968" t="s">
        <v>3942</v>
      </c>
      <c r="D6" s="3950" t="s">
        <v>3449</v>
      </c>
      <c r="E6" s="3969" t="s">
        <v>3556</v>
      </c>
      <c r="F6" s="3970" t="s">
        <v>3943</v>
      </c>
      <c r="G6" s="3971">
        <v>106207750</v>
      </c>
      <c r="H6" s="3972">
        <v>73</v>
      </c>
      <c r="I6" s="3702">
        <v>0.8</v>
      </c>
      <c r="J6" s="3705">
        <v>0.95</v>
      </c>
      <c r="K6" s="71"/>
      <c r="L6" s="3703">
        <f t="shared" ref="L6:L58" si="1">H6/I6</f>
        <v>91.25</v>
      </c>
      <c r="M6" s="3703">
        <f t="shared" ref="M6:M58" si="2">H6/J6</f>
        <v>76.842105263157904</v>
      </c>
      <c r="N6" s="3704">
        <v>1</v>
      </c>
      <c r="O6" s="2898">
        <v>3</v>
      </c>
      <c r="P6" s="3706">
        <f>P4</f>
        <v>7</v>
      </c>
      <c r="Q6" s="3711">
        <f t="shared" si="0"/>
        <v>638.75</v>
      </c>
      <c r="R6" s="3715">
        <f t="shared" si="0"/>
        <v>537.89473684210532</v>
      </c>
    </row>
    <row r="7" spans="1:19" x14ac:dyDescent="0.25">
      <c r="A7" s="4348" t="s">
        <v>3451</v>
      </c>
      <c r="B7" s="3956">
        <v>3</v>
      </c>
      <c r="C7" s="3957" t="s">
        <v>3454</v>
      </c>
      <c r="D7" s="2720" t="s">
        <v>3452</v>
      </c>
      <c r="E7" s="3958" t="s">
        <v>3569</v>
      </c>
      <c r="F7" s="3959" t="s">
        <v>3944</v>
      </c>
      <c r="G7" s="3960">
        <v>106207865</v>
      </c>
      <c r="H7" s="3961">
        <v>400</v>
      </c>
      <c r="I7" s="3707">
        <v>0.4</v>
      </c>
      <c r="J7" s="3708">
        <v>0.6</v>
      </c>
      <c r="K7" s="71"/>
      <c r="L7" s="3703">
        <f t="shared" si="1"/>
        <v>1000</v>
      </c>
      <c r="M7" s="3703">
        <f t="shared" si="2"/>
        <v>666.66666666666674</v>
      </c>
      <c r="N7" s="3704">
        <v>1</v>
      </c>
      <c r="O7" s="3705">
        <v>1</v>
      </c>
      <c r="P7" s="3704">
        <f>ROUNDUP($P$2*O7*3/100,0)</f>
        <v>3</v>
      </c>
      <c r="Q7" s="3711">
        <f t="shared" si="0"/>
        <v>3000</v>
      </c>
      <c r="R7" s="3715">
        <f t="shared" si="0"/>
        <v>2000.0000000000002</v>
      </c>
    </row>
    <row r="8" spans="1:19" x14ac:dyDescent="0.25">
      <c r="A8" s="4349"/>
      <c r="B8" s="3962">
        <v>4</v>
      </c>
      <c r="C8" s="3973" t="s">
        <v>3457</v>
      </c>
      <c r="D8" s="3949" t="s">
        <v>3455</v>
      </c>
      <c r="E8" s="3974" t="s">
        <v>3570</v>
      </c>
      <c r="F8" s="3975" t="s">
        <v>3456</v>
      </c>
      <c r="G8" s="3976">
        <v>106207866</v>
      </c>
      <c r="H8" s="3966">
        <v>400</v>
      </c>
      <c r="I8" s="3707">
        <v>0.4</v>
      </c>
      <c r="J8" s="3708">
        <v>0.6</v>
      </c>
      <c r="K8" s="71"/>
      <c r="L8" s="3703">
        <f t="shared" si="1"/>
        <v>1000</v>
      </c>
      <c r="M8" s="3703">
        <f t="shared" si="2"/>
        <v>666.66666666666674</v>
      </c>
      <c r="N8" s="3713">
        <v>1</v>
      </c>
      <c r="O8" s="2898">
        <v>1</v>
      </c>
      <c r="P8" s="3704">
        <f>ROUNDUP($P$2*O8*3/100,0)</f>
        <v>3</v>
      </c>
      <c r="Q8" s="3711">
        <f t="shared" si="0"/>
        <v>3000</v>
      </c>
      <c r="R8" s="3715">
        <f t="shared" si="0"/>
        <v>2000.0000000000002</v>
      </c>
      <c r="S8" s="1383" t="s">
        <v>3571</v>
      </c>
    </row>
    <row r="9" spans="1:19" x14ac:dyDescent="0.25">
      <c r="A9" s="4349"/>
      <c r="B9" s="3962">
        <v>5</v>
      </c>
      <c r="C9" s="3963" t="s">
        <v>3460</v>
      </c>
      <c r="D9" s="2497" t="s">
        <v>3458</v>
      </c>
      <c r="E9" s="3977" t="s">
        <v>3572</v>
      </c>
      <c r="F9" s="3964" t="s">
        <v>3459</v>
      </c>
      <c r="G9" s="3965">
        <v>106207867</v>
      </c>
      <c r="H9" s="3966">
        <v>180</v>
      </c>
      <c r="I9" s="3707">
        <v>0.4</v>
      </c>
      <c r="J9" s="3708">
        <v>0.6</v>
      </c>
      <c r="K9" s="71"/>
      <c r="L9" s="3703">
        <f t="shared" si="1"/>
        <v>450</v>
      </c>
      <c r="M9" s="3703">
        <f t="shared" si="2"/>
        <v>300</v>
      </c>
      <c r="N9" s="3713">
        <v>1</v>
      </c>
      <c r="O9" s="3705">
        <v>1</v>
      </c>
      <c r="P9" s="3704">
        <f>IF(ROUNDDOWN(O9*$P$2/20,0)&lt;N9,N9,ROUNDDOWN(O9*$P$2/20,0))</f>
        <v>3</v>
      </c>
      <c r="Q9" s="3711">
        <f t="shared" si="0"/>
        <v>1350</v>
      </c>
      <c r="R9" s="3715">
        <f t="shared" si="0"/>
        <v>900</v>
      </c>
    </row>
    <row r="10" spans="1:19" x14ac:dyDescent="0.25">
      <c r="A10" s="4349"/>
      <c r="B10" s="3962">
        <v>6</v>
      </c>
      <c r="C10" s="3963"/>
      <c r="D10" s="2497" t="s">
        <v>3945</v>
      </c>
      <c r="E10" s="3977" t="s">
        <v>3946</v>
      </c>
      <c r="F10" s="3964"/>
      <c r="G10" s="3965">
        <v>106101894</v>
      </c>
      <c r="H10" s="3966"/>
      <c r="I10" s="3707"/>
      <c r="J10" s="3708"/>
      <c r="K10" s="71"/>
      <c r="L10" s="3703"/>
      <c r="M10" s="3703"/>
      <c r="N10" s="3713"/>
      <c r="O10" s="3705">
        <v>1</v>
      </c>
      <c r="P10" s="3704"/>
      <c r="Q10" s="3711"/>
      <c r="R10" s="3715"/>
    </row>
    <row r="11" spans="1:19" x14ac:dyDescent="0.25">
      <c r="A11" s="4349"/>
      <c r="B11" s="3962">
        <v>7</v>
      </c>
      <c r="C11" s="3963" t="s">
        <v>3463</v>
      </c>
      <c r="D11" s="3949" t="s">
        <v>3947</v>
      </c>
      <c r="E11" s="3977" t="s">
        <v>3948</v>
      </c>
      <c r="F11" s="3964" t="s">
        <v>3949</v>
      </c>
      <c r="G11" s="3965" t="s">
        <v>3950</v>
      </c>
      <c r="H11" s="3966">
        <v>500</v>
      </c>
      <c r="I11" s="3707"/>
      <c r="J11" s="3708"/>
      <c r="K11" s="71"/>
      <c r="L11" s="3703"/>
      <c r="M11" s="3703"/>
      <c r="N11" s="3713"/>
      <c r="O11" s="3705">
        <v>1</v>
      </c>
      <c r="P11" s="3704"/>
      <c r="Q11" s="3711"/>
      <c r="R11" s="3715"/>
    </row>
    <row r="12" spans="1:19" s="1351" customFormat="1" ht="15.75" thickBot="1" x14ac:dyDescent="0.3">
      <c r="A12" s="4350"/>
      <c r="B12" s="3978">
        <v>7.1</v>
      </c>
      <c r="C12" s="3968" t="s">
        <v>3951</v>
      </c>
      <c r="D12" s="3950" t="s">
        <v>3461</v>
      </c>
      <c r="E12" s="3969" t="s">
        <v>3573</v>
      </c>
      <c r="F12" s="3970" t="s">
        <v>3952</v>
      </c>
      <c r="G12" s="3971" t="s">
        <v>3953</v>
      </c>
      <c r="H12" s="3972">
        <v>500</v>
      </c>
      <c r="I12" s="3702">
        <v>0.6</v>
      </c>
      <c r="J12" s="3705">
        <v>0.8</v>
      </c>
      <c r="K12" s="3709"/>
      <c r="L12" s="3710">
        <f t="shared" si="1"/>
        <v>833.33333333333337</v>
      </c>
      <c r="M12" s="3710">
        <f t="shared" si="2"/>
        <v>625</v>
      </c>
      <c r="N12" s="3714">
        <v>0</v>
      </c>
      <c r="O12" s="2898">
        <v>1</v>
      </c>
      <c r="P12" s="3706">
        <f>IF(P2&lt;10,0,IF(P2&lt;50,1,2))</f>
        <v>2</v>
      </c>
      <c r="Q12" s="3711">
        <f t="shared" si="0"/>
        <v>1666.6666666666667</v>
      </c>
      <c r="R12" s="3715">
        <f t="shared" si="0"/>
        <v>1250</v>
      </c>
      <c r="S12" s="3696">
        <v>5.0000000000000001E-3</v>
      </c>
    </row>
    <row r="13" spans="1:19" s="1351" customFormat="1" x14ac:dyDescent="0.25">
      <c r="A13" s="4351" t="s">
        <v>3464</v>
      </c>
      <c r="B13" s="3979">
        <v>8</v>
      </c>
      <c r="C13" s="3957" t="s">
        <v>3467</v>
      </c>
      <c r="D13" s="3162" t="s">
        <v>3954</v>
      </c>
      <c r="E13" s="3980" t="s">
        <v>3955</v>
      </c>
      <c r="F13" s="3981" t="s">
        <v>3956</v>
      </c>
      <c r="G13" s="3982" t="s">
        <v>3957</v>
      </c>
      <c r="H13" s="3961">
        <v>400</v>
      </c>
      <c r="I13" s="3702"/>
      <c r="J13" s="3705"/>
      <c r="K13" s="3709"/>
      <c r="L13" s="3710"/>
      <c r="M13" s="3710"/>
      <c r="N13" s="3714"/>
      <c r="O13" s="2898">
        <v>3</v>
      </c>
      <c r="P13" s="3706"/>
      <c r="Q13" s="3711"/>
      <c r="R13" s="3715"/>
      <c r="S13" s="3696"/>
    </row>
    <row r="14" spans="1:19" ht="15" customHeight="1" x14ac:dyDescent="0.25">
      <c r="A14" s="4252"/>
      <c r="B14" s="3962">
        <v>8.1</v>
      </c>
      <c r="C14" s="3983" t="s">
        <v>3958</v>
      </c>
      <c r="D14" s="2497" t="s">
        <v>3465</v>
      </c>
      <c r="E14" s="3977" t="s">
        <v>3580</v>
      </c>
      <c r="F14" s="3964" t="s">
        <v>3959</v>
      </c>
      <c r="G14" s="3965" t="s">
        <v>3960</v>
      </c>
      <c r="H14" s="3966">
        <v>400</v>
      </c>
      <c r="I14" s="3702">
        <v>0.6</v>
      </c>
      <c r="J14" s="3705">
        <v>0.8</v>
      </c>
      <c r="K14" s="3709"/>
      <c r="L14" s="3710">
        <f t="shared" si="1"/>
        <v>666.66666666666674</v>
      </c>
      <c r="M14" s="3710">
        <f t="shared" si="2"/>
        <v>500</v>
      </c>
      <c r="N14" s="3714">
        <v>1</v>
      </c>
      <c r="O14" s="3705">
        <v>3</v>
      </c>
      <c r="P14" s="3706">
        <f>IF(ROUNDDOWN(O14*$P$2/15,0)&lt;N14,N14,ROUNDDOWN(O14*$P$2/15,0))</f>
        <v>14</v>
      </c>
      <c r="Q14" s="3711">
        <f t="shared" si="0"/>
        <v>9333.3333333333339</v>
      </c>
      <c r="R14" s="3715">
        <f t="shared" si="0"/>
        <v>7000</v>
      </c>
      <c r="S14" s="1383" t="s">
        <v>3574</v>
      </c>
    </row>
    <row r="15" spans="1:19" ht="15" customHeight="1" x14ac:dyDescent="0.25">
      <c r="A15" s="4252"/>
      <c r="B15" s="3962">
        <v>9</v>
      </c>
      <c r="C15" s="3963" t="s">
        <v>3470</v>
      </c>
      <c r="D15" s="2497" t="s">
        <v>3961</v>
      </c>
      <c r="E15" s="3977" t="s">
        <v>3962</v>
      </c>
      <c r="F15" s="3964" t="s">
        <v>3963</v>
      </c>
      <c r="G15" s="3965" t="s">
        <v>3964</v>
      </c>
      <c r="H15" s="3966">
        <v>400</v>
      </c>
      <c r="I15" s="3702"/>
      <c r="J15" s="3705"/>
      <c r="K15" s="3709"/>
      <c r="L15" s="3710"/>
      <c r="M15" s="3710"/>
      <c r="N15" s="3714"/>
      <c r="O15" s="3705">
        <v>1</v>
      </c>
      <c r="P15" s="3706"/>
      <c r="Q15" s="3711"/>
      <c r="R15" s="3715"/>
    </row>
    <row r="16" spans="1:19" x14ac:dyDescent="0.25">
      <c r="A16" s="4252"/>
      <c r="B16" s="3962">
        <v>9.1</v>
      </c>
      <c r="C16" s="3983" t="s">
        <v>3965</v>
      </c>
      <c r="D16" s="3949" t="s">
        <v>3468</v>
      </c>
      <c r="E16" s="3974" t="s">
        <v>3576</v>
      </c>
      <c r="F16" s="3975" t="s">
        <v>3966</v>
      </c>
      <c r="G16" s="3976" t="s">
        <v>3967</v>
      </c>
      <c r="H16" s="3966">
        <v>400</v>
      </c>
      <c r="I16" s="3702">
        <v>0.6</v>
      </c>
      <c r="J16" s="3705">
        <v>0.8</v>
      </c>
      <c r="K16" s="3709"/>
      <c r="L16" s="3710">
        <f t="shared" si="1"/>
        <v>666.66666666666674</v>
      </c>
      <c r="M16" s="3710">
        <f t="shared" si="2"/>
        <v>500</v>
      </c>
      <c r="N16" s="3714">
        <v>1</v>
      </c>
      <c r="O16" s="2898">
        <v>1</v>
      </c>
      <c r="P16" s="3706">
        <f>IF(ROUNDDOWN(O16*$P$2/15,0)&lt;N16,N16,ROUNDDOWN(O16*$P$2/15,0))</f>
        <v>4</v>
      </c>
      <c r="Q16" s="3711">
        <f t="shared" si="0"/>
        <v>2666.666666666667</v>
      </c>
      <c r="R16" s="3715">
        <f t="shared" si="0"/>
        <v>2000</v>
      </c>
      <c r="S16" s="1383" t="s">
        <v>3574</v>
      </c>
    </row>
    <row r="17" spans="1:19" x14ac:dyDescent="0.25">
      <c r="A17" s="4252"/>
      <c r="B17" s="3962">
        <v>9</v>
      </c>
      <c r="C17" s="3963" t="s">
        <v>3473</v>
      </c>
      <c r="D17" s="2497" t="s">
        <v>3968</v>
      </c>
      <c r="E17" s="3977" t="s">
        <v>3579</v>
      </c>
      <c r="F17" s="3964" t="s">
        <v>3969</v>
      </c>
      <c r="G17" s="3965" t="s">
        <v>3970</v>
      </c>
      <c r="H17" s="3966">
        <v>1800</v>
      </c>
      <c r="I17" s="3707">
        <v>0.8</v>
      </c>
      <c r="J17" s="3708">
        <v>0.95</v>
      </c>
      <c r="K17" s="71"/>
      <c r="L17" s="3703">
        <f t="shared" si="1"/>
        <v>2250</v>
      </c>
      <c r="M17" s="3703">
        <f t="shared" si="2"/>
        <v>1894.7368421052633</v>
      </c>
      <c r="N17" s="3714">
        <v>1</v>
      </c>
      <c r="O17" s="3705">
        <v>1</v>
      </c>
      <c r="P17" s="3706">
        <f>IF(ROUNDDOWN(($P$2*O17/4)/10,0)&gt;N17,ROUNDDOWN(($P$2*O17/4)/10,0),1)</f>
        <v>1</v>
      </c>
      <c r="Q17" s="3711">
        <f t="shared" si="0"/>
        <v>2250</v>
      </c>
      <c r="R17" s="3715">
        <f t="shared" si="0"/>
        <v>1894.7368421052633</v>
      </c>
      <c r="S17" s="1383" t="s">
        <v>3577</v>
      </c>
    </row>
    <row r="18" spans="1:19" x14ac:dyDescent="0.25">
      <c r="A18" s="4252"/>
      <c r="B18" s="3962">
        <v>9.1</v>
      </c>
      <c r="C18" s="3983" t="s">
        <v>3971</v>
      </c>
      <c r="D18" s="2497" t="s">
        <v>3972</v>
      </c>
      <c r="E18" s="3977" t="s">
        <v>3973</v>
      </c>
      <c r="F18" s="3964" t="s">
        <v>3974</v>
      </c>
      <c r="G18" s="3965" t="s">
        <v>3975</v>
      </c>
      <c r="H18" s="3966">
        <v>1800</v>
      </c>
      <c r="I18" s="3707"/>
      <c r="J18" s="3708"/>
      <c r="K18" s="71"/>
      <c r="L18" s="3703"/>
      <c r="M18" s="3703"/>
      <c r="N18" s="3714"/>
      <c r="O18" s="3705">
        <v>1</v>
      </c>
      <c r="P18" s="3706"/>
      <c r="Q18" s="3711"/>
      <c r="R18" s="3715"/>
    </row>
    <row r="19" spans="1:19" x14ac:dyDescent="0.25">
      <c r="A19" s="4252"/>
      <c r="B19" s="3962">
        <v>9.1999999999999993</v>
      </c>
      <c r="C19" s="3983" t="s">
        <v>3976</v>
      </c>
      <c r="D19" s="2497" t="s">
        <v>3977</v>
      </c>
      <c r="E19" s="3977" t="s">
        <v>3978</v>
      </c>
      <c r="F19" s="3964" t="s">
        <v>3979</v>
      </c>
      <c r="G19" s="3965" t="s">
        <v>3980</v>
      </c>
      <c r="H19" s="3966"/>
      <c r="I19" s="3707"/>
      <c r="J19" s="3708"/>
      <c r="K19" s="71"/>
      <c r="L19" s="3703"/>
      <c r="M19" s="3703"/>
      <c r="N19" s="3714"/>
      <c r="O19" s="3705">
        <v>1</v>
      </c>
      <c r="P19" s="3706"/>
      <c r="Q19" s="3711"/>
      <c r="R19" s="3715"/>
    </row>
    <row r="20" spans="1:19" x14ac:dyDescent="0.25">
      <c r="A20" s="4252"/>
      <c r="B20" s="3962">
        <v>10</v>
      </c>
      <c r="C20" s="3973" t="s">
        <v>3475</v>
      </c>
      <c r="D20" s="3949" t="s">
        <v>3981</v>
      </c>
      <c r="E20" s="3974" t="s">
        <v>3982</v>
      </c>
      <c r="F20" s="3975" t="s">
        <v>3983</v>
      </c>
      <c r="G20" s="3976" t="s">
        <v>3984</v>
      </c>
      <c r="H20" s="3966">
        <v>1900</v>
      </c>
      <c r="I20" s="3707">
        <v>0.6</v>
      </c>
      <c r="J20" s="3708">
        <v>0.8</v>
      </c>
      <c r="K20" s="71"/>
      <c r="L20" s="3703">
        <f t="shared" si="1"/>
        <v>3166.666666666667</v>
      </c>
      <c r="M20" s="3703">
        <f t="shared" si="2"/>
        <v>2375</v>
      </c>
      <c r="N20" s="3714">
        <v>0</v>
      </c>
      <c r="O20" s="2898">
        <v>1</v>
      </c>
      <c r="P20" s="3706">
        <v>0</v>
      </c>
      <c r="Q20" s="3711">
        <f t="shared" si="0"/>
        <v>0</v>
      </c>
      <c r="R20" s="3715">
        <f t="shared" si="0"/>
        <v>0</v>
      </c>
    </row>
    <row r="21" spans="1:19" x14ac:dyDescent="0.25">
      <c r="A21" s="4252"/>
      <c r="B21" s="3962">
        <v>11</v>
      </c>
      <c r="C21" s="3963" t="s">
        <v>3985</v>
      </c>
      <c r="D21" s="2497" t="s">
        <v>3986</v>
      </c>
      <c r="E21" s="3977" t="s">
        <v>3555</v>
      </c>
      <c r="F21" s="3964" t="s">
        <v>3987</v>
      </c>
      <c r="G21" s="3965">
        <v>106125528</v>
      </c>
      <c r="H21" s="3966">
        <v>16</v>
      </c>
      <c r="I21" s="3702">
        <v>0.8</v>
      </c>
      <c r="J21" s="3705">
        <v>0.95</v>
      </c>
      <c r="K21" s="71"/>
      <c r="L21" s="3703">
        <f t="shared" si="1"/>
        <v>20</v>
      </c>
      <c r="M21" s="3703">
        <f t="shared" si="2"/>
        <v>16.842105263157894</v>
      </c>
      <c r="N21" s="3714">
        <v>1</v>
      </c>
      <c r="O21" s="3705">
        <v>4</v>
      </c>
      <c r="P21" s="3704">
        <f>IF(ROUND(O21*$P$2/20,0)&lt;N21,N21,ROUND(O21*$P$2/20,0))</f>
        <v>14</v>
      </c>
      <c r="Q21" s="3711">
        <f t="shared" si="0"/>
        <v>280</v>
      </c>
      <c r="R21" s="3715">
        <f t="shared" si="0"/>
        <v>235.78947368421052</v>
      </c>
      <c r="S21" s="3694">
        <v>0.02</v>
      </c>
    </row>
    <row r="22" spans="1:19" x14ac:dyDescent="0.25">
      <c r="A22" s="4252"/>
      <c r="B22" s="3962">
        <v>11.1</v>
      </c>
      <c r="C22" s="3983"/>
      <c r="D22" s="2497" t="s">
        <v>3988</v>
      </c>
      <c r="E22" s="3977" t="s">
        <v>3989</v>
      </c>
      <c r="F22" s="3964" t="s">
        <v>3990</v>
      </c>
      <c r="G22" s="3965" t="s">
        <v>3991</v>
      </c>
      <c r="H22" s="3966"/>
      <c r="I22" s="3702"/>
      <c r="J22" s="3705"/>
      <c r="K22" s="71"/>
      <c r="L22" s="3703"/>
      <c r="M22" s="3703"/>
      <c r="N22" s="3714"/>
      <c r="O22" s="3705"/>
      <c r="P22" s="3704"/>
      <c r="Q22" s="3711"/>
      <c r="R22" s="3715"/>
      <c r="S22" s="3694"/>
    </row>
    <row r="23" spans="1:19" x14ac:dyDescent="0.25">
      <c r="A23" s="4252"/>
      <c r="B23" s="3962">
        <v>11.2</v>
      </c>
      <c r="C23" s="3983"/>
      <c r="D23" s="2497" t="s">
        <v>3992</v>
      </c>
      <c r="E23" s="3977" t="s">
        <v>3993</v>
      </c>
      <c r="F23" s="3964" t="s">
        <v>3994</v>
      </c>
      <c r="G23" s="3965" t="s">
        <v>3995</v>
      </c>
      <c r="H23" s="3966"/>
      <c r="I23" s="3702"/>
      <c r="J23" s="3705"/>
      <c r="K23" s="71"/>
      <c r="L23" s="3703"/>
      <c r="M23" s="3703"/>
      <c r="N23" s="3714"/>
      <c r="O23" s="3705"/>
      <c r="P23" s="3704"/>
      <c r="Q23" s="3711"/>
      <c r="R23" s="3715"/>
      <c r="S23" s="3694"/>
    </row>
    <row r="24" spans="1:19" x14ac:dyDescent="0.25">
      <c r="A24" s="4252"/>
      <c r="B24" s="3962">
        <v>12</v>
      </c>
      <c r="C24" s="3963" t="s">
        <v>3985</v>
      </c>
      <c r="D24" s="3949" t="s">
        <v>3996</v>
      </c>
      <c r="E24" s="3974" t="s">
        <v>3558</v>
      </c>
      <c r="F24" s="3975" t="s">
        <v>3997</v>
      </c>
      <c r="G24" s="3976" t="s">
        <v>3998</v>
      </c>
      <c r="H24" s="3966">
        <v>50</v>
      </c>
      <c r="I24" s="3702">
        <v>0.8</v>
      </c>
      <c r="J24" s="3705">
        <v>0.95</v>
      </c>
      <c r="K24" s="71"/>
      <c r="L24" s="3703">
        <f t="shared" si="1"/>
        <v>62.5</v>
      </c>
      <c r="M24" s="3703">
        <f t="shared" si="2"/>
        <v>52.631578947368425</v>
      </c>
      <c r="N24" s="3704">
        <v>1</v>
      </c>
      <c r="O24" s="2898">
        <v>2</v>
      </c>
      <c r="P24" s="3704">
        <f>ROUNDUP($P$2*O24*6/100,0)</f>
        <v>9</v>
      </c>
      <c r="Q24" s="3711">
        <f t="shared" si="0"/>
        <v>562.5</v>
      </c>
      <c r="R24" s="3715">
        <f t="shared" si="0"/>
        <v>473.68421052631584</v>
      </c>
    </row>
    <row r="25" spans="1:19" x14ac:dyDescent="0.25">
      <c r="A25" s="4252"/>
      <c r="B25" s="3962">
        <v>12.1</v>
      </c>
      <c r="C25" s="3973"/>
      <c r="D25" s="3949" t="s">
        <v>3477</v>
      </c>
      <c r="E25" s="3974" t="s">
        <v>3999</v>
      </c>
      <c r="F25" s="3975" t="s">
        <v>4000</v>
      </c>
      <c r="G25" s="3976" t="s">
        <v>4001</v>
      </c>
      <c r="H25" s="3966"/>
      <c r="I25" s="3702"/>
      <c r="J25" s="3705"/>
      <c r="K25" s="71"/>
      <c r="L25" s="3703"/>
      <c r="M25" s="3703"/>
      <c r="N25" s="3704"/>
      <c r="O25" s="2898"/>
      <c r="P25" s="3704"/>
      <c r="Q25" s="3711"/>
      <c r="R25" s="3715"/>
    </row>
    <row r="26" spans="1:19" x14ac:dyDescent="0.25">
      <c r="A26" s="4252"/>
      <c r="B26" s="3962">
        <v>13</v>
      </c>
      <c r="C26" s="3963" t="s">
        <v>3985</v>
      </c>
      <c r="D26" s="2497" t="s">
        <v>4002</v>
      </c>
      <c r="E26" s="3977" t="s">
        <v>3559</v>
      </c>
      <c r="F26" s="3964" t="s">
        <v>4003</v>
      </c>
      <c r="G26" s="3965" t="s">
        <v>4004</v>
      </c>
      <c r="H26" s="3966">
        <v>150</v>
      </c>
      <c r="I26" s="3702">
        <v>0.8</v>
      </c>
      <c r="J26" s="3705">
        <v>0.95</v>
      </c>
      <c r="K26" s="71"/>
      <c r="L26" s="3703">
        <f t="shared" si="1"/>
        <v>187.5</v>
      </c>
      <c r="M26" s="3703">
        <f t="shared" si="2"/>
        <v>157.89473684210526</v>
      </c>
      <c r="N26" s="3704">
        <v>1</v>
      </c>
      <c r="O26" s="3705">
        <v>6</v>
      </c>
      <c r="P26" s="3706">
        <f>IF(ROUNDUP(O26*$P$2/40,0)&lt;N26,N26,ROUNDUP(O26*$P$2/40,0))</f>
        <v>11</v>
      </c>
      <c r="Q26" s="3711">
        <f t="shared" si="0"/>
        <v>2062.5</v>
      </c>
      <c r="R26" s="3715">
        <f t="shared" si="0"/>
        <v>1736.8421052631579</v>
      </c>
      <c r="S26" s="1383" t="s">
        <v>3578</v>
      </c>
    </row>
    <row r="27" spans="1:19" x14ac:dyDescent="0.25">
      <c r="A27" s="4252"/>
      <c r="B27" s="3962">
        <v>13.1</v>
      </c>
      <c r="C27" s="3963"/>
      <c r="D27" s="2497" t="s">
        <v>4005</v>
      </c>
      <c r="E27" s="3977" t="s">
        <v>4006</v>
      </c>
      <c r="F27" s="3964" t="s">
        <v>4007</v>
      </c>
      <c r="G27" s="3965" t="s">
        <v>4008</v>
      </c>
      <c r="H27" s="3966"/>
      <c r="I27" s="3702"/>
      <c r="J27" s="3705"/>
      <c r="K27" s="71"/>
      <c r="L27" s="3703"/>
      <c r="M27" s="3703"/>
      <c r="N27" s="3704"/>
      <c r="O27" s="3705"/>
      <c r="P27" s="3706"/>
      <c r="Q27" s="3711"/>
      <c r="R27" s="3715"/>
    </row>
    <row r="28" spans="1:19" ht="15.75" thickBot="1" x14ac:dyDescent="0.3">
      <c r="A28" s="4253"/>
      <c r="B28" s="3967">
        <v>14</v>
      </c>
      <c r="C28" s="3984" t="s">
        <v>4009</v>
      </c>
      <c r="D28" s="2498" t="s">
        <v>4010</v>
      </c>
      <c r="E28" s="3985" t="s">
        <v>4011</v>
      </c>
      <c r="F28" s="3986" t="s">
        <v>4012</v>
      </c>
      <c r="G28" s="3987" t="s">
        <v>4013</v>
      </c>
      <c r="H28" s="3972"/>
      <c r="I28" s="3702"/>
      <c r="J28" s="3705"/>
      <c r="K28" s="71"/>
      <c r="L28" s="3703"/>
      <c r="M28" s="3703"/>
      <c r="N28" s="3704"/>
      <c r="O28" s="3705"/>
      <c r="P28" s="3706"/>
      <c r="Q28" s="3711"/>
      <c r="R28" s="3715"/>
    </row>
    <row r="29" spans="1:19" x14ac:dyDescent="0.25">
      <c r="A29" s="4352" t="s">
        <v>3480</v>
      </c>
      <c r="B29" s="3988">
        <v>15</v>
      </c>
      <c r="C29" s="3989"/>
      <c r="D29" s="3990" t="s">
        <v>4014</v>
      </c>
      <c r="E29" s="3991" t="s">
        <v>4014</v>
      </c>
      <c r="F29" s="3992" t="s">
        <v>3941</v>
      </c>
      <c r="G29" s="3993">
        <v>106125882</v>
      </c>
      <c r="H29" s="3994"/>
      <c r="I29" s="3702">
        <v>0.8</v>
      </c>
      <c r="J29" s="3705">
        <v>0.95</v>
      </c>
      <c r="K29" s="71"/>
      <c r="L29" s="3703">
        <f>H29/I29</f>
        <v>0</v>
      </c>
      <c r="M29" s="3703">
        <f>H29/J29</f>
        <v>0</v>
      </c>
      <c r="N29" s="3704">
        <v>1</v>
      </c>
      <c r="O29" s="2898">
        <v>1</v>
      </c>
      <c r="P29" s="3704">
        <f>ROUNDUP($P$2*O29*6/100,0)</f>
        <v>5</v>
      </c>
      <c r="Q29" s="3711">
        <f>$P29*L29</f>
        <v>0</v>
      </c>
      <c r="R29" s="3715">
        <f>$P29*M29</f>
        <v>0</v>
      </c>
    </row>
    <row r="30" spans="1:19" x14ac:dyDescent="0.25">
      <c r="A30" s="4352"/>
      <c r="B30" s="3995">
        <v>15.1</v>
      </c>
      <c r="C30" s="3996" t="s">
        <v>3942</v>
      </c>
      <c r="D30" s="3997" t="s">
        <v>3449</v>
      </c>
      <c r="E30" s="3998" t="s">
        <v>3556</v>
      </c>
      <c r="F30" s="3999" t="s">
        <v>3943</v>
      </c>
      <c r="G30" s="4000">
        <v>106207750</v>
      </c>
      <c r="H30" s="4001">
        <v>73</v>
      </c>
      <c r="I30" s="3702"/>
      <c r="J30" s="3705"/>
      <c r="K30" s="71"/>
      <c r="L30" s="3703"/>
      <c r="M30" s="3703"/>
      <c r="N30" s="3704"/>
      <c r="O30" s="2898"/>
      <c r="P30" s="3704"/>
      <c r="Q30" s="3711"/>
      <c r="R30" s="3715"/>
    </row>
    <row r="31" spans="1:19" x14ac:dyDescent="0.25">
      <c r="A31" s="4352"/>
      <c r="B31" s="3995">
        <v>16</v>
      </c>
      <c r="C31" s="3973" t="s">
        <v>4015</v>
      </c>
      <c r="D31" s="2497" t="s">
        <v>4016</v>
      </c>
      <c r="E31" s="3963" t="s">
        <v>4017</v>
      </c>
      <c r="F31" s="3964" t="s">
        <v>4018</v>
      </c>
      <c r="G31" s="4002">
        <v>106208954</v>
      </c>
      <c r="H31" s="3966">
        <v>77</v>
      </c>
      <c r="I31" s="3702">
        <v>0.8</v>
      </c>
      <c r="J31" s="3705">
        <v>0.95</v>
      </c>
      <c r="K31" s="71"/>
      <c r="L31" s="3703">
        <f t="shared" ref="L31:L34" si="3">H31/I31</f>
        <v>96.25</v>
      </c>
      <c r="M31" s="3703">
        <f t="shared" ref="M31:M34" si="4">H31/J31</f>
        <v>81.05263157894737</v>
      </c>
      <c r="N31" s="3706">
        <v>1</v>
      </c>
      <c r="O31" s="2898"/>
      <c r="P31" s="3704"/>
      <c r="Q31" s="3711"/>
      <c r="R31" s="3715"/>
    </row>
    <row r="32" spans="1:19" x14ac:dyDescent="0.25">
      <c r="A32" s="4352"/>
      <c r="B32" s="3995">
        <v>17</v>
      </c>
      <c r="C32" s="3973" t="s">
        <v>4019</v>
      </c>
      <c r="D32" s="2497" t="s">
        <v>4020</v>
      </c>
      <c r="E32" s="3963" t="s">
        <v>4021</v>
      </c>
      <c r="F32" s="3964" t="s">
        <v>4022</v>
      </c>
      <c r="G32" s="4002">
        <v>106208955</v>
      </c>
      <c r="H32" s="3966">
        <v>77</v>
      </c>
      <c r="I32" s="3702">
        <v>0.8</v>
      </c>
      <c r="J32" s="3705">
        <v>0.95</v>
      </c>
      <c r="K32" s="71"/>
      <c r="L32" s="3703">
        <f t="shared" si="3"/>
        <v>96.25</v>
      </c>
      <c r="M32" s="3703">
        <f t="shared" si="4"/>
        <v>81.05263157894737</v>
      </c>
      <c r="N32" s="3706">
        <v>1</v>
      </c>
      <c r="O32" s="2898"/>
      <c r="P32" s="3704"/>
      <c r="Q32" s="3711"/>
      <c r="R32" s="3715"/>
    </row>
    <row r="33" spans="1:18" x14ac:dyDescent="0.25">
      <c r="A33" s="4352"/>
      <c r="B33" s="3995">
        <v>18</v>
      </c>
      <c r="C33" s="3973" t="s">
        <v>4023</v>
      </c>
      <c r="D33" s="2497" t="s">
        <v>4024</v>
      </c>
      <c r="E33" s="3963" t="s">
        <v>4025</v>
      </c>
      <c r="F33" s="3964" t="s">
        <v>4026</v>
      </c>
      <c r="G33" s="4002">
        <v>106209071</v>
      </c>
      <c r="H33" s="3966">
        <v>105</v>
      </c>
      <c r="I33" s="3702">
        <v>0.8</v>
      </c>
      <c r="J33" s="3705">
        <v>0.95</v>
      </c>
      <c r="K33" s="71"/>
      <c r="L33" s="3703">
        <f t="shared" si="3"/>
        <v>131.25</v>
      </c>
      <c r="M33" s="3703">
        <f t="shared" si="4"/>
        <v>110.52631578947368</v>
      </c>
      <c r="N33" s="3706">
        <v>1</v>
      </c>
      <c r="O33" s="2898"/>
      <c r="P33" s="3704"/>
      <c r="Q33" s="3711"/>
      <c r="R33" s="3715"/>
    </row>
    <row r="34" spans="1:18" x14ac:dyDescent="0.25">
      <c r="A34" s="4352"/>
      <c r="B34" s="3995">
        <v>19</v>
      </c>
      <c r="C34" s="3973" t="s">
        <v>4027</v>
      </c>
      <c r="D34" s="2497" t="s">
        <v>4028</v>
      </c>
      <c r="E34" s="3963" t="s">
        <v>4029</v>
      </c>
      <c r="F34" s="3964" t="s">
        <v>4030</v>
      </c>
      <c r="G34" s="4002">
        <v>106209184</v>
      </c>
      <c r="H34" s="3966">
        <v>105</v>
      </c>
      <c r="I34" s="3702">
        <v>0.8</v>
      </c>
      <c r="J34" s="3705">
        <v>0.95</v>
      </c>
      <c r="K34" s="71"/>
      <c r="L34" s="3703">
        <f t="shared" si="3"/>
        <v>131.25</v>
      </c>
      <c r="M34" s="3703">
        <f t="shared" si="4"/>
        <v>110.52631578947368</v>
      </c>
      <c r="N34" s="3706">
        <v>1</v>
      </c>
      <c r="O34" s="2898"/>
      <c r="P34" s="3704"/>
      <c r="Q34" s="3711"/>
      <c r="R34" s="3715"/>
    </row>
    <row r="35" spans="1:18" x14ac:dyDescent="0.25">
      <c r="A35" s="4352"/>
      <c r="B35" s="3995">
        <v>20</v>
      </c>
      <c r="C35" s="3973" t="s">
        <v>4031</v>
      </c>
      <c r="D35" s="2497" t="s">
        <v>4032</v>
      </c>
      <c r="E35" s="3963" t="s">
        <v>4033</v>
      </c>
      <c r="F35" s="3964" t="s">
        <v>4034</v>
      </c>
      <c r="G35" s="4002">
        <v>106208942</v>
      </c>
      <c r="H35" s="3966"/>
      <c r="I35" s="3702"/>
      <c r="J35" s="3705"/>
      <c r="K35" s="71"/>
      <c r="L35" s="3703"/>
      <c r="M35" s="3703"/>
      <c r="N35" s="3706"/>
      <c r="O35" s="2898"/>
      <c r="P35" s="3704"/>
      <c r="Q35" s="3711"/>
      <c r="R35" s="3715"/>
    </row>
    <row r="36" spans="1:18" x14ac:dyDescent="0.25">
      <c r="A36" s="4352"/>
      <c r="B36" s="3995">
        <v>21</v>
      </c>
      <c r="C36" s="3973" t="s">
        <v>4035</v>
      </c>
      <c r="D36" s="2497" t="s">
        <v>4036</v>
      </c>
      <c r="E36" s="3963" t="s">
        <v>4037</v>
      </c>
      <c r="F36" s="3964" t="s">
        <v>4038</v>
      </c>
      <c r="G36" s="4002">
        <v>106208943</v>
      </c>
      <c r="H36" s="3966"/>
      <c r="I36" s="3702"/>
      <c r="J36" s="3705"/>
      <c r="K36" s="71"/>
      <c r="L36" s="3703"/>
      <c r="M36" s="3703"/>
      <c r="N36" s="3706"/>
      <c r="O36" s="2898"/>
      <c r="P36" s="3704"/>
      <c r="Q36" s="3711"/>
      <c r="R36" s="3715"/>
    </row>
    <row r="37" spans="1:18" x14ac:dyDescent="0.25">
      <c r="A37" s="4352"/>
      <c r="B37" s="3995">
        <v>22</v>
      </c>
      <c r="C37" s="3973" t="s">
        <v>4039</v>
      </c>
      <c r="D37" s="2497" t="s">
        <v>4040</v>
      </c>
      <c r="E37" s="3963" t="s">
        <v>4041</v>
      </c>
      <c r="F37" s="3964" t="s">
        <v>4042</v>
      </c>
      <c r="G37" s="4002">
        <v>106208948</v>
      </c>
      <c r="H37" s="3966"/>
      <c r="I37" s="3702"/>
      <c r="J37" s="3705"/>
      <c r="K37" s="71"/>
      <c r="L37" s="3703"/>
      <c r="M37" s="3703"/>
      <c r="N37" s="3706"/>
      <c r="O37" s="2898"/>
      <c r="P37" s="3704"/>
      <c r="Q37" s="3711"/>
      <c r="R37" s="3715"/>
    </row>
    <row r="38" spans="1:18" x14ac:dyDescent="0.25">
      <c r="A38" s="4352"/>
      <c r="B38" s="3995">
        <v>23</v>
      </c>
      <c r="C38" s="3973" t="s">
        <v>4043</v>
      </c>
      <c r="D38" s="2497" t="s">
        <v>4044</v>
      </c>
      <c r="E38" s="3963" t="s">
        <v>4045</v>
      </c>
      <c r="F38" s="3964" t="s">
        <v>4046</v>
      </c>
      <c r="G38" s="4002">
        <v>106209053</v>
      </c>
      <c r="H38" s="3966"/>
      <c r="I38" s="3702"/>
      <c r="J38" s="3705"/>
      <c r="K38" s="71"/>
      <c r="L38" s="3703"/>
      <c r="M38" s="3703"/>
      <c r="N38" s="3706"/>
      <c r="O38" s="2898"/>
      <c r="P38" s="3704"/>
      <c r="Q38" s="3711"/>
      <c r="R38" s="3715"/>
    </row>
    <row r="39" spans="1:18" x14ac:dyDescent="0.25">
      <c r="A39" s="4352"/>
      <c r="B39" s="3995">
        <v>24</v>
      </c>
      <c r="C39" s="3973" t="s">
        <v>4047</v>
      </c>
      <c r="D39" s="2497" t="s">
        <v>4048</v>
      </c>
      <c r="E39" s="3963" t="s">
        <v>4049</v>
      </c>
      <c r="F39" s="3964" t="s">
        <v>4050</v>
      </c>
      <c r="G39" s="4002">
        <v>106208949</v>
      </c>
      <c r="H39" s="3966"/>
      <c r="I39" s="3702"/>
      <c r="J39" s="3705"/>
      <c r="K39" s="71"/>
      <c r="L39" s="3703"/>
      <c r="M39" s="3703"/>
      <c r="N39" s="3706"/>
      <c r="O39" s="2898"/>
      <c r="P39" s="3704"/>
      <c r="Q39" s="3711"/>
      <c r="R39" s="3715"/>
    </row>
    <row r="40" spans="1:18" x14ac:dyDescent="0.25">
      <c r="A40" s="4352"/>
      <c r="B40" s="3995">
        <v>25</v>
      </c>
      <c r="C40" s="3973" t="s">
        <v>4051</v>
      </c>
      <c r="D40" s="2497" t="s">
        <v>4052</v>
      </c>
      <c r="E40" s="3963" t="s">
        <v>4053</v>
      </c>
      <c r="F40" s="3964" t="s">
        <v>4054</v>
      </c>
      <c r="G40" s="4002">
        <v>106208950</v>
      </c>
      <c r="H40" s="3966"/>
      <c r="I40" s="3702"/>
      <c r="J40" s="3705"/>
      <c r="K40" s="71"/>
      <c r="L40" s="3703"/>
      <c r="M40" s="3703"/>
      <c r="N40" s="3706"/>
      <c r="O40" s="2898"/>
      <c r="P40" s="3704"/>
      <c r="Q40" s="3711"/>
      <c r="R40" s="3715"/>
    </row>
    <row r="41" spans="1:18" x14ac:dyDescent="0.25">
      <c r="A41" s="4352"/>
      <c r="B41" s="3995">
        <v>26</v>
      </c>
      <c r="C41" s="3973" t="s">
        <v>4055</v>
      </c>
      <c r="D41" s="2497" t="s">
        <v>4056</v>
      </c>
      <c r="E41" s="3963" t="s">
        <v>4057</v>
      </c>
      <c r="F41" s="3964" t="s">
        <v>4058</v>
      </c>
      <c r="G41" s="4002">
        <v>106208951</v>
      </c>
      <c r="H41" s="3966"/>
      <c r="I41" s="3702"/>
      <c r="J41" s="3705"/>
      <c r="K41" s="71"/>
      <c r="L41" s="3703"/>
      <c r="M41" s="3703"/>
      <c r="N41" s="3706"/>
      <c r="O41" s="2898"/>
      <c r="P41" s="3704"/>
      <c r="Q41" s="3711"/>
      <c r="R41" s="3715"/>
    </row>
    <row r="42" spans="1:18" x14ac:dyDescent="0.25">
      <c r="A42" s="4352"/>
      <c r="B42" s="3995">
        <v>27</v>
      </c>
      <c r="C42" s="3973" t="s">
        <v>4059</v>
      </c>
      <c r="D42" s="2497" t="s">
        <v>4060</v>
      </c>
      <c r="E42" s="3963" t="s">
        <v>4061</v>
      </c>
      <c r="F42" s="3964" t="s">
        <v>4062</v>
      </c>
      <c r="G42" s="4002">
        <v>106208952</v>
      </c>
      <c r="H42" s="3966"/>
      <c r="I42" s="3702"/>
      <c r="J42" s="3705"/>
      <c r="K42" s="71"/>
      <c r="L42" s="3703"/>
      <c r="M42" s="3703"/>
      <c r="N42" s="3706"/>
      <c r="O42" s="2898"/>
      <c r="P42" s="3704"/>
      <c r="Q42" s="3711"/>
      <c r="R42" s="3715"/>
    </row>
    <row r="43" spans="1:18" x14ac:dyDescent="0.25">
      <c r="A43" s="4352"/>
      <c r="B43" s="3995">
        <v>28</v>
      </c>
      <c r="C43" s="3973" t="s">
        <v>4063</v>
      </c>
      <c r="D43" s="2497" t="s">
        <v>4064</v>
      </c>
      <c r="E43" s="3963" t="s">
        <v>4065</v>
      </c>
      <c r="F43" s="3964" t="s">
        <v>4066</v>
      </c>
      <c r="G43" s="4002">
        <v>106208953</v>
      </c>
      <c r="H43" s="3966"/>
      <c r="I43" s="3702"/>
      <c r="J43" s="3705"/>
      <c r="K43" s="71"/>
      <c r="L43" s="3703"/>
      <c r="M43" s="3703"/>
      <c r="N43" s="3706"/>
      <c r="O43" s="2898"/>
      <c r="P43" s="3704"/>
      <c r="Q43" s="3711"/>
      <c r="R43" s="3715"/>
    </row>
    <row r="44" spans="1:18" x14ac:dyDescent="0.25">
      <c r="A44" s="4352"/>
      <c r="B44" s="3995">
        <v>29</v>
      </c>
      <c r="C44" s="3973" t="s">
        <v>4067</v>
      </c>
      <c r="D44" s="2497" t="s">
        <v>4068</v>
      </c>
      <c r="E44" s="3963" t="s">
        <v>4069</v>
      </c>
      <c r="F44" s="3964" t="s">
        <v>4070</v>
      </c>
      <c r="G44" s="4002">
        <v>106209231</v>
      </c>
      <c r="H44" s="3966"/>
      <c r="I44" s="3702"/>
      <c r="J44" s="3705"/>
      <c r="K44" s="71"/>
      <c r="L44" s="3703"/>
      <c r="M44" s="3703"/>
      <c r="N44" s="3706"/>
      <c r="O44" s="2898"/>
      <c r="P44" s="3704"/>
      <c r="Q44" s="3711"/>
      <c r="R44" s="3715"/>
    </row>
    <row r="45" spans="1:18" x14ac:dyDescent="0.25">
      <c r="A45" s="4352"/>
      <c r="B45" s="3995">
        <v>30</v>
      </c>
      <c r="C45" s="3973" t="s">
        <v>4071</v>
      </c>
      <c r="D45" s="2497" t="s">
        <v>4072</v>
      </c>
      <c r="E45" s="3963" t="s">
        <v>4073</v>
      </c>
      <c r="F45" s="3964" t="s">
        <v>4074</v>
      </c>
      <c r="G45" s="4002">
        <v>106208973</v>
      </c>
      <c r="H45" s="3966"/>
      <c r="I45" s="3702"/>
      <c r="J45" s="3705"/>
      <c r="K45" s="71"/>
      <c r="L45" s="3703"/>
      <c r="M45" s="3703"/>
      <c r="N45" s="3706"/>
      <c r="O45" s="2898"/>
      <c r="P45" s="3704"/>
      <c r="Q45" s="3711"/>
      <c r="R45" s="3715"/>
    </row>
    <row r="46" spans="1:18" x14ac:dyDescent="0.25">
      <c r="A46" s="4352"/>
      <c r="B46" s="3995">
        <v>31</v>
      </c>
      <c r="C46" s="3973" t="s">
        <v>4075</v>
      </c>
      <c r="D46" s="2497" t="s">
        <v>4076</v>
      </c>
      <c r="E46" s="3963" t="s">
        <v>4077</v>
      </c>
      <c r="F46" s="3964" t="s">
        <v>4078</v>
      </c>
      <c r="G46" s="4002">
        <v>106208974</v>
      </c>
      <c r="H46" s="3966"/>
      <c r="I46" s="3702"/>
      <c r="J46" s="3705"/>
      <c r="K46" s="71"/>
      <c r="L46" s="3703"/>
      <c r="M46" s="3703"/>
      <c r="N46" s="3706"/>
      <c r="O46" s="2898"/>
      <c r="P46" s="3704"/>
      <c r="Q46" s="3711"/>
      <c r="R46" s="3715"/>
    </row>
    <row r="47" spans="1:18" x14ac:dyDescent="0.25">
      <c r="A47" s="4352"/>
      <c r="B47" s="3995">
        <v>32</v>
      </c>
      <c r="C47" s="3973" t="s">
        <v>4079</v>
      </c>
      <c r="D47" s="2497" t="s">
        <v>4080</v>
      </c>
      <c r="E47" s="3963" t="s">
        <v>4081</v>
      </c>
      <c r="F47" s="3964" t="s">
        <v>4082</v>
      </c>
      <c r="G47" s="4002">
        <v>106208975</v>
      </c>
      <c r="H47" s="3966"/>
      <c r="I47" s="3702"/>
      <c r="J47" s="3705"/>
      <c r="K47" s="71"/>
      <c r="L47" s="3703"/>
      <c r="M47" s="3703"/>
      <c r="N47" s="3706"/>
      <c r="O47" s="2898"/>
      <c r="P47" s="3704"/>
      <c r="Q47" s="3711"/>
      <c r="R47" s="3715"/>
    </row>
    <row r="48" spans="1:18" x14ac:dyDescent="0.25">
      <c r="A48" s="4352"/>
      <c r="B48" s="3995">
        <v>33</v>
      </c>
      <c r="C48" s="3973" t="s">
        <v>4083</v>
      </c>
      <c r="D48" s="2497" t="s">
        <v>4084</v>
      </c>
      <c r="E48" s="3963" t="s">
        <v>4085</v>
      </c>
      <c r="F48" s="3964" t="s">
        <v>4086</v>
      </c>
      <c r="G48" s="4002">
        <v>106208971</v>
      </c>
      <c r="H48" s="3966"/>
      <c r="I48" s="3702"/>
      <c r="J48" s="3705"/>
      <c r="K48" s="71"/>
      <c r="L48" s="3703"/>
      <c r="M48" s="3703"/>
      <c r="N48" s="3706"/>
      <c r="O48" s="2898"/>
      <c r="P48" s="3704"/>
      <c r="Q48" s="3711"/>
      <c r="R48" s="3715"/>
    </row>
    <row r="49" spans="1:22" x14ac:dyDescent="0.25">
      <c r="A49" s="4352"/>
      <c r="B49" s="3995">
        <v>34</v>
      </c>
      <c r="C49" s="3973" t="s">
        <v>4087</v>
      </c>
      <c r="D49" s="2497" t="s">
        <v>4088</v>
      </c>
      <c r="E49" s="3963" t="s">
        <v>4089</v>
      </c>
      <c r="F49" s="3964" t="s">
        <v>4090</v>
      </c>
      <c r="G49" s="4002">
        <v>106209232</v>
      </c>
      <c r="H49" s="3966"/>
      <c r="I49" s="3702"/>
      <c r="J49" s="3705"/>
      <c r="K49" s="71"/>
      <c r="L49" s="3703"/>
      <c r="M49" s="3703"/>
      <c r="N49" s="3706"/>
      <c r="O49" s="2898"/>
      <c r="P49" s="3704"/>
      <c r="Q49" s="3711"/>
      <c r="R49" s="3715"/>
    </row>
    <row r="50" spans="1:22" x14ac:dyDescent="0.25">
      <c r="A50" s="4352"/>
      <c r="B50" s="3995">
        <v>35</v>
      </c>
      <c r="C50" s="3973" t="s">
        <v>4091</v>
      </c>
      <c r="D50" s="2497" t="s">
        <v>4092</v>
      </c>
      <c r="E50" s="3963" t="s">
        <v>4093</v>
      </c>
      <c r="F50" s="3964" t="s">
        <v>4094</v>
      </c>
      <c r="G50" s="4002">
        <v>106209185</v>
      </c>
      <c r="H50" s="3966"/>
      <c r="I50" s="3702"/>
      <c r="J50" s="3705"/>
      <c r="K50" s="71"/>
      <c r="L50" s="3703"/>
      <c r="M50" s="3703"/>
      <c r="N50" s="3706"/>
      <c r="O50" s="2898"/>
      <c r="P50" s="3704"/>
      <c r="Q50" s="3711"/>
      <c r="R50" s="3715"/>
    </row>
    <row r="51" spans="1:22" x14ac:dyDescent="0.25">
      <c r="A51" s="4352"/>
      <c r="B51" s="3995">
        <v>36</v>
      </c>
      <c r="C51" s="3973" t="s">
        <v>4095</v>
      </c>
      <c r="D51" s="2497" t="s">
        <v>4096</v>
      </c>
      <c r="E51" s="3963" t="s">
        <v>4097</v>
      </c>
      <c r="F51" s="3964" t="s">
        <v>4098</v>
      </c>
      <c r="G51" s="4002">
        <v>106209592</v>
      </c>
      <c r="H51" s="3966"/>
      <c r="I51" s="3702"/>
      <c r="J51" s="3705"/>
      <c r="K51" s="71"/>
      <c r="L51" s="3703"/>
      <c r="M51" s="3703"/>
      <c r="N51" s="3706"/>
      <c r="O51" s="2898"/>
      <c r="P51" s="3704"/>
      <c r="Q51" s="3711"/>
      <c r="R51" s="3715"/>
    </row>
    <row r="52" spans="1:22" x14ac:dyDescent="0.25">
      <c r="A52" s="4352"/>
      <c r="B52" s="3995">
        <v>37</v>
      </c>
      <c r="C52" s="3973" t="s">
        <v>4099</v>
      </c>
      <c r="D52" s="2497" t="s">
        <v>4100</v>
      </c>
      <c r="E52" s="3963" t="s">
        <v>4101</v>
      </c>
      <c r="F52" s="3964" t="s">
        <v>4102</v>
      </c>
      <c r="G52" s="4002">
        <v>106209570</v>
      </c>
      <c r="H52" s="3966"/>
      <c r="I52" s="3702"/>
      <c r="J52" s="3705"/>
      <c r="K52" s="71"/>
      <c r="L52" s="3703"/>
      <c r="M52" s="3703"/>
      <c r="N52" s="3706"/>
      <c r="O52" s="2898"/>
      <c r="P52" s="3704"/>
      <c r="Q52" s="3711"/>
      <c r="R52" s="3715"/>
    </row>
    <row r="53" spans="1:22" x14ac:dyDescent="0.25">
      <c r="A53" s="4352"/>
      <c r="B53" s="3962">
        <v>38</v>
      </c>
      <c r="C53" s="3996" t="s">
        <v>4103</v>
      </c>
      <c r="D53" s="4003" t="s">
        <v>4104</v>
      </c>
      <c r="E53" s="4004" t="s">
        <v>4105</v>
      </c>
      <c r="F53" s="4005" t="s">
        <v>4106</v>
      </c>
      <c r="G53" s="4006" t="s">
        <v>4107</v>
      </c>
      <c r="H53" s="3966"/>
      <c r="I53" s="3702"/>
      <c r="J53" s="3705"/>
      <c r="K53" s="71"/>
      <c r="L53" s="3703"/>
      <c r="M53" s="3703"/>
      <c r="N53" s="3706"/>
      <c r="O53" s="2898"/>
      <c r="P53" s="3704"/>
      <c r="Q53" s="3711"/>
      <c r="R53" s="3715"/>
    </row>
    <row r="54" spans="1:22" x14ac:dyDescent="0.25">
      <c r="A54" s="4352"/>
      <c r="B54" s="3962">
        <v>39</v>
      </c>
      <c r="C54" s="3996" t="s">
        <v>4108</v>
      </c>
      <c r="D54" s="4003" t="s">
        <v>4104</v>
      </c>
      <c r="E54" s="4004" t="s">
        <v>4105</v>
      </c>
      <c r="F54" s="4005" t="s">
        <v>4109</v>
      </c>
      <c r="G54" s="4006" t="s">
        <v>4107</v>
      </c>
      <c r="H54" s="3966"/>
      <c r="I54" s="3702"/>
      <c r="J54" s="3705"/>
      <c r="K54" s="71"/>
      <c r="L54" s="3703"/>
      <c r="M54" s="3703"/>
      <c r="N54" s="3706"/>
      <c r="O54" s="2898"/>
      <c r="P54" s="3704"/>
      <c r="Q54" s="3711"/>
      <c r="R54" s="3715"/>
    </row>
    <row r="55" spans="1:22" x14ac:dyDescent="0.25">
      <c r="A55" s="4352"/>
      <c r="B55" s="3995">
        <v>40</v>
      </c>
      <c r="C55" s="3973" t="s">
        <v>4110</v>
      </c>
      <c r="D55" s="2497" t="s">
        <v>4111</v>
      </c>
      <c r="E55" s="3963" t="s">
        <v>4112</v>
      </c>
      <c r="F55" s="3964" t="s">
        <v>4113</v>
      </c>
      <c r="G55" s="4002">
        <v>106209591</v>
      </c>
      <c r="H55" s="3966"/>
      <c r="I55" s="3702"/>
      <c r="J55" s="3705"/>
      <c r="K55" s="71"/>
      <c r="L55" s="3703"/>
      <c r="M55" s="3703"/>
      <c r="N55" s="3706"/>
      <c r="O55" s="2898"/>
      <c r="P55" s="3704"/>
      <c r="Q55" s="3711"/>
      <c r="R55" s="3715"/>
    </row>
    <row r="56" spans="1:22" x14ac:dyDescent="0.25">
      <c r="A56" s="4352"/>
      <c r="B56" s="3962">
        <v>41</v>
      </c>
      <c r="C56" s="3996" t="s">
        <v>4114</v>
      </c>
      <c r="D56" s="4003" t="s">
        <v>4105</v>
      </c>
      <c r="E56" s="4004" t="s">
        <v>4105</v>
      </c>
      <c r="F56" s="4005" t="s">
        <v>4115</v>
      </c>
      <c r="G56" s="4006" t="s">
        <v>4107</v>
      </c>
      <c r="H56" s="3966"/>
      <c r="I56" s="3702"/>
      <c r="J56" s="3705"/>
      <c r="K56" s="71"/>
      <c r="L56" s="3703"/>
      <c r="M56" s="3703"/>
      <c r="N56" s="3706"/>
      <c r="O56" s="2898"/>
      <c r="P56" s="3704"/>
      <c r="Q56" s="3711"/>
      <c r="R56" s="3715"/>
    </row>
    <row r="57" spans="1:22" x14ac:dyDescent="0.25">
      <c r="A57" s="4352"/>
      <c r="B57" s="3962">
        <v>42</v>
      </c>
      <c r="C57" s="3973" t="s">
        <v>4116</v>
      </c>
      <c r="D57" s="2497" t="s">
        <v>4117</v>
      </c>
      <c r="E57" s="3963" t="s">
        <v>4118</v>
      </c>
      <c r="F57" s="3964" t="s">
        <v>4119</v>
      </c>
      <c r="G57" s="4002">
        <v>106209593</v>
      </c>
      <c r="H57" s="3966"/>
      <c r="I57" s="3702"/>
      <c r="J57" s="3705"/>
      <c r="K57" s="71"/>
      <c r="L57" s="3703"/>
      <c r="M57" s="3703"/>
      <c r="N57" s="3706"/>
      <c r="O57" s="2898"/>
      <c r="P57" s="3704"/>
      <c r="Q57" s="3711"/>
      <c r="R57" s="3715"/>
    </row>
    <row r="58" spans="1:22" ht="15.75" thickBot="1" x14ac:dyDescent="0.3">
      <c r="A58" s="4352"/>
      <c r="B58" s="4007">
        <v>49</v>
      </c>
      <c r="C58" s="4008"/>
      <c r="D58" s="3948" t="s">
        <v>3485</v>
      </c>
      <c r="E58" s="4009" t="s">
        <v>3566</v>
      </c>
      <c r="F58" s="4010" t="s">
        <v>3450</v>
      </c>
      <c r="G58" s="4011"/>
      <c r="H58" s="4012"/>
      <c r="I58" s="3707">
        <v>0.4</v>
      </c>
      <c r="J58" s="3708">
        <v>0.6</v>
      </c>
      <c r="K58" s="71"/>
      <c r="L58" s="3703">
        <f t="shared" si="1"/>
        <v>0</v>
      </c>
      <c r="M58" s="3703">
        <f t="shared" si="2"/>
        <v>0</v>
      </c>
      <c r="N58" s="3706">
        <v>1</v>
      </c>
      <c r="O58" s="3705">
        <v>1</v>
      </c>
      <c r="P58" s="3706">
        <f>ROUNDUP(O58*$P$2/4,0)</f>
        <v>18</v>
      </c>
      <c r="Q58" s="3711">
        <f t="shared" ref="Q58:R61" si="5">$P58*L58</f>
        <v>0</v>
      </c>
      <c r="R58" s="3715">
        <f t="shared" si="5"/>
        <v>0</v>
      </c>
    </row>
    <row r="59" spans="1:22" x14ac:dyDescent="0.25">
      <c r="A59" s="4338" t="s">
        <v>3586</v>
      </c>
      <c r="B59" s="3956"/>
      <c r="C59" s="4013" t="s">
        <v>4120</v>
      </c>
      <c r="D59" s="2720" t="s">
        <v>4121</v>
      </c>
      <c r="E59" s="3957" t="s">
        <v>4122</v>
      </c>
      <c r="F59" s="3959" t="s">
        <v>4123</v>
      </c>
      <c r="G59" s="3960">
        <v>106209221</v>
      </c>
      <c r="H59" s="3961"/>
      <c r="I59" s="3707"/>
      <c r="J59" s="3708"/>
      <c r="K59" s="71"/>
      <c r="L59" s="3703"/>
      <c r="M59" s="3703"/>
      <c r="N59" s="3706"/>
      <c r="O59" s="3705"/>
      <c r="P59" s="3706"/>
      <c r="Q59" s="3711"/>
      <c r="R59" s="3715"/>
    </row>
    <row r="60" spans="1:22" ht="15.75" thickBot="1" x14ac:dyDescent="0.3">
      <c r="A60" s="4339"/>
      <c r="B60" s="3967"/>
      <c r="C60" s="4014" t="s">
        <v>3350</v>
      </c>
      <c r="D60" s="2498" t="s">
        <v>3352</v>
      </c>
      <c r="E60" s="3985" t="s">
        <v>3353</v>
      </c>
      <c r="F60" s="3986" t="s">
        <v>3351</v>
      </c>
      <c r="G60" s="3987">
        <v>106206886</v>
      </c>
      <c r="H60" s="3972"/>
      <c r="I60" s="3707">
        <v>0.4</v>
      </c>
      <c r="J60" s="3708">
        <v>0.6</v>
      </c>
      <c r="K60" s="71">
        <v>42.277777777777771</v>
      </c>
      <c r="L60" s="3703">
        <v>95</v>
      </c>
      <c r="M60" s="3703">
        <v>63.333333333333336</v>
      </c>
      <c r="N60" s="3706">
        <v>1</v>
      </c>
      <c r="O60" s="3705">
        <v>1</v>
      </c>
      <c r="P60" s="3706">
        <f>IF(ROUNDDOWN($P$2/4,0)&lt;N60,N60,ROUNDDOWN($P$2/4,0))</f>
        <v>17</v>
      </c>
      <c r="Q60" s="3711">
        <f t="shared" si="5"/>
        <v>1615</v>
      </c>
      <c r="R60" s="3715">
        <f t="shared" si="5"/>
        <v>1076.6666666666667</v>
      </c>
      <c r="T60" s="1383">
        <f t="shared" ref="T60" si="6">N60*I60</f>
        <v>0.4</v>
      </c>
      <c r="V60" s="1383" t="s">
        <v>3502</v>
      </c>
    </row>
    <row r="61" spans="1:22" ht="15.75" thickBot="1" x14ac:dyDescent="0.3">
      <c r="A61" s="4015"/>
      <c r="B61" s="4016"/>
      <c r="C61" s="4017"/>
      <c r="D61" s="3843" t="s">
        <v>1985</v>
      </c>
      <c r="E61" s="4018" t="s">
        <v>1468</v>
      </c>
      <c r="F61" s="4019" t="s">
        <v>3299</v>
      </c>
      <c r="G61" s="4020">
        <v>106205336</v>
      </c>
      <c r="H61" s="4021"/>
      <c r="I61" s="3707">
        <v>0.8</v>
      </c>
      <c r="J61" s="3708">
        <v>0.95</v>
      </c>
      <c r="K61" s="71">
        <v>11.755555555555555</v>
      </c>
      <c r="L61" s="3703">
        <v>14.7</v>
      </c>
      <c r="M61" s="3703">
        <v>12.378947368421054</v>
      </c>
      <c r="N61" s="3706">
        <v>1</v>
      </c>
      <c r="O61" s="3705">
        <v>1</v>
      </c>
      <c r="P61" s="3706">
        <f>IF(ROUNDDOWN($P$2/10,0)&lt;N61,N61,ROUNDDOWN($P$2/10,0))</f>
        <v>7</v>
      </c>
      <c r="Q61" s="3711">
        <f t="shared" si="5"/>
        <v>102.89999999999999</v>
      </c>
      <c r="R61" s="3715">
        <f t="shared" si="5"/>
        <v>86.652631578947378</v>
      </c>
    </row>
    <row r="62" spans="1:22" ht="15.75" thickBot="1" x14ac:dyDescent="0.3">
      <c r="A62" s="3662"/>
      <c r="D62" s="3753" t="s">
        <v>3793</v>
      </c>
      <c r="H62" s="1383"/>
      <c r="I62" s="2633"/>
      <c r="P62" s="3138" t="s">
        <v>941</v>
      </c>
      <c r="Q62" s="3139">
        <f>SUM(Q4:Q61)</f>
        <v>55128.316666666666</v>
      </c>
      <c r="R62" s="3717">
        <f>SUM(R4:R61)</f>
        <v>38925.599999999999</v>
      </c>
    </row>
    <row r="63" spans="1:22" x14ac:dyDescent="0.25">
      <c r="A63" s="3662"/>
      <c r="D63" s="2857"/>
      <c r="H63" s="1383"/>
      <c r="I63" s="2633"/>
      <c r="Q63" s="1383"/>
      <c r="R63" s="2633"/>
    </row>
    <row r="64" spans="1:22" x14ac:dyDescent="0.25">
      <c r="A64" s="3662"/>
      <c r="D64" s="2857"/>
      <c r="H64" s="1383"/>
      <c r="I64" s="2633"/>
      <c r="Q64" s="1383"/>
      <c r="R64" s="2633"/>
    </row>
    <row r="65" spans="1:1" x14ac:dyDescent="0.25">
      <c r="A65" s="144"/>
    </row>
  </sheetData>
  <mergeCells count="7">
    <mergeCell ref="A59:A60"/>
    <mergeCell ref="A3:C3"/>
    <mergeCell ref="D3:E3"/>
    <mergeCell ref="A4:A6"/>
    <mergeCell ref="A7:A12"/>
    <mergeCell ref="A13:A28"/>
    <mergeCell ref="A29:A58"/>
  </mergeCells>
  <pageMargins left="0.7" right="0.7" top="0.75" bottom="0.75" header="0.3" footer="0.3"/>
  <pageSetup paperSize="9"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C259"/>
  <sheetViews>
    <sheetView topLeftCell="A72" zoomScale="80" zoomScaleNormal="80" workbookViewId="0">
      <selection activeCell="I77" sqref="I77"/>
    </sheetView>
  </sheetViews>
  <sheetFormatPr baseColWidth="10" defaultRowHeight="15" x14ac:dyDescent="0.25"/>
  <cols>
    <col min="1" max="1" width="6.42578125" style="75" customWidth="1"/>
    <col min="2" max="2" width="5.85546875" style="75" customWidth="1"/>
    <col min="3" max="3" width="5.140625" style="11" customWidth="1"/>
    <col min="4" max="4" width="15.5703125" style="11" customWidth="1"/>
    <col min="5" max="5" width="13.85546875" style="11" bestFit="1" customWidth="1"/>
    <col min="6" max="6" width="49.5703125" style="411" customWidth="1"/>
    <col min="7" max="7" width="51" style="11" customWidth="1"/>
    <col min="8" max="8" width="18.28515625" style="11" customWidth="1"/>
    <col min="9" max="9" width="12" style="11" customWidth="1"/>
    <col min="10" max="10" width="12.28515625" style="1383" customWidth="1"/>
    <col min="11" max="11" width="11.28515625" style="1383" customWidth="1"/>
    <col min="12" max="12" width="8.42578125" style="981" customWidth="1"/>
    <col min="13" max="13" width="11" style="2202" customWidth="1"/>
    <col min="14" max="14" width="12.7109375" style="5" customWidth="1"/>
    <col min="15" max="15" width="8.85546875" style="2216" customWidth="1"/>
    <col min="16" max="16" width="15.85546875" style="39" customWidth="1"/>
    <col min="17" max="17" width="16.85546875" style="11" customWidth="1"/>
    <col min="18" max="18" width="14.5703125" style="228" customWidth="1"/>
    <col min="19" max="19" width="16.140625" customWidth="1"/>
    <col min="20" max="20" width="16" customWidth="1"/>
    <col min="21" max="21" width="13.42578125" style="11" customWidth="1"/>
    <col min="22" max="22" width="15.7109375" style="11" bestFit="1" customWidth="1"/>
    <col min="23" max="23" width="14.7109375" style="11" customWidth="1"/>
    <col min="24" max="24" width="16.140625" style="11" customWidth="1"/>
    <col min="25" max="25" width="14.85546875" style="11" customWidth="1"/>
    <col min="26" max="26" width="14.28515625" style="11" customWidth="1"/>
    <col min="27" max="16384" width="11.42578125" style="11"/>
  </cols>
  <sheetData>
    <row r="1" spans="1:23" s="794" customFormat="1" ht="30.75" thickBot="1" x14ac:dyDescent="0.3">
      <c r="A1" s="3460"/>
      <c r="B1" s="3460"/>
      <c r="F1" s="2270"/>
      <c r="L1" s="3203" t="s">
        <v>2949</v>
      </c>
      <c r="M1" s="3203" t="s">
        <v>2940</v>
      </c>
      <c r="N1" s="3204"/>
      <c r="O1" s="3111" t="s">
        <v>255</v>
      </c>
      <c r="P1" s="3202" t="s">
        <v>2994</v>
      </c>
      <c r="Q1" s="3202" t="s">
        <v>2993</v>
      </c>
      <c r="R1" s="3112" t="s">
        <v>2992</v>
      </c>
      <c r="S1" s="2508"/>
      <c r="T1" s="2278"/>
      <c r="U1" s="2278"/>
      <c r="V1" s="3205"/>
      <c r="W1" s="2278"/>
    </row>
    <row r="2" spans="1:23" s="3457" customFormat="1" ht="19.5" thickBot="1" x14ac:dyDescent="0.3">
      <c r="C2" s="4387" t="s">
        <v>3106</v>
      </c>
      <c r="D2" s="4388"/>
      <c r="E2" s="4388"/>
      <c r="F2" s="4388"/>
      <c r="G2" s="4388"/>
      <c r="H2" s="4388"/>
      <c r="I2" s="4388"/>
      <c r="J2" s="4389"/>
      <c r="L2" s="3109" t="s">
        <v>2947</v>
      </c>
      <c r="M2" s="3206" t="s">
        <v>2944</v>
      </c>
      <c r="N2" s="3206"/>
      <c r="O2" s="3109" t="s">
        <v>255</v>
      </c>
      <c r="P2" s="3110">
        <v>4</v>
      </c>
      <c r="Q2" s="3110">
        <v>50</v>
      </c>
      <c r="R2" s="3109" t="s">
        <v>2948</v>
      </c>
      <c r="S2" s="3020"/>
      <c r="T2" s="1764"/>
      <c r="U2" s="3017"/>
    </row>
    <row r="3" spans="1:23" s="3458" customFormat="1" ht="33" customHeight="1" thickBot="1" x14ac:dyDescent="0.3">
      <c r="C3" s="3198"/>
      <c r="D3" s="3199" t="s">
        <v>526</v>
      </c>
      <c r="E3" s="3200" t="s">
        <v>935</v>
      </c>
      <c r="F3" s="4317" t="s">
        <v>525</v>
      </c>
      <c r="G3" s="4318"/>
      <c r="H3" s="3200" t="s">
        <v>2847</v>
      </c>
      <c r="I3" s="3456" t="s">
        <v>2848</v>
      </c>
      <c r="J3" s="3200" t="s">
        <v>2849</v>
      </c>
      <c r="L3" s="3455" t="s">
        <v>3360</v>
      </c>
      <c r="M3" s="1547" t="s">
        <v>3103</v>
      </c>
      <c r="O3" s="3242" t="s">
        <v>2449</v>
      </c>
      <c r="P3" s="3459" t="s">
        <v>959</v>
      </c>
      <c r="Q3" s="3242" t="s">
        <v>2981</v>
      </c>
      <c r="R3" s="3242" t="s">
        <v>2980</v>
      </c>
      <c r="S3" s="1750"/>
      <c r="T3" s="1750"/>
      <c r="U3" s="1750"/>
      <c r="V3" s="1765"/>
      <c r="W3" s="2200"/>
    </row>
    <row r="4" spans="1:23" s="2905" customFormat="1" ht="19.5" customHeight="1" x14ac:dyDescent="0.2">
      <c r="C4" s="4375" t="s">
        <v>2985</v>
      </c>
      <c r="D4" s="2936" t="s">
        <v>91</v>
      </c>
      <c r="E4" s="3157">
        <v>106119611</v>
      </c>
      <c r="F4" s="1411" t="s">
        <v>2547</v>
      </c>
      <c r="G4" s="1397" t="s">
        <v>2548</v>
      </c>
      <c r="H4" s="3158">
        <v>1</v>
      </c>
      <c r="I4" s="2397"/>
      <c r="J4" s="2398" t="s">
        <v>3111</v>
      </c>
      <c r="L4" s="3114">
        <f>'Lista global'!P$272</f>
        <v>121.33749999999999</v>
      </c>
      <c r="M4" s="3114">
        <f>'Lista global'!Q$272</f>
        <v>102.17894736842105</v>
      </c>
      <c r="O4" s="2731">
        <v>2</v>
      </c>
      <c r="P4" s="3124">
        <f t="shared" ref="P4:P11" si="0">H4*$P$2+I4</f>
        <v>4</v>
      </c>
      <c r="Q4" s="3121">
        <f>IF(ROUND(P4*$Q$2/8,0)&lt;O4,O4,ROUND(P4*$Q$2/8,0))</f>
        <v>25</v>
      </c>
      <c r="R4" s="3131">
        <f>L4*Q4</f>
        <v>3033.4375</v>
      </c>
      <c r="S4" s="60"/>
      <c r="T4" s="1766" t="s">
        <v>255</v>
      </c>
      <c r="U4" s="1766" t="s">
        <v>2942</v>
      </c>
      <c r="V4" s="1768"/>
      <c r="W4" s="2201"/>
    </row>
    <row r="5" spans="1:23" s="2905" customFormat="1" ht="19.5" customHeight="1" x14ac:dyDescent="0.2">
      <c r="C5" s="4376"/>
      <c r="D5" s="3160" t="s">
        <v>127</v>
      </c>
      <c r="E5" s="3153">
        <v>106114372</v>
      </c>
      <c r="F5" s="3154" t="s">
        <v>1884</v>
      </c>
      <c r="G5" s="3155" t="s">
        <v>1885</v>
      </c>
      <c r="H5" s="3153"/>
      <c r="I5" s="2731">
        <v>1</v>
      </c>
      <c r="J5" s="2452" t="s">
        <v>3111</v>
      </c>
      <c r="L5" s="2905">
        <f>'Lista global'!P$143</f>
        <v>62.337499999999991</v>
      </c>
      <c r="M5" s="2905">
        <f>'Lista global'!Q$143</f>
        <v>52.494736842105262</v>
      </c>
      <c r="O5" s="2731">
        <v>1</v>
      </c>
      <c r="P5" s="3124">
        <f t="shared" si="0"/>
        <v>1</v>
      </c>
      <c r="Q5" s="3121">
        <f>IF(ROUND(P5*$Q$2/8,0)&lt;O5,O5,ROUND(P5*$Q$2/8,0))</f>
        <v>6</v>
      </c>
      <c r="R5" s="3131">
        <f>L5*Q5</f>
        <v>374.02499999999998</v>
      </c>
      <c r="S5" s="60"/>
      <c r="T5" s="905" t="s">
        <v>2941</v>
      </c>
      <c r="U5" s="1766" t="s">
        <v>2943</v>
      </c>
      <c r="V5" s="1768"/>
      <c r="W5" s="2201"/>
    </row>
    <row r="6" spans="1:23" s="2905" customFormat="1" ht="19.5" customHeight="1" x14ac:dyDescent="0.2">
      <c r="C6" s="4376"/>
      <c r="D6" s="3159" t="s">
        <v>95</v>
      </c>
      <c r="E6" s="2747">
        <v>106202883</v>
      </c>
      <c r="F6" s="2748" t="s">
        <v>1303</v>
      </c>
      <c r="G6" s="2749" t="s">
        <v>1304</v>
      </c>
      <c r="H6" s="3152">
        <v>1</v>
      </c>
      <c r="I6" s="2731"/>
      <c r="J6" s="2452" t="s">
        <v>3111</v>
      </c>
      <c r="L6" s="2905">
        <f>'Lista global'!P$217</f>
        <v>27.474999999999998</v>
      </c>
      <c r="M6" s="2905">
        <f>'Lista global'!Q$217</f>
        <v>23.13684210526316</v>
      </c>
      <c r="O6" s="2731">
        <v>1</v>
      </c>
      <c r="P6" s="3124">
        <f t="shared" si="0"/>
        <v>4</v>
      </c>
      <c r="Q6" s="3121">
        <f>IF(ROUND(P6*$Q$2/8,0)&lt;O6,O6,ROUND(P6*$Q$2/8,0))</f>
        <v>25</v>
      </c>
      <c r="R6" s="3131">
        <f>L6*Q6</f>
        <v>686.875</v>
      </c>
      <c r="S6" s="3018"/>
      <c r="T6" s="905"/>
      <c r="U6" s="1766" t="s">
        <v>2944</v>
      </c>
      <c r="V6" s="1768"/>
      <c r="W6" s="2201"/>
    </row>
    <row r="7" spans="1:23" s="2905" customFormat="1" ht="19.5" customHeight="1" x14ac:dyDescent="0.2">
      <c r="C7" s="4376"/>
      <c r="D7" s="3159" t="s">
        <v>2851</v>
      </c>
      <c r="E7" s="2932">
        <v>106113580</v>
      </c>
      <c r="F7" s="3156" t="s">
        <v>1476</v>
      </c>
      <c r="G7" s="2965" t="s">
        <v>1477</v>
      </c>
      <c r="H7" s="3152">
        <v>1</v>
      </c>
      <c r="I7" s="2731"/>
      <c r="J7" s="2452" t="s">
        <v>3111</v>
      </c>
      <c r="L7" s="2905">
        <f>'Lista global'!P$122</f>
        <v>443.33749999999998</v>
      </c>
      <c r="M7" s="2905">
        <f>'Lista global'!Q$122</f>
        <v>373.3368421052632</v>
      </c>
      <c r="O7" s="2731">
        <v>1</v>
      </c>
      <c r="P7" s="3124">
        <f t="shared" si="0"/>
        <v>4</v>
      </c>
      <c r="Q7" s="3121">
        <f>IF(ROUNDDOWN(($Q$2*P7/4)/10,0)&lt;O7,O7,ROUNDDOWN(($Q$2*P7/4)/10,0))</f>
        <v>5</v>
      </c>
      <c r="R7" s="3131">
        <f>L7*Q7</f>
        <v>2216.6875</v>
      </c>
      <c r="S7" s="60"/>
      <c r="T7" s="679" t="s">
        <v>2947</v>
      </c>
      <c r="U7" s="1766" t="s">
        <v>2945</v>
      </c>
      <c r="V7" s="1768"/>
      <c r="W7" s="2201"/>
    </row>
    <row r="8" spans="1:23" s="3096" customFormat="1" ht="19.5" customHeight="1" thickBot="1" x14ac:dyDescent="0.25">
      <c r="C8" s="4376"/>
      <c r="D8" s="3462" t="s">
        <v>3109</v>
      </c>
      <c r="E8" s="3463">
        <v>106119150</v>
      </c>
      <c r="F8" s="3474" t="s">
        <v>3110</v>
      </c>
      <c r="G8" s="3475" t="s">
        <v>3110</v>
      </c>
      <c r="H8" s="3463">
        <v>1</v>
      </c>
      <c r="I8" s="3289"/>
      <c r="J8" s="3290">
        <v>7</v>
      </c>
      <c r="O8" s="2381">
        <f>IF(O2=T5,1,0)</f>
        <v>0</v>
      </c>
      <c r="P8" s="3124">
        <f>O8*(H8*$P$2+I8)</f>
        <v>0</v>
      </c>
      <c r="Q8" s="3483"/>
      <c r="R8" s="3484"/>
      <c r="S8" s="3097"/>
      <c r="T8" s="905" t="s">
        <v>2948</v>
      </c>
      <c r="U8" s="1766" t="s">
        <v>2946</v>
      </c>
      <c r="V8" s="3099"/>
      <c r="W8" s="3100"/>
    </row>
    <row r="9" spans="1:23" s="3191" customFormat="1" ht="19.5" customHeight="1" thickBot="1" x14ac:dyDescent="0.25">
      <c r="C9" s="4376"/>
      <c r="D9" s="3479" t="s">
        <v>3055</v>
      </c>
      <c r="E9" s="3090">
        <v>106111785</v>
      </c>
      <c r="F9" s="2454" t="s">
        <v>2590</v>
      </c>
      <c r="G9" s="2615" t="s">
        <v>2591</v>
      </c>
      <c r="H9" s="2946"/>
      <c r="I9" s="2499">
        <v>1</v>
      </c>
      <c r="J9" s="2874"/>
      <c r="L9" s="3191">
        <f>'Lista global'!P$99</f>
        <v>29.087499999999999</v>
      </c>
      <c r="M9" s="3191">
        <f>'Lista global'!Q$99</f>
        <v>24.494736842105265</v>
      </c>
      <c r="O9" s="2499">
        <v>1</v>
      </c>
      <c r="P9" s="3193">
        <f t="shared" si="0"/>
        <v>1</v>
      </c>
      <c r="Q9" s="3254">
        <f>IF(ROUNDDOWN(P9*$Q$2/10,0)&lt;O9,O9,ROUNDDOWN(P9*$Q$2/10,0))</f>
        <v>5</v>
      </c>
      <c r="R9" s="3128">
        <f t="shared" ref="R9:R14" si="1">L9*Q9</f>
        <v>145.4375</v>
      </c>
      <c r="S9" s="3021"/>
      <c r="T9" s="1766"/>
      <c r="U9" s="1766"/>
      <c r="V9" s="1768"/>
      <c r="W9" s="3482"/>
    </row>
    <row r="10" spans="1:23" s="3096" customFormat="1" ht="19.5" customHeight="1" x14ac:dyDescent="0.2">
      <c r="C10" s="4365"/>
      <c r="D10" s="4233" t="s">
        <v>2815</v>
      </c>
      <c r="E10" s="2765">
        <v>106205458</v>
      </c>
      <c r="F10" s="2467" t="s">
        <v>3033</v>
      </c>
      <c r="G10" s="2468" t="s">
        <v>3034</v>
      </c>
      <c r="H10" s="3190">
        <v>1</v>
      </c>
      <c r="I10" s="2836"/>
      <c r="J10" s="3151"/>
      <c r="L10" s="3191">
        <f>'Lista global'!P$259</f>
        <v>191.70000000000002</v>
      </c>
      <c r="M10" s="3191">
        <f>'Lista global'!Q$259</f>
        <v>127.80000000000001</v>
      </c>
      <c r="O10" s="3192">
        <v>1</v>
      </c>
      <c r="P10" s="3193">
        <f t="shared" si="0"/>
        <v>4</v>
      </c>
      <c r="Q10" s="3480">
        <f>IF(ROUNDUP(($Q$2*P10/4)/10,0)&lt;O10,O10,ROUNDUP(($Q$2*P10/4)/10,0))</f>
        <v>5</v>
      </c>
      <c r="R10" s="3481">
        <f t="shared" si="1"/>
        <v>958.50000000000011</v>
      </c>
      <c r="S10" s="3097"/>
      <c r="T10" s="3098"/>
      <c r="U10" s="3098"/>
      <c r="V10" s="3099"/>
      <c r="W10" s="3100"/>
    </row>
    <row r="11" spans="1:23" s="2905" customFormat="1" ht="19.5" customHeight="1" thickBot="1" x14ac:dyDescent="0.25">
      <c r="C11" s="4365"/>
      <c r="D11" s="4234"/>
      <c r="E11" s="2946">
        <v>106204234</v>
      </c>
      <c r="F11" s="2999" t="s">
        <v>1608</v>
      </c>
      <c r="G11" s="2959" t="s">
        <v>1609</v>
      </c>
      <c r="H11" s="2946">
        <v>3</v>
      </c>
      <c r="I11" s="2453"/>
      <c r="J11" s="2595" t="s">
        <v>649</v>
      </c>
      <c r="L11" s="2905">
        <f>'Lista global'!P$231</f>
        <v>18.462499999999999</v>
      </c>
      <c r="M11" s="2905">
        <f>'Lista global'!Q$231</f>
        <v>15.547368421052632</v>
      </c>
      <c r="O11" s="2453">
        <v>1</v>
      </c>
      <c r="P11" s="3193">
        <f t="shared" si="0"/>
        <v>12</v>
      </c>
      <c r="Q11" s="3118">
        <f>Q10</f>
        <v>5</v>
      </c>
      <c r="R11" s="3128">
        <f t="shared" si="1"/>
        <v>92.3125</v>
      </c>
      <c r="S11" s="60"/>
      <c r="T11" s="3098"/>
      <c r="U11" s="3098"/>
      <c r="V11" s="1768"/>
      <c r="W11" s="2201"/>
    </row>
    <row r="12" spans="1:23" s="2905" customFormat="1" ht="19.5" customHeight="1" x14ac:dyDescent="0.2">
      <c r="C12" s="4365"/>
      <c r="D12" s="4385" t="s">
        <v>2852</v>
      </c>
      <c r="E12" s="2943">
        <v>106204289</v>
      </c>
      <c r="F12" s="2948" t="s">
        <v>2959</v>
      </c>
      <c r="G12" s="2910" t="s">
        <v>2960</v>
      </c>
      <c r="H12" s="2971">
        <v>1</v>
      </c>
      <c r="I12" s="2981"/>
      <c r="J12" s="2911" t="s">
        <v>2853</v>
      </c>
      <c r="L12" s="2905">
        <f>'Lista global'!P$232</f>
        <v>52.4</v>
      </c>
      <c r="M12" s="2905">
        <f>'Lista global'!Q$232</f>
        <v>34.933333333333337</v>
      </c>
      <c r="O12" s="2981">
        <f>IF(O2=T4,1,0)</f>
        <v>1</v>
      </c>
      <c r="P12" s="3124">
        <f>IF($O$2=$T$4,H12*$P$2+I12,0)</f>
        <v>4</v>
      </c>
      <c r="Q12" s="3119">
        <f>IF(ROUNDUP(($Q$2*P12/4)/10,0)&lt;O12,O12,ROUNDUP(($Q$2*P12/4)/10,0))</f>
        <v>5</v>
      </c>
      <c r="R12" s="3129">
        <f t="shared" si="1"/>
        <v>262</v>
      </c>
      <c r="S12" s="60"/>
      <c r="T12" s="905"/>
      <c r="U12" s="1766"/>
      <c r="V12" s="1768"/>
      <c r="W12" s="2201"/>
    </row>
    <row r="13" spans="1:23" s="2905" customFormat="1" ht="19.5" customHeight="1" thickBot="1" x14ac:dyDescent="0.3">
      <c r="C13" s="4365"/>
      <c r="D13" s="4386"/>
      <c r="E13" s="2944">
        <v>106203799</v>
      </c>
      <c r="F13" s="2949" t="s">
        <v>2957</v>
      </c>
      <c r="G13" s="2844" t="s">
        <v>2958</v>
      </c>
      <c r="H13" s="2972">
        <v>1</v>
      </c>
      <c r="I13" s="2381"/>
      <c r="J13" s="2912">
        <v>7</v>
      </c>
      <c r="L13" s="2905">
        <f>'Lista global'!P$228</f>
        <v>50.075000000000003</v>
      </c>
      <c r="M13" s="2905">
        <f>'Lista global'!Q$228</f>
        <v>33.38333333333334</v>
      </c>
      <c r="O13" s="2381">
        <f>IF(O2=T5,1,0)</f>
        <v>0</v>
      </c>
      <c r="P13" s="3124">
        <f>IF($O$2=$T$5,H13*$P$2+I13,0)</f>
        <v>0</v>
      </c>
      <c r="Q13" s="3115">
        <f>IF(ROUNDUP(($Q$2*P13/4)/10,0)&lt;O13,O13,ROUNDUP(($Q$2*P13/4)/10,0))</f>
        <v>0</v>
      </c>
      <c r="R13" s="3125">
        <f t="shared" si="1"/>
        <v>0</v>
      </c>
      <c r="S13" s="1082"/>
      <c r="T13" s="905"/>
      <c r="U13" s="1766"/>
      <c r="V13" s="1768"/>
      <c r="W13" s="2201"/>
    </row>
    <row r="14" spans="1:23" s="3191" customFormat="1" ht="19.5" customHeight="1" thickBot="1" x14ac:dyDescent="0.25">
      <c r="C14" s="4365"/>
      <c r="D14" s="2841" t="s">
        <v>2489</v>
      </c>
      <c r="E14" s="2761">
        <v>106119667</v>
      </c>
      <c r="F14" s="2752" t="s">
        <v>2592</v>
      </c>
      <c r="G14" s="2743" t="s">
        <v>2593</v>
      </c>
      <c r="H14" s="2840">
        <v>3</v>
      </c>
      <c r="I14" s="3488"/>
      <c r="J14" s="3489" t="s">
        <v>649</v>
      </c>
      <c r="K14" s="3487"/>
      <c r="L14" s="3347">
        <f>'Lista global'!P274</f>
        <v>10.024999999999999</v>
      </c>
      <c r="M14" s="3347">
        <f>'Lista global'!Q274</f>
        <v>8.4421052631578952</v>
      </c>
      <c r="O14" s="2731">
        <v>3</v>
      </c>
      <c r="P14" s="3124">
        <f>IF($O$2=$T$5,H14*$P$2+I14,0)</f>
        <v>0</v>
      </c>
      <c r="Q14" s="3121">
        <f>H14*(Q50+Q51+Q52+Q53+Q54+Q55+Q56+Q57+Q58+Q59)</f>
        <v>18</v>
      </c>
      <c r="R14" s="3131">
        <f t="shared" si="1"/>
        <v>180.45</v>
      </c>
      <c r="S14" s="3485"/>
      <c r="T14" s="270"/>
      <c r="U14" s="270"/>
      <c r="V14" s="2337"/>
      <c r="W14" s="3486"/>
    </row>
    <row r="15" spans="1:23" s="2905" customFormat="1" ht="19.5" customHeight="1" x14ac:dyDescent="0.2">
      <c r="C15" s="4365"/>
      <c r="D15" s="2936" t="s">
        <v>144</v>
      </c>
      <c r="E15" s="2937">
        <v>106112043</v>
      </c>
      <c r="F15" s="2929" t="s">
        <v>2950</v>
      </c>
      <c r="G15" s="2958" t="s">
        <v>2951</v>
      </c>
      <c r="H15" s="2940">
        <v>1</v>
      </c>
      <c r="I15" s="2397"/>
      <c r="J15" s="2398">
        <v>4</v>
      </c>
      <c r="K15" s="3213"/>
      <c r="L15" s="2905">
        <f>'Lista global'!P$303</f>
        <v>233.61249999999998</v>
      </c>
      <c r="M15" s="2905">
        <f>'Lista global'!Q$303</f>
        <v>196.72631578947369</v>
      </c>
      <c r="O15" s="2397">
        <v>1</v>
      </c>
      <c r="P15" s="3124">
        <f>IF($P$2=4,6,IF($P$2=3,5,3))</f>
        <v>6</v>
      </c>
      <c r="Q15" s="3120">
        <f>IF(ROUND(P15*$Q$2/10,0)&lt;O15,O15,ROUND(P15*$Q$2/10,0))</f>
        <v>30</v>
      </c>
      <c r="R15" s="3130">
        <f t="shared" ref="R15:R23" si="2">L15*Q15</f>
        <v>7008.3749999999991</v>
      </c>
      <c r="S15" s="357"/>
      <c r="T15" s="3467"/>
      <c r="U15" s="3467"/>
      <c r="V15" s="1768"/>
      <c r="W15" s="2201"/>
    </row>
    <row r="16" spans="1:23" s="2905" customFormat="1" ht="19.5" customHeight="1" thickBot="1" x14ac:dyDescent="0.25">
      <c r="C16" s="4365"/>
      <c r="D16" s="2992" t="s">
        <v>83</v>
      </c>
      <c r="E16" s="2941">
        <v>106117762</v>
      </c>
      <c r="F16" s="2930" t="s">
        <v>2952</v>
      </c>
      <c r="G16" s="2986" t="s">
        <v>2953</v>
      </c>
      <c r="H16" s="2946">
        <v>1</v>
      </c>
      <c r="I16" s="2453"/>
      <c r="J16" s="2595">
        <v>5</v>
      </c>
      <c r="K16" s="3213"/>
      <c r="L16" s="2905">
        <f>'Lista global'!P$304</f>
        <v>7.0874999999999995</v>
      </c>
      <c r="M16" s="2905">
        <f>'Lista global'!Q$304</f>
        <v>5.9684210526315793</v>
      </c>
      <c r="O16" s="2453">
        <v>1</v>
      </c>
      <c r="P16" s="3124">
        <f>P15</f>
        <v>6</v>
      </c>
      <c r="Q16" s="3118">
        <f>Q15</f>
        <v>30</v>
      </c>
      <c r="R16" s="3128">
        <f t="shared" si="2"/>
        <v>212.62499999999997</v>
      </c>
      <c r="S16" s="3021"/>
      <c r="T16" s="679"/>
      <c r="U16" s="1766"/>
      <c r="V16" s="1768"/>
      <c r="W16" s="2201"/>
    </row>
    <row r="17" spans="3:23" s="3191" customFormat="1" ht="19.5" customHeight="1" x14ac:dyDescent="0.2">
      <c r="C17" s="4365"/>
      <c r="D17" s="2893" t="s">
        <v>341</v>
      </c>
      <c r="E17" s="2755">
        <v>106113993</v>
      </c>
      <c r="F17" s="2493" t="s">
        <v>2315</v>
      </c>
      <c r="G17" s="3357" t="s">
        <v>2316</v>
      </c>
      <c r="H17" s="2889">
        <v>1</v>
      </c>
      <c r="I17" s="2889"/>
      <c r="J17" s="2891"/>
      <c r="K17" s="3487"/>
      <c r="L17" s="3191">
        <f>'Lista global'!P$137</f>
        <v>133.33750000000001</v>
      </c>
      <c r="M17" s="3191">
        <f>'Lista global'!Q$137</f>
        <v>112.2842105263158</v>
      </c>
      <c r="O17" s="2605">
        <v>1</v>
      </c>
      <c r="P17" s="3193">
        <f>H17*$P$2+I17</f>
        <v>4</v>
      </c>
      <c r="Q17" s="3252">
        <f>IF(ROUND(P17*$Q$2/4,0)&lt;O17,O17,ROUND(P17*$Q$2/4,0))</f>
        <v>50</v>
      </c>
      <c r="R17" s="3381">
        <f t="shared" si="2"/>
        <v>6666.875</v>
      </c>
      <c r="S17" s="3021"/>
      <c r="T17" s="939"/>
      <c r="U17" s="1766"/>
      <c r="V17" s="1768"/>
      <c r="W17" s="3482"/>
    </row>
    <row r="18" spans="3:23" s="2905" customFormat="1" ht="19.5" customHeight="1" x14ac:dyDescent="0.2">
      <c r="C18" s="4365"/>
      <c r="D18" s="2998" t="s">
        <v>1070</v>
      </c>
      <c r="E18" s="3558">
        <v>106126857</v>
      </c>
      <c r="F18" s="2724" t="s">
        <v>1896</v>
      </c>
      <c r="G18" s="2749" t="s">
        <v>1511</v>
      </c>
      <c r="H18" s="2934">
        <v>2</v>
      </c>
      <c r="I18" s="2731"/>
      <c r="J18" s="2452" t="s">
        <v>649</v>
      </c>
      <c r="L18" s="2905">
        <f>'Lista global'!P$363</f>
        <v>6.9499999999999993</v>
      </c>
      <c r="M18" s="2905">
        <f>'Lista global'!Q$363</f>
        <v>5.852631578947368</v>
      </c>
      <c r="O18" s="2731">
        <v>5</v>
      </c>
      <c r="P18" s="3124">
        <f>H18*$P$2+I18</f>
        <v>8</v>
      </c>
      <c r="Q18" s="3121">
        <f>IF(2*(Q50+Q51+Q52+Q53+Q54+Q55+Q56+Q57+Q58+Q59)&lt;O18,O18,2*(Q50+Q51+Q52+Q53+Q54+Q55+Q56+Q57+Q58+Q59))</f>
        <v>12</v>
      </c>
      <c r="R18" s="3131">
        <f t="shared" si="2"/>
        <v>83.399999999999991</v>
      </c>
      <c r="S18" s="60"/>
      <c r="T18" s="3098"/>
      <c r="U18" s="3098"/>
      <c r="V18" s="1768"/>
      <c r="W18" s="2201"/>
    </row>
    <row r="19" spans="3:23" s="2905" customFormat="1" ht="19.5" customHeight="1" thickBot="1" x14ac:dyDescent="0.25">
      <c r="C19" s="4365"/>
      <c r="D19" s="3009"/>
      <c r="E19" s="2945" t="s">
        <v>1500</v>
      </c>
      <c r="F19" s="3105" t="s">
        <v>1149</v>
      </c>
      <c r="G19" s="3106" t="s">
        <v>1149</v>
      </c>
      <c r="H19" s="2945">
        <v>1</v>
      </c>
      <c r="I19" s="2404"/>
      <c r="J19" s="2479">
        <v>8</v>
      </c>
      <c r="L19" s="2905">
        <f>'Lista global'!P$262</f>
        <v>318.47499999999997</v>
      </c>
      <c r="M19" s="2905">
        <f>'Lista global'!Q$262</f>
        <v>212.31666666666666</v>
      </c>
      <c r="O19" s="2404">
        <f>IF($L$2=$T$7,1,0)</f>
        <v>1</v>
      </c>
      <c r="P19" s="3124">
        <f>IF($L$2=$T$7,H19*$P$2+I19,0)</f>
        <v>4</v>
      </c>
      <c r="Q19" s="3122">
        <f>IF(ROUNDDOWN(P19*$Q$2/20,0)&lt;O19,O19,ROUNDDOWN(P19*$Q$2/20,0))</f>
        <v>10</v>
      </c>
      <c r="R19" s="3132">
        <f t="shared" si="2"/>
        <v>3184.7499999999995</v>
      </c>
      <c r="S19" s="60"/>
      <c r="T19" s="905"/>
      <c r="U19" s="1766"/>
      <c r="V19" s="1768"/>
      <c r="W19" s="2201"/>
    </row>
    <row r="20" spans="3:23" s="3191" customFormat="1" ht="19.5" customHeight="1" x14ac:dyDescent="0.2">
      <c r="C20" s="4217" t="s">
        <v>2986</v>
      </c>
      <c r="D20" s="4232" t="s">
        <v>263</v>
      </c>
      <c r="E20" s="2940">
        <v>106118981</v>
      </c>
      <c r="F20" s="3812" t="s">
        <v>3116</v>
      </c>
      <c r="G20" s="3572" t="s">
        <v>3117</v>
      </c>
      <c r="H20" s="2940">
        <v>1</v>
      </c>
      <c r="I20" s="2605"/>
      <c r="J20" s="2719" t="s">
        <v>3667</v>
      </c>
      <c r="L20" s="2905">
        <f>'Lista global'!P$248</f>
        <v>190.57499999999999</v>
      </c>
      <c r="M20" s="2905">
        <f>'Lista global'!Q$248</f>
        <v>160.48421052631579</v>
      </c>
      <c r="O20" s="2605">
        <f>IF($O$2=T5,1,0)</f>
        <v>0</v>
      </c>
      <c r="P20" s="3193">
        <f>O20*(H20*$P$2+I20)</f>
        <v>0</v>
      </c>
      <c r="Q20" s="3252">
        <f>IF(ROUNDDOWN(($Q$2*P20/4)/10,0)&lt;O20,O20,ROUNDDOWN(($Q$2*P20/4)/10,0))</f>
        <v>0</v>
      </c>
      <c r="R20" s="3381">
        <f t="shared" si="2"/>
        <v>0</v>
      </c>
      <c r="S20" s="3021"/>
      <c r="T20" s="1766"/>
      <c r="U20" s="1766"/>
      <c r="V20" s="1768"/>
      <c r="W20" s="3482"/>
    </row>
    <row r="21" spans="3:23" s="3096" customFormat="1" ht="19.5" customHeight="1" thickBot="1" x14ac:dyDescent="0.25">
      <c r="C21" s="4218"/>
      <c r="D21" s="4234"/>
      <c r="E21" s="2484">
        <v>106204784</v>
      </c>
      <c r="F21" s="2454" t="s">
        <v>2938</v>
      </c>
      <c r="G21" s="2105" t="s">
        <v>2939</v>
      </c>
      <c r="H21" s="3818"/>
      <c r="I21" s="2499">
        <v>1</v>
      </c>
      <c r="J21" s="2874">
        <v>6</v>
      </c>
      <c r="L21" s="2905">
        <f>'Lista global'!P$278</f>
        <v>1243.2249999999999</v>
      </c>
      <c r="M21" s="2905">
        <f>'Lista global'!Q$278</f>
        <v>1046.9263157894738</v>
      </c>
      <c r="O21" s="3819">
        <f>IF($O$2=T4,1,0)</f>
        <v>1</v>
      </c>
      <c r="P21" s="3193">
        <f>O21*(H21*$P$2+I21)</f>
        <v>1</v>
      </c>
      <c r="Q21" s="3820">
        <f>IF(ROUNDDOWN(($Q$2*P21/4)/10,0)&lt;O21,O21,ROUNDDOWN(($Q$2*P21/4)/10,0))</f>
        <v>1</v>
      </c>
      <c r="R21" s="3377">
        <f t="shared" si="2"/>
        <v>1243.2249999999999</v>
      </c>
      <c r="S21" s="3097"/>
      <c r="T21" s="3098"/>
      <c r="U21" s="3098"/>
      <c r="V21" s="3099"/>
      <c r="W21" s="3100"/>
    </row>
    <row r="22" spans="3:23" s="2905" customFormat="1" ht="19.5" customHeight="1" thickBot="1" x14ac:dyDescent="0.25">
      <c r="C22" s="4219"/>
      <c r="D22" s="3817" t="s">
        <v>122</v>
      </c>
      <c r="E22" s="3813">
        <v>106114701</v>
      </c>
      <c r="F22" s="3814" t="s">
        <v>1243</v>
      </c>
      <c r="G22" s="3815" t="s">
        <v>1244</v>
      </c>
      <c r="H22" s="3816">
        <v>1</v>
      </c>
      <c r="I22" s="2381"/>
      <c r="J22" s="2389"/>
      <c r="L22" s="2905">
        <f>'Lista global'!P$146</f>
        <v>92.85</v>
      </c>
      <c r="M22" s="2905">
        <f>'Lista global'!Q$146</f>
        <v>78.189473684210526</v>
      </c>
      <c r="O22" s="2381">
        <v>1</v>
      </c>
      <c r="P22" s="3124">
        <f>H22*$P$2+I22</f>
        <v>4</v>
      </c>
      <c r="Q22" s="3117">
        <f>IF(ROUND(P22*$Q$2/4,0)&lt;O22,O22,ROUND(P22*$Q$2/4,0))</f>
        <v>50</v>
      </c>
      <c r="R22" s="3127">
        <f t="shared" si="2"/>
        <v>4642.5</v>
      </c>
      <c r="S22" s="60"/>
      <c r="T22" s="3098"/>
      <c r="U22" s="3098"/>
      <c r="V22" s="1768"/>
      <c r="W22" s="2201"/>
    </row>
    <row r="23" spans="3:23" s="2905" customFormat="1" ht="19.5" customHeight="1" thickBot="1" x14ac:dyDescent="0.25">
      <c r="C23" s="4217" t="s">
        <v>2987</v>
      </c>
      <c r="D23" s="4361" t="s">
        <v>71</v>
      </c>
      <c r="E23" s="3005">
        <v>106113624</v>
      </c>
      <c r="F23" s="2742" t="s">
        <v>1870</v>
      </c>
      <c r="G23" s="2745" t="s">
        <v>1871</v>
      </c>
      <c r="H23" s="2980">
        <v>1</v>
      </c>
      <c r="I23" s="2980"/>
      <c r="J23" s="2906" t="s">
        <v>2873</v>
      </c>
      <c r="L23" s="2905">
        <f>'Lista global'!P$130</f>
        <v>891.44999999999993</v>
      </c>
      <c r="M23" s="2905">
        <f>'Lista global'!Q$130</f>
        <v>750.69473684210527</v>
      </c>
      <c r="O23" s="2980">
        <f>IF($R$2=$T$7,1,0)</f>
        <v>0</v>
      </c>
      <c r="P23" s="3124">
        <f>IF($R$2=$T$7,H23*$P$2+I23,0)</f>
        <v>0</v>
      </c>
      <c r="Q23" s="3116">
        <f>IF(ROUNDDOWN(($Q$2*P23/4)/10,0)&lt;O23,O23,ROUNDDOWN(($Q$2*P23/4)/10,0))</f>
        <v>0</v>
      </c>
      <c r="R23" s="3126">
        <f t="shared" si="2"/>
        <v>0</v>
      </c>
      <c r="S23" s="60"/>
      <c r="T23" s="679"/>
      <c r="U23" s="939"/>
      <c r="V23" s="1768"/>
      <c r="W23" s="2201"/>
    </row>
    <row r="24" spans="3:23" s="2905" customFormat="1" ht="19.5" customHeight="1" x14ac:dyDescent="0.2">
      <c r="C24" s="4218"/>
      <c r="D24" s="4362"/>
      <c r="E24" s="3006">
        <v>106113621</v>
      </c>
      <c r="F24" s="3002" t="s">
        <v>1359</v>
      </c>
      <c r="G24" s="3003" t="s">
        <v>1360</v>
      </c>
      <c r="H24" s="2977">
        <v>1</v>
      </c>
      <c r="I24" s="3004"/>
      <c r="J24" s="2957">
        <v>1.2</v>
      </c>
      <c r="L24" s="2905">
        <f>'Lista global'!P$128</f>
        <v>891.44999999999993</v>
      </c>
      <c r="M24" s="2905">
        <f>'Lista global'!Q$128</f>
        <v>750.69473684210527</v>
      </c>
      <c r="O24" s="3187" t="s">
        <v>0</v>
      </c>
      <c r="P24" s="3124">
        <f t="shared" ref="P24:P36" si="3">H24*$P$75+I24</f>
        <v>4</v>
      </c>
      <c r="Q24" s="2109" t="s">
        <v>0</v>
      </c>
      <c r="R24" s="3137" t="s">
        <v>0</v>
      </c>
      <c r="S24" s="60"/>
      <c r="T24" s="679"/>
      <c r="U24" s="939"/>
      <c r="V24" s="1768"/>
      <c r="W24" s="2201"/>
    </row>
    <row r="25" spans="3:23" s="2905" customFormat="1" ht="19.5" customHeight="1" x14ac:dyDescent="0.2">
      <c r="C25" s="4218"/>
      <c r="D25" s="4362"/>
      <c r="E25" s="3007">
        <v>106110473</v>
      </c>
      <c r="F25" s="2950" t="s">
        <v>1364</v>
      </c>
      <c r="G25" s="2961" t="s">
        <v>1365</v>
      </c>
      <c r="H25" s="2975">
        <v>1</v>
      </c>
      <c r="I25" s="2983"/>
      <c r="J25" s="2955">
        <v>2</v>
      </c>
      <c r="L25" s="2905">
        <f>'Lista global'!P$89</f>
        <v>742.32499999999993</v>
      </c>
      <c r="M25" s="2905">
        <f>'Lista global'!Q$89</f>
        <v>625.11578947368423</v>
      </c>
      <c r="O25" s="3188" t="s">
        <v>0</v>
      </c>
      <c r="P25" s="3124">
        <f t="shared" si="3"/>
        <v>4</v>
      </c>
      <c r="Q25" s="2728" t="s">
        <v>0</v>
      </c>
      <c r="R25" s="3135" t="s">
        <v>0</v>
      </c>
      <c r="S25" s="980"/>
      <c r="T25" s="679"/>
      <c r="U25" s="939"/>
      <c r="V25" s="1768"/>
      <c r="W25" s="2201"/>
    </row>
    <row r="26" spans="3:23" s="2905" customFormat="1" ht="19.5" customHeight="1" x14ac:dyDescent="0.25">
      <c r="C26" s="4218"/>
      <c r="D26" s="4362"/>
      <c r="E26" s="3007">
        <v>106111815</v>
      </c>
      <c r="F26" s="2950" t="s">
        <v>1367</v>
      </c>
      <c r="G26" s="2961" t="s">
        <v>2855</v>
      </c>
      <c r="H26" s="2975">
        <v>1</v>
      </c>
      <c r="I26" s="2983"/>
      <c r="J26" s="2955">
        <v>2</v>
      </c>
      <c r="L26" s="2905">
        <f>'Lista global'!P$106</f>
        <v>14.212499999999999</v>
      </c>
      <c r="M26" s="2905">
        <f>'Lista global'!Q$106</f>
        <v>11.968421052631578</v>
      </c>
      <c r="O26" s="3188" t="s">
        <v>0</v>
      </c>
      <c r="P26" s="3124">
        <f t="shared" si="3"/>
        <v>4</v>
      </c>
      <c r="Q26" s="2728" t="s">
        <v>0</v>
      </c>
      <c r="R26" s="3135" t="s">
        <v>0</v>
      </c>
      <c r="S26" s="48"/>
      <c r="T26" s="679"/>
      <c r="U26" s="939"/>
      <c r="V26" s="1768"/>
      <c r="W26" s="2201"/>
    </row>
    <row r="27" spans="3:23" s="2905" customFormat="1" ht="19.5" customHeight="1" x14ac:dyDescent="0.2">
      <c r="C27" s="4218"/>
      <c r="D27" s="4362"/>
      <c r="E27" s="3007">
        <v>106111816</v>
      </c>
      <c r="F27" s="2950" t="s">
        <v>1366</v>
      </c>
      <c r="G27" s="2961" t="s">
        <v>2856</v>
      </c>
      <c r="H27" s="2975">
        <v>1</v>
      </c>
      <c r="I27" s="2983"/>
      <c r="J27" s="2955">
        <v>2</v>
      </c>
      <c r="L27" s="2905">
        <f>'Lista global'!P$107</f>
        <v>21.049999999999997</v>
      </c>
      <c r="M27" s="2905">
        <f>'Lista global'!Q$107</f>
        <v>17.726315789473684</v>
      </c>
      <c r="O27" s="3188" t="s">
        <v>0</v>
      </c>
      <c r="P27" s="3124">
        <f t="shared" si="3"/>
        <v>4</v>
      </c>
      <c r="Q27" s="2728" t="s">
        <v>0</v>
      </c>
      <c r="R27" s="3135" t="s">
        <v>0</v>
      </c>
      <c r="S27" s="3019"/>
      <c r="T27" s="679"/>
      <c r="U27" s="939"/>
      <c r="V27" s="1768"/>
      <c r="W27" s="2201"/>
    </row>
    <row r="28" spans="3:23" s="2905" customFormat="1" ht="19.5" customHeight="1" x14ac:dyDescent="0.2">
      <c r="C28" s="4218"/>
      <c r="D28" s="4362"/>
      <c r="E28" s="3007">
        <v>106104092</v>
      </c>
      <c r="F28" s="2951" t="s">
        <v>1361</v>
      </c>
      <c r="G28" s="2961" t="s">
        <v>1362</v>
      </c>
      <c r="H28" s="2975">
        <v>1</v>
      </c>
      <c r="I28" s="2983"/>
      <c r="J28" s="2955">
        <v>2</v>
      </c>
      <c r="L28" s="2905">
        <f>'Lista global'!P$16</f>
        <v>7.0750000000000002</v>
      </c>
      <c r="M28" s="2905">
        <f>'Lista global'!Q$16</f>
        <v>5.957894736842106</v>
      </c>
      <c r="O28" s="3188" t="s">
        <v>0</v>
      </c>
      <c r="P28" s="3124">
        <f t="shared" si="3"/>
        <v>4</v>
      </c>
      <c r="Q28" s="2728" t="s">
        <v>0</v>
      </c>
      <c r="R28" s="3135" t="s">
        <v>0</v>
      </c>
      <c r="S28" s="3022"/>
      <c r="T28" s="679"/>
      <c r="U28" s="939"/>
      <c r="V28" s="2337"/>
      <c r="W28" s="2201"/>
    </row>
    <row r="29" spans="3:23" s="2905" customFormat="1" ht="19.5" customHeight="1" thickBot="1" x14ac:dyDescent="0.25">
      <c r="C29" s="4218"/>
      <c r="D29" s="4362"/>
      <c r="E29" s="3008">
        <v>106111814</v>
      </c>
      <c r="F29" s="2952" t="s">
        <v>1553</v>
      </c>
      <c r="G29" s="2962" t="s">
        <v>1554</v>
      </c>
      <c r="H29" s="2976">
        <v>1</v>
      </c>
      <c r="I29" s="2984"/>
      <c r="J29" s="2956">
        <v>2</v>
      </c>
      <c r="L29" s="2905">
        <f>'Lista global'!P$105</f>
        <v>92.837499999999991</v>
      </c>
      <c r="M29" s="2905">
        <f>'Lista global'!Q$105</f>
        <v>78.178947368421049</v>
      </c>
      <c r="O29" s="3189" t="s">
        <v>0</v>
      </c>
      <c r="P29" s="3124">
        <f t="shared" si="3"/>
        <v>4</v>
      </c>
      <c r="Q29" s="2106" t="s">
        <v>0</v>
      </c>
      <c r="R29" s="3136" t="s">
        <v>0</v>
      </c>
      <c r="S29" s="60"/>
      <c r="T29" s="267"/>
      <c r="U29" s="270"/>
      <c r="V29" s="1768"/>
      <c r="W29" s="2201"/>
    </row>
    <row r="30" spans="3:23" s="2905" customFormat="1" ht="19.5" customHeight="1" x14ac:dyDescent="0.25">
      <c r="C30" s="4218"/>
      <c r="D30" s="4362"/>
      <c r="E30" s="3006">
        <v>106113623</v>
      </c>
      <c r="F30" s="2953" t="s">
        <v>1263</v>
      </c>
      <c r="G30" s="2963" t="s">
        <v>1264</v>
      </c>
      <c r="H30" s="2977">
        <v>1</v>
      </c>
      <c r="I30" s="2982"/>
      <c r="J30" s="2957">
        <v>1.2</v>
      </c>
      <c r="L30" s="2905">
        <f>'Lista global'!P$129</f>
        <v>891.44999999999993</v>
      </c>
      <c r="M30" s="2905">
        <f>'Lista global'!Q$129</f>
        <v>750.69473684210527</v>
      </c>
      <c r="O30" s="3187" t="s">
        <v>0</v>
      </c>
      <c r="P30" s="3124">
        <f t="shared" si="3"/>
        <v>4</v>
      </c>
      <c r="Q30" s="1463" t="s">
        <v>0</v>
      </c>
      <c r="R30" s="3134" t="s">
        <v>0</v>
      </c>
      <c r="S30" s="1082"/>
      <c r="T30" s="679"/>
      <c r="U30" s="939"/>
      <c r="V30" s="1768"/>
      <c r="W30" s="2201"/>
    </row>
    <row r="31" spans="3:23" s="2905" customFormat="1" ht="19.5" customHeight="1" x14ac:dyDescent="0.2">
      <c r="C31" s="4218"/>
      <c r="D31" s="4362"/>
      <c r="E31" s="3007">
        <v>106113605</v>
      </c>
      <c r="F31" s="2950" t="s">
        <v>1265</v>
      </c>
      <c r="G31" s="2961" t="s">
        <v>1266</v>
      </c>
      <c r="H31" s="2975">
        <v>1</v>
      </c>
      <c r="I31" s="2983"/>
      <c r="J31" s="2955">
        <v>2</v>
      </c>
      <c r="L31" s="2905">
        <f>'Lista global'!P$127</f>
        <v>742.32499999999993</v>
      </c>
      <c r="M31" s="2905">
        <f>'Lista global'!Q$127</f>
        <v>625.11578947368423</v>
      </c>
      <c r="O31" s="3188" t="s">
        <v>0</v>
      </c>
      <c r="P31" s="3124">
        <f t="shared" si="3"/>
        <v>4</v>
      </c>
      <c r="Q31" s="2728" t="s">
        <v>0</v>
      </c>
      <c r="R31" s="3135" t="s">
        <v>0</v>
      </c>
      <c r="T31" s="679"/>
      <c r="U31" s="939"/>
    </row>
    <row r="32" spans="3:23" s="2905" customFormat="1" ht="19.5" customHeight="1" x14ac:dyDescent="0.25">
      <c r="C32" s="4218"/>
      <c r="D32" s="4362"/>
      <c r="E32" s="3007">
        <v>106113632</v>
      </c>
      <c r="F32" s="2954" t="s">
        <v>1268</v>
      </c>
      <c r="G32" s="2961" t="s">
        <v>1269</v>
      </c>
      <c r="H32" s="2975">
        <v>1</v>
      </c>
      <c r="I32" s="2983"/>
      <c r="J32" s="2955">
        <v>2</v>
      </c>
      <c r="L32" s="2905">
        <f>'Lista global'!P$131</f>
        <v>25.012499999999999</v>
      </c>
      <c r="M32" s="2905">
        <f>'Lista global'!Q$131</f>
        <v>21.063157894736843</v>
      </c>
      <c r="O32" s="3188" t="s">
        <v>0</v>
      </c>
      <c r="P32" s="3124">
        <f t="shared" si="3"/>
        <v>4</v>
      </c>
      <c r="Q32" s="2728" t="s">
        <v>0</v>
      </c>
      <c r="R32" s="3135" t="s">
        <v>0</v>
      </c>
    </row>
    <row r="33" spans="3:21" s="2905" customFormat="1" ht="19.5" customHeight="1" x14ac:dyDescent="0.25">
      <c r="C33" s="4218"/>
      <c r="D33" s="4362"/>
      <c r="E33" s="3007">
        <v>106113637</v>
      </c>
      <c r="F33" s="2950" t="s">
        <v>2857</v>
      </c>
      <c r="G33" s="2961" t="s">
        <v>2858</v>
      </c>
      <c r="H33" s="2975">
        <v>1</v>
      </c>
      <c r="I33" s="2983"/>
      <c r="J33" s="2955">
        <v>2</v>
      </c>
      <c r="L33" s="2905">
        <f>'Lista global'!P$134</f>
        <v>37.962499999999999</v>
      </c>
      <c r="M33" s="2905">
        <f>'Lista global'!Q$134</f>
        <v>31.96842105263158</v>
      </c>
      <c r="O33" s="3188" t="s">
        <v>0</v>
      </c>
      <c r="P33" s="3124">
        <f t="shared" si="3"/>
        <v>4</v>
      </c>
      <c r="Q33" s="2728" t="s">
        <v>0</v>
      </c>
      <c r="R33" s="3135" t="s">
        <v>0</v>
      </c>
    </row>
    <row r="34" spans="3:21" s="2905" customFormat="1" ht="19.5" customHeight="1" x14ac:dyDescent="0.25">
      <c r="C34" s="4218"/>
      <c r="D34" s="4362"/>
      <c r="E34" s="3007">
        <v>106113634</v>
      </c>
      <c r="F34" s="2950" t="s">
        <v>1368</v>
      </c>
      <c r="G34" s="2961" t="s">
        <v>2859</v>
      </c>
      <c r="H34" s="2975">
        <v>1</v>
      </c>
      <c r="I34" s="2983"/>
      <c r="J34" s="2955">
        <v>2</v>
      </c>
      <c r="L34" s="2905">
        <f>'Lista global'!P$132</f>
        <v>12.4625</v>
      </c>
      <c r="M34" s="2905">
        <f>'Lista global'!Q$132</f>
        <v>10.494736842105265</v>
      </c>
      <c r="O34" s="3188" t="s">
        <v>0</v>
      </c>
      <c r="P34" s="3124">
        <f t="shared" si="3"/>
        <v>4</v>
      </c>
      <c r="Q34" s="2728" t="s">
        <v>0</v>
      </c>
      <c r="R34" s="3135" t="s">
        <v>0</v>
      </c>
    </row>
    <row r="35" spans="3:21" s="2905" customFormat="1" ht="19.5" customHeight="1" x14ac:dyDescent="0.25">
      <c r="C35" s="4218"/>
      <c r="D35" s="4362"/>
      <c r="E35" s="3007">
        <v>106114790</v>
      </c>
      <c r="F35" s="2950" t="s">
        <v>1369</v>
      </c>
      <c r="G35" s="2961" t="s">
        <v>2860</v>
      </c>
      <c r="H35" s="2975">
        <v>1</v>
      </c>
      <c r="I35" s="2983"/>
      <c r="J35" s="2955">
        <v>2</v>
      </c>
      <c r="L35" s="2905">
        <f>'Lista global'!P$147</f>
        <v>26.299999999999997</v>
      </c>
      <c r="M35" s="2905">
        <f>'Lista global'!Q$147</f>
        <v>22.147368421052633</v>
      </c>
      <c r="O35" s="3188" t="s">
        <v>0</v>
      </c>
      <c r="P35" s="3124">
        <f t="shared" si="3"/>
        <v>4</v>
      </c>
      <c r="Q35" s="2728" t="s">
        <v>0</v>
      </c>
      <c r="R35" s="3135" t="s">
        <v>0</v>
      </c>
    </row>
    <row r="36" spans="3:21" s="2905" customFormat="1" ht="19.5" customHeight="1" thickBot="1" x14ac:dyDescent="0.3">
      <c r="C36" s="4219"/>
      <c r="D36" s="4363"/>
      <c r="E36" s="3008">
        <v>106113636</v>
      </c>
      <c r="F36" s="2952" t="s">
        <v>1273</v>
      </c>
      <c r="G36" s="2962" t="s">
        <v>1274</v>
      </c>
      <c r="H36" s="2976">
        <v>1</v>
      </c>
      <c r="I36" s="2984"/>
      <c r="J36" s="2956">
        <v>2</v>
      </c>
      <c r="L36" s="2905">
        <f>'Lista global'!P$133</f>
        <v>10.962499999999999</v>
      </c>
      <c r="M36" s="2905">
        <f>'Lista global'!Q$133</f>
        <v>9.2315789473684209</v>
      </c>
      <c r="O36" s="3189" t="s">
        <v>0</v>
      </c>
      <c r="P36" s="3124">
        <f t="shared" si="3"/>
        <v>4</v>
      </c>
      <c r="Q36" s="2106" t="s">
        <v>0</v>
      </c>
      <c r="R36" s="3136" t="s">
        <v>0</v>
      </c>
    </row>
    <row r="37" spans="3:21" s="3191" customFormat="1" ht="19.5" customHeight="1" x14ac:dyDescent="0.25">
      <c r="C37" s="4364" t="s">
        <v>2988</v>
      </c>
      <c r="D37" s="3602" t="s">
        <v>138</v>
      </c>
      <c r="E37" s="2890">
        <v>106205336</v>
      </c>
      <c r="F37" s="3571" t="s">
        <v>1985</v>
      </c>
      <c r="G37" s="3572" t="s">
        <v>1468</v>
      </c>
      <c r="H37" s="3620"/>
      <c r="I37" s="2605">
        <v>1</v>
      </c>
      <c r="J37" s="3621" t="s">
        <v>2861</v>
      </c>
      <c r="L37" s="3191">
        <f>'Lista global'!P$335</f>
        <v>14.7</v>
      </c>
      <c r="M37" s="3191">
        <f>'Lista global'!Q$335</f>
        <v>12.378947368421054</v>
      </c>
      <c r="O37" s="2605">
        <v>1</v>
      </c>
      <c r="P37" s="3193">
        <f>H37*$P$2+I37</f>
        <v>1</v>
      </c>
      <c r="Q37" s="3252">
        <f>IF(ROUNDDOWN($Q$2/10,0)&lt;O37,O37,ROUNDDOWN($Q$2/10,0))</f>
        <v>5</v>
      </c>
      <c r="R37" s="3381">
        <f>L37*Q37</f>
        <v>73.5</v>
      </c>
    </row>
    <row r="38" spans="3:21" s="2905" customFormat="1" ht="19.5" customHeight="1" x14ac:dyDescent="0.25">
      <c r="C38" s="4365"/>
      <c r="D38" s="3212" t="s">
        <v>196</v>
      </c>
      <c r="E38" s="2932">
        <v>106201346</v>
      </c>
      <c r="F38" s="2919" t="s">
        <v>1525</v>
      </c>
      <c r="G38" s="2965" t="s">
        <v>1526</v>
      </c>
      <c r="H38" s="2978"/>
      <c r="I38" s="2731">
        <v>1</v>
      </c>
      <c r="J38" s="2909"/>
      <c r="L38" s="2905">
        <f>'Lista global'!P$199</f>
        <v>73.724999999999994</v>
      </c>
      <c r="M38" s="2905">
        <f>'Lista global'!Q$199</f>
        <v>49.15</v>
      </c>
      <c r="O38" s="2731">
        <v>1</v>
      </c>
      <c r="P38" s="3124">
        <f>H38*$P$2+I38</f>
        <v>1</v>
      </c>
      <c r="Q38" s="3121">
        <f>IF(ROUNDDOWN($Q$2/4,0)&lt;O38,O38,ROUNDDOWN($Q$2/4,0))</f>
        <v>12</v>
      </c>
      <c r="R38" s="3131">
        <f>L38*Q38</f>
        <v>884.69999999999993</v>
      </c>
      <c r="T38" s="3096"/>
      <c r="U38" s="3096"/>
    </row>
    <row r="39" spans="3:21" s="2905" customFormat="1" ht="19.5" customHeight="1" x14ac:dyDescent="0.25">
      <c r="C39" s="4365"/>
      <c r="D39" s="3212" t="s">
        <v>198</v>
      </c>
      <c r="E39" s="2932">
        <v>106110895</v>
      </c>
      <c r="F39" s="2908" t="s">
        <v>1833</v>
      </c>
      <c r="G39" s="2933" t="s">
        <v>572</v>
      </c>
      <c r="H39" s="2978"/>
      <c r="I39" s="2731">
        <v>1</v>
      </c>
      <c r="J39" s="2909"/>
      <c r="L39" s="2905">
        <f>'Lista global'!P$90</f>
        <v>14.800000000000002</v>
      </c>
      <c r="M39" s="2905">
        <f>'Lista global'!Q$90</f>
        <v>11.1</v>
      </c>
      <c r="O39" s="2731" t="s">
        <v>0</v>
      </c>
      <c r="P39" s="3124">
        <f>H39*$P$75+I39</f>
        <v>1</v>
      </c>
      <c r="Q39" s="2728" t="s">
        <v>0</v>
      </c>
      <c r="R39" s="3135" t="s">
        <v>0</v>
      </c>
    </row>
    <row r="40" spans="3:21" s="2905" customFormat="1" ht="19.5" customHeight="1" x14ac:dyDescent="0.25">
      <c r="C40" s="4365"/>
      <c r="D40" s="3212" t="s">
        <v>200</v>
      </c>
      <c r="E40" s="2932">
        <v>106110896</v>
      </c>
      <c r="F40" s="2908" t="s">
        <v>1834</v>
      </c>
      <c r="G40" s="2933" t="s">
        <v>573</v>
      </c>
      <c r="H40" s="2978"/>
      <c r="I40" s="2731">
        <v>1</v>
      </c>
      <c r="J40" s="2909"/>
      <c r="L40" s="2905">
        <f>'Lista global'!P$91</f>
        <v>16.3</v>
      </c>
      <c r="M40" s="2905">
        <f>'Lista global'!Q$91</f>
        <v>12.224999999999998</v>
      </c>
      <c r="O40" s="2731" t="s">
        <v>0</v>
      </c>
      <c r="P40" s="3124">
        <f>H40*$P$75+I40</f>
        <v>1</v>
      </c>
      <c r="Q40" s="2728" t="s">
        <v>0</v>
      </c>
      <c r="R40" s="3135" t="s">
        <v>0</v>
      </c>
    </row>
    <row r="41" spans="3:21" s="2905" customFormat="1" ht="19.5" customHeight="1" x14ac:dyDescent="0.25">
      <c r="C41" s="4365"/>
      <c r="D41" s="3212" t="s">
        <v>202</v>
      </c>
      <c r="E41" s="2932">
        <v>106110897</v>
      </c>
      <c r="F41" s="2908" t="s">
        <v>1835</v>
      </c>
      <c r="G41" s="2933" t="s">
        <v>574</v>
      </c>
      <c r="H41" s="2978"/>
      <c r="I41" s="2731">
        <v>1</v>
      </c>
      <c r="J41" s="2909"/>
      <c r="L41" s="2905">
        <f>'Lista global'!P$92</f>
        <v>17.450000000000003</v>
      </c>
      <c r="M41" s="2905">
        <f>'Lista global'!Q$92</f>
        <v>13.0875</v>
      </c>
      <c r="O41" s="2731" t="s">
        <v>0</v>
      </c>
      <c r="P41" s="3124">
        <f>H41*$P$75+I41</f>
        <v>1</v>
      </c>
      <c r="Q41" s="2728" t="s">
        <v>0</v>
      </c>
      <c r="R41" s="3135" t="s">
        <v>0</v>
      </c>
    </row>
    <row r="42" spans="3:21" s="2905" customFormat="1" ht="19.5" customHeight="1" x14ac:dyDescent="0.25">
      <c r="C42" s="4365"/>
      <c r="D42" s="3212" t="s">
        <v>204</v>
      </c>
      <c r="E42" s="2932">
        <v>106110898</v>
      </c>
      <c r="F42" s="2908" t="s">
        <v>1836</v>
      </c>
      <c r="G42" s="2933" t="s">
        <v>575</v>
      </c>
      <c r="H42" s="2978">
        <v>1</v>
      </c>
      <c r="I42" s="2731"/>
      <c r="J42" s="2909"/>
      <c r="L42" s="2905">
        <f>'Lista global'!P$93</f>
        <v>23.116666666666667</v>
      </c>
      <c r="M42" s="2905">
        <f>'Lista global'!Q$93</f>
        <v>17.337499999999999</v>
      </c>
      <c r="O42" s="2731">
        <v>1</v>
      </c>
      <c r="P42" s="3124">
        <f t="shared" ref="P42:P49" si="4">H42*$P$2+I42</f>
        <v>4</v>
      </c>
      <c r="Q42" s="3121">
        <f>IF(ROUND($P$2*$Q$2/16,0)&lt;O42,O42,ROUND($P$2*$Q$2/16,0))</f>
        <v>13</v>
      </c>
      <c r="R42" s="3131">
        <f>L42*Q42</f>
        <v>300.51666666666665</v>
      </c>
    </row>
    <row r="43" spans="3:21" s="2905" customFormat="1" ht="19.5" customHeight="1" x14ac:dyDescent="0.25">
      <c r="C43" s="4365"/>
      <c r="D43" s="3212" t="s">
        <v>206</v>
      </c>
      <c r="E43" s="2942">
        <v>106201807</v>
      </c>
      <c r="F43" s="2913" t="s">
        <v>1951</v>
      </c>
      <c r="G43" s="2935" t="s">
        <v>576</v>
      </c>
      <c r="H43" s="2978"/>
      <c r="I43" s="2731">
        <v>1</v>
      </c>
      <c r="J43" s="2909"/>
      <c r="L43" s="2905">
        <f>'Lista global'!P$204</f>
        <v>167.65</v>
      </c>
      <c r="M43" s="2905">
        <f>'Lista global'!Q$204</f>
        <v>111.76666666666668</v>
      </c>
      <c r="O43" s="2731">
        <v>1</v>
      </c>
      <c r="P43" s="3124">
        <f t="shared" si="4"/>
        <v>1</v>
      </c>
      <c r="Q43" s="3121">
        <f>IF(ROUND(P43*$Q$2/2,0)&lt;O43,O43,ROUND(P43*$Q$2/2,0))</f>
        <v>25</v>
      </c>
      <c r="R43" s="3131">
        <f>L43*Q43</f>
        <v>4191.25</v>
      </c>
    </row>
    <row r="44" spans="3:21" s="2905" customFormat="1" ht="19.5" customHeight="1" x14ac:dyDescent="0.25">
      <c r="C44" s="4365"/>
      <c r="D44" s="3212" t="s">
        <v>460</v>
      </c>
      <c r="E44" s="2942">
        <v>106202476</v>
      </c>
      <c r="F44" s="2917" t="s">
        <v>1953</v>
      </c>
      <c r="G44" s="2966" t="s">
        <v>1954</v>
      </c>
      <c r="H44" s="2978"/>
      <c r="I44" s="2731">
        <v>1</v>
      </c>
      <c r="J44" s="2909"/>
      <c r="L44" s="2905">
        <f>'Lista global'!P$205</f>
        <v>23.450000000000003</v>
      </c>
      <c r="M44" s="2905">
        <f>'Lista global'!Q$205</f>
        <v>17.587499999999999</v>
      </c>
      <c r="O44" s="2731">
        <v>1</v>
      </c>
      <c r="P44" s="3124">
        <f t="shared" si="4"/>
        <v>1</v>
      </c>
      <c r="Q44" s="3121">
        <f>IF(ROUNDDOWN($Q$2/6,0)&lt;O44,O44,ROUNDDOWN($Q$2/6,0))</f>
        <v>8</v>
      </c>
      <c r="R44" s="3131">
        <f>L44*Q44</f>
        <v>187.60000000000002</v>
      </c>
    </row>
    <row r="45" spans="3:21" s="2905" customFormat="1" ht="19.5" customHeight="1" thickBot="1" x14ac:dyDescent="0.3">
      <c r="C45" s="4366"/>
      <c r="D45" s="3476" t="s">
        <v>354</v>
      </c>
      <c r="E45" s="2453">
        <v>106200941</v>
      </c>
      <c r="F45" s="3477" t="s">
        <v>1943</v>
      </c>
      <c r="G45" s="3478" t="s">
        <v>1944</v>
      </c>
      <c r="H45" s="2979"/>
      <c r="I45" s="2453">
        <v>1</v>
      </c>
      <c r="J45" s="2914"/>
      <c r="L45" s="2905">
        <f>'Lista global'!P$198</f>
        <v>56.85</v>
      </c>
      <c r="M45" s="2905">
        <f>'Lista global'!Q$198</f>
        <v>42.637499999999996</v>
      </c>
      <c r="O45" s="2453" t="s">
        <v>0</v>
      </c>
      <c r="P45" s="3124">
        <f t="shared" si="4"/>
        <v>1</v>
      </c>
      <c r="Q45" s="3118">
        <v>1</v>
      </c>
      <c r="R45" s="3128">
        <f>L45*Q45</f>
        <v>56.85</v>
      </c>
    </row>
    <row r="46" spans="3:21" s="3191" customFormat="1" ht="19.5" customHeight="1" x14ac:dyDescent="0.25">
      <c r="C46" s="4210" t="s">
        <v>2989</v>
      </c>
      <c r="D46" s="3602" t="s">
        <v>2600</v>
      </c>
      <c r="E46" s="2890">
        <v>106123347</v>
      </c>
      <c r="F46" s="3571" t="s">
        <v>2816</v>
      </c>
      <c r="G46" s="3572" t="s">
        <v>2817</v>
      </c>
      <c r="H46" s="3620">
        <v>1</v>
      </c>
      <c r="I46" s="2605"/>
      <c r="J46" s="3621" t="s">
        <v>649</v>
      </c>
      <c r="L46" s="2905">
        <f>'Lista global'!P$336</f>
        <v>9.6749999999999989</v>
      </c>
      <c r="M46" s="2905">
        <f>'Lista global'!Q$336</f>
        <v>8.1473684210526329</v>
      </c>
      <c r="O46" s="3192"/>
      <c r="P46" s="3193"/>
      <c r="Q46" s="3480"/>
      <c r="R46" s="3481"/>
    </row>
    <row r="47" spans="3:21" s="3096" customFormat="1" ht="19.5" customHeight="1" thickBot="1" x14ac:dyDescent="0.3">
      <c r="C47" s="4210"/>
      <c r="D47" s="2399" t="s">
        <v>2823</v>
      </c>
      <c r="E47" s="2763">
        <v>106122954</v>
      </c>
      <c r="F47" s="2748" t="s">
        <v>2773</v>
      </c>
      <c r="G47" s="2831" t="s">
        <v>2774</v>
      </c>
      <c r="H47" s="2846" t="s">
        <v>3115</v>
      </c>
      <c r="I47" s="2763"/>
      <c r="J47" s="3074"/>
      <c r="K47" s="2898"/>
      <c r="L47" s="2905">
        <f>'Lista global'!P$286</f>
        <v>8.3249999999999993</v>
      </c>
      <c r="M47" s="2905">
        <f>'Lista global'!Q$286</f>
        <v>7.0105263157894742</v>
      </c>
      <c r="O47" s="2836"/>
      <c r="P47" s="3464"/>
      <c r="Q47" s="3465"/>
      <c r="R47" s="3466"/>
      <c r="T47" s="2905"/>
      <c r="U47" s="2905"/>
    </row>
    <row r="48" spans="3:21" s="2905" customFormat="1" ht="19.5" customHeight="1" x14ac:dyDescent="0.25">
      <c r="C48" s="4210"/>
      <c r="D48" s="3160"/>
      <c r="E48" s="2934">
        <v>106112878</v>
      </c>
      <c r="F48" s="3261" t="s">
        <v>1558</v>
      </c>
      <c r="G48" s="2933" t="s">
        <v>1559</v>
      </c>
      <c r="H48" s="2932">
        <v>5</v>
      </c>
      <c r="I48" s="2731"/>
      <c r="J48" s="2452"/>
      <c r="L48" s="2905">
        <f>'Lista global'!P$120</f>
        <v>2.4249999999999998</v>
      </c>
      <c r="M48" s="2905">
        <f>'Lista global'!Q$120</f>
        <v>2.0421052631578949</v>
      </c>
      <c r="O48" s="2397">
        <v>5</v>
      </c>
      <c r="P48" s="3124">
        <f t="shared" si="4"/>
        <v>20</v>
      </c>
      <c r="Q48" s="3120">
        <f>IF(5*(Q50+Q51+Q52+Q53+Q54+Q55+Q56+Q57+Q58+Q59)&lt;O48,O48,5*(Q50+Q51+Q52+Q53+Q54+Q55+Q56+Q57+Q58+Q59))</f>
        <v>30</v>
      </c>
      <c r="R48" s="3130">
        <f t="shared" ref="R48:R59" si="5">L48*Q48</f>
        <v>72.75</v>
      </c>
      <c r="T48" s="3096"/>
      <c r="U48" s="3096"/>
    </row>
    <row r="49" spans="3:21" s="2905" customFormat="1" ht="19.5" customHeight="1" thickBot="1" x14ac:dyDescent="0.3">
      <c r="C49" s="4211"/>
      <c r="D49" s="3471"/>
      <c r="E49" s="2946">
        <v>106107580</v>
      </c>
      <c r="F49" s="3472" t="s">
        <v>1277</v>
      </c>
      <c r="G49" s="3473" t="s">
        <v>1278</v>
      </c>
      <c r="H49" s="2941">
        <v>3</v>
      </c>
      <c r="I49" s="2453"/>
      <c r="J49" s="2595"/>
      <c r="L49" s="2905">
        <f>'Lista global'!P$78</f>
        <v>1.0874999999999999</v>
      </c>
      <c r="M49" s="2905">
        <f>'Lista global'!Q$78</f>
        <v>0.9157894736842106</v>
      </c>
      <c r="O49" s="2453">
        <v>3</v>
      </c>
      <c r="P49" s="3124">
        <f t="shared" si="4"/>
        <v>12</v>
      </c>
      <c r="Q49" s="3118">
        <f>IF(3*(Q50+Q51+Q52+Q53+Q54+Q55+Q56+Q57+Q58+Q59)&lt;O49,O49,3*(Q50+Q51+Q52+Q53+Q54+Q55+Q56+Q57+Q58+Q59))</f>
        <v>18</v>
      </c>
      <c r="R49" s="3128">
        <f t="shared" si="5"/>
        <v>19.574999999999999</v>
      </c>
    </row>
    <row r="50" spans="3:21" s="2905" customFormat="1" ht="19.5" customHeight="1" x14ac:dyDescent="0.25">
      <c r="C50" s="4375" t="s">
        <v>2990</v>
      </c>
      <c r="D50" s="3468" t="s">
        <v>187</v>
      </c>
      <c r="E50" s="3469">
        <v>106201457</v>
      </c>
      <c r="F50" s="3470" t="s">
        <v>2775</v>
      </c>
      <c r="G50" s="2964" t="s">
        <v>3735</v>
      </c>
      <c r="H50" s="3469">
        <v>1</v>
      </c>
      <c r="I50" s="2473"/>
      <c r="J50" s="2474">
        <v>3.7</v>
      </c>
      <c r="L50" s="2905">
        <f>'Lista global'!P$201</f>
        <v>6373.6</v>
      </c>
      <c r="M50" s="2905">
        <f>'Lista global'!Q$201</f>
        <v>3649.4500000000003</v>
      </c>
      <c r="O50" s="2473">
        <f>IF(AND($M$2=$U$4,$O$2=$T$5),1,0)</f>
        <v>0</v>
      </c>
      <c r="P50" s="3124">
        <f t="shared" ref="P50:P59" si="6">$P$2*O50</f>
        <v>0</v>
      </c>
      <c r="Q50" s="3243">
        <f t="shared" ref="Q50:Q59" si="7">ROUNDUP($P$2*$Q$2*3/100,0)*O50</f>
        <v>0</v>
      </c>
      <c r="R50" s="3244">
        <f t="shared" si="5"/>
        <v>0</v>
      </c>
    </row>
    <row r="51" spans="3:21" s="2905" customFormat="1" ht="19.5" customHeight="1" x14ac:dyDescent="0.25">
      <c r="C51" s="4376"/>
      <c r="D51" s="3263" t="s">
        <v>440</v>
      </c>
      <c r="E51" s="2932">
        <v>106111457</v>
      </c>
      <c r="F51" s="3261" t="s">
        <v>3136</v>
      </c>
      <c r="G51" s="2933" t="s">
        <v>3738</v>
      </c>
      <c r="H51" s="2932">
        <v>1</v>
      </c>
      <c r="I51" s="2731"/>
      <c r="J51" s="2452">
        <v>3.6</v>
      </c>
      <c r="L51" s="2905">
        <f>'Lista global'!P$97</f>
        <v>6373.6</v>
      </c>
      <c r="M51" s="2905">
        <f>'Lista global'!Q$97</f>
        <v>3649.4500000000003</v>
      </c>
      <c r="O51" s="2731">
        <f>IF(AND($M$2=$U$4,$O$2=$T$4),1,0)</f>
        <v>0</v>
      </c>
      <c r="P51" s="3124">
        <f t="shared" si="6"/>
        <v>0</v>
      </c>
      <c r="Q51" s="3121">
        <f t="shared" si="7"/>
        <v>0</v>
      </c>
      <c r="R51" s="3131">
        <f t="shared" si="5"/>
        <v>0</v>
      </c>
    </row>
    <row r="52" spans="3:21" s="2905" customFormat="1" ht="19.5" customHeight="1" x14ac:dyDescent="0.25">
      <c r="C52" s="4376"/>
      <c r="D52" s="3263" t="s">
        <v>240</v>
      </c>
      <c r="E52" s="2934">
        <v>106202625</v>
      </c>
      <c r="F52" s="3261" t="s">
        <v>2776</v>
      </c>
      <c r="G52" s="2991" t="s">
        <v>3742</v>
      </c>
      <c r="H52" s="2934">
        <v>1</v>
      </c>
      <c r="I52" s="2731"/>
      <c r="J52" s="2452">
        <v>3.7</v>
      </c>
      <c r="L52" s="2905">
        <f>'Lista global'!P$207</f>
        <v>7712.0560000000005</v>
      </c>
      <c r="M52" s="2905">
        <f>'Lista global'!Q$207</f>
        <v>4415.8344999999999</v>
      </c>
      <c r="O52" s="2731">
        <f>IF(AND($M$2=$U$5,$O$2=$T$5),1,0)</f>
        <v>0</v>
      </c>
      <c r="P52" s="3124">
        <f t="shared" si="6"/>
        <v>0</v>
      </c>
      <c r="Q52" s="3121">
        <f t="shared" si="7"/>
        <v>0</v>
      </c>
      <c r="R52" s="3131">
        <f t="shared" si="5"/>
        <v>0</v>
      </c>
    </row>
    <row r="53" spans="3:21" s="2905" customFormat="1" ht="19.5" customHeight="1" x14ac:dyDescent="0.25">
      <c r="C53" s="4376"/>
      <c r="D53" s="3263" t="s">
        <v>239</v>
      </c>
      <c r="E53" s="2934">
        <v>106202628</v>
      </c>
      <c r="F53" s="3261" t="s">
        <v>3139</v>
      </c>
      <c r="G53" s="2991" t="s">
        <v>3739</v>
      </c>
      <c r="H53" s="2934">
        <v>1</v>
      </c>
      <c r="I53" s="2731"/>
      <c r="J53" s="2452">
        <v>3.6</v>
      </c>
      <c r="L53" s="2905">
        <f>'Lista global'!P$208</f>
        <v>7712.0560000000005</v>
      </c>
      <c r="M53" s="2905">
        <f>'Lista global'!Q$208</f>
        <v>4415.8344999999999</v>
      </c>
      <c r="O53" s="2731">
        <f>IF(AND($M$2=$U$5,$O$2=$T$4),1,0)</f>
        <v>0</v>
      </c>
      <c r="P53" s="3124">
        <f t="shared" si="6"/>
        <v>0</v>
      </c>
      <c r="Q53" s="3121">
        <f t="shared" si="7"/>
        <v>0</v>
      </c>
      <c r="R53" s="3131">
        <f t="shared" si="5"/>
        <v>0</v>
      </c>
    </row>
    <row r="54" spans="3:21" s="2905" customFormat="1" ht="19.5" customHeight="1" x14ac:dyDescent="0.25">
      <c r="C54" s="4376"/>
      <c r="D54" s="3263" t="s">
        <v>1122</v>
      </c>
      <c r="E54" s="2934">
        <v>106204514</v>
      </c>
      <c r="F54" s="3261" t="s">
        <v>2778</v>
      </c>
      <c r="G54" s="2991" t="s">
        <v>3743</v>
      </c>
      <c r="H54" s="2934">
        <v>1</v>
      </c>
      <c r="I54" s="2731"/>
      <c r="J54" s="2452">
        <v>3.7</v>
      </c>
      <c r="L54" s="2905">
        <f>'Lista global'!P$233</f>
        <v>8868.86</v>
      </c>
      <c r="M54" s="2905">
        <f>'Lista global'!Q$233</f>
        <v>5055.25</v>
      </c>
      <c r="O54" s="2731">
        <f>IF(AND($M$2=$U$6,$O$2=$T$5),1,0)</f>
        <v>0</v>
      </c>
      <c r="P54" s="3124">
        <f t="shared" si="6"/>
        <v>0</v>
      </c>
      <c r="Q54" s="3121">
        <f t="shared" si="7"/>
        <v>0</v>
      </c>
      <c r="R54" s="3131">
        <f t="shared" si="5"/>
        <v>0</v>
      </c>
    </row>
    <row r="55" spans="3:21" s="2905" customFormat="1" ht="19.5" customHeight="1" x14ac:dyDescent="0.25">
      <c r="C55" s="4376"/>
      <c r="D55" s="3263" t="s">
        <v>1123</v>
      </c>
      <c r="E55" s="2934">
        <v>106204515</v>
      </c>
      <c r="F55" s="3261" t="s">
        <v>3145</v>
      </c>
      <c r="G55" s="2991" t="s">
        <v>3741</v>
      </c>
      <c r="H55" s="2934">
        <v>1</v>
      </c>
      <c r="I55" s="2731"/>
      <c r="J55" s="2452">
        <v>3.6</v>
      </c>
      <c r="L55" s="2905">
        <f>'Lista global'!P$234</f>
        <v>8868.86</v>
      </c>
      <c r="M55" s="2905">
        <f>'Lista global'!Q$234</f>
        <v>5055.25</v>
      </c>
      <c r="O55" s="2731">
        <f>IF(AND($M$2=$U$6,$O$2=$T$4),1,0)</f>
        <v>1</v>
      </c>
      <c r="P55" s="3124">
        <f t="shared" si="6"/>
        <v>4</v>
      </c>
      <c r="Q55" s="3121">
        <f t="shared" si="7"/>
        <v>6</v>
      </c>
      <c r="R55" s="3131">
        <f t="shared" si="5"/>
        <v>53213.16</v>
      </c>
    </row>
    <row r="56" spans="3:21" s="2905" customFormat="1" ht="19.5" customHeight="1" x14ac:dyDescent="0.25">
      <c r="C56" s="4376"/>
      <c r="D56" s="3263" t="s">
        <v>1124</v>
      </c>
      <c r="E56" s="2934">
        <v>106204516</v>
      </c>
      <c r="F56" s="3261" t="s">
        <v>2779</v>
      </c>
      <c r="G56" s="2991" t="s">
        <v>3744</v>
      </c>
      <c r="H56" s="2934">
        <v>1</v>
      </c>
      <c r="I56" s="2731"/>
      <c r="J56" s="2452">
        <v>3.7</v>
      </c>
      <c r="L56" s="2905">
        <f>'Lista global'!P$235</f>
        <v>9401</v>
      </c>
      <c r="M56" s="2905">
        <f>'Lista global'!Q$235</f>
        <v>5358.57</v>
      </c>
      <c r="O56" s="2731">
        <f>IF(AND($M$2=$U$7,$O$2=$T$5),1,0)</f>
        <v>0</v>
      </c>
      <c r="P56" s="3124">
        <f t="shared" si="6"/>
        <v>0</v>
      </c>
      <c r="Q56" s="3121">
        <f t="shared" si="7"/>
        <v>0</v>
      </c>
      <c r="R56" s="3131">
        <f t="shared" si="5"/>
        <v>0</v>
      </c>
    </row>
    <row r="57" spans="3:21" s="2905" customFormat="1" ht="19.5" customHeight="1" x14ac:dyDescent="0.25">
      <c r="C57" s="4376"/>
      <c r="D57" s="3263" t="s">
        <v>1125</v>
      </c>
      <c r="E57" s="2934">
        <v>106204517</v>
      </c>
      <c r="F57" s="3261" t="s">
        <v>3148</v>
      </c>
      <c r="G57" s="2991" t="s">
        <v>3745</v>
      </c>
      <c r="H57" s="2934">
        <v>1</v>
      </c>
      <c r="I57" s="2731"/>
      <c r="J57" s="2452">
        <v>3.6</v>
      </c>
      <c r="L57" s="2905">
        <f>'Lista global'!P$236</f>
        <v>9401</v>
      </c>
      <c r="M57" s="2905">
        <f>'Lista global'!Q$236</f>
        <v>5358.57</v>
      </c>
      <c r="O57" s="2731">
        <f>IF(AND($M$2=$U$7,$O$2=$T$4),1,0)</f>
        <v>0</v>
      </c>
      <c r="P57" s="3124">
        <f t="shared" si="6"/>
        <v>0</v>
      </c>
      <c r="Q57" s="3121">
        <f t="shared" si="7"/>
        <v>0</v>
      </c>
      <c r="R57" s="3131">
        <f t="shared" si="5"/>
        <v>0</v>
      </c>
    </row>
    <row r="58" spans="3:21" s="2905" customFormat="1" ht="19.5" customHeight="1" x14ac:dyDescent="0.25">
      <c r="C58" s="4376"/>
      <c r="D58" s="3263" t="s">
        <v>1126</v>
      </c>
      <c r="E58" s="2934">
        <v>106204518</v>
      </c>
      <c r="F58" s="3261" t="s">
        <v>2780</v>
      </c>
      <c r="G58" s="2991" t="s">
        <v>3746</v>
      </c>
      <c r="H58" s="2934">
        <v>1</v>
      </c>
      <c r="I58" s="2731"/>
      <c r="J58" s="2452">
        <v>3.7</v>
      </c>
      <c r="L58" s="2905">
        <f>'Lista global'!P$237</f>
        <v>9495.01</v>
      </c>
      <c r="M58" s="2905">
        <f>'Lista global'!Q$237</f>
        <v>5412.15</v>
      </c>
      <c r="O58" s="2731">
        <f>IF(AND($M$2=$U$8,$O$2=$T$5),1,0)</f>
        <v>0</v>
      </c>
      <c r="P58" s="3124">
        <f t="shared" si="6"/>
        <v>0</v>
      </c>
      <c r="Q58" s="3121">
        <f t="shared" si="7"/>
        <v>0</v>
      </c>
      <c r="R58" s="3131">
        <f t="shared" si="5"/>
        <v>0</v>
      </c>
    </row>
    <row r="59" spans="3:21" s="2905" customFormat="1" ht="19.5" customHeight="1" thickBot="1" x14ac:dyDescent="0.3">
      <c r="C59" s="4377"/>
      <c r="D59" s="3264" t="s">
        <v>1127</v>
      </c>
      <c r="E59" s="2946">
        <v>106204519</v>
      </c>
      <c r="F59" s="2993" t="s">
        <v>3151</v>
      </c>
      <c r="G59" s="2959" t="s">
        <v>3747</v>
      </c>
      <c r="H59" s="2946">
        <v>1</v>
      </c>
      <c r="I59" s="2984"/>
      <c r="J59" s="2595">
        <v>3.6</v>
      </c>
      <c r="L59" s="2905">
        <f>'Lista global'!P$238</f>
        <v>9495.01</v>
      </c>
      <c r="M59" s="2905">
        <f>'Lista global'!Q$238</f>
        <v>5412.15</v>
      </c>
      <c r="O59" s="2731">
        <f>IF(AND($M$2=$U$8,$O$2=$T$4),1,0)</f>
        <v>0</v>
      </c>
      <c r="P59" s="3124">
        <f t="shared" si="6"/>
        <v>0</v>
      </c>
      <c r="Q59" s="3118">
        <f t="shared" si="7"/>
        <v>0</v>
      </c>
      <c r="R59" s="3128">
        <f t="shared" si="5"/>
        <v>0</v>
      </c>
    </row>
    <row r="60" spans="3:21" s="1580" customFormat="1" ht="19.5" customHeight="1" thickBot="1" x14ac:dyDescent="0.25">
      <c r="G60" s="2923"/>
      <c r="I60" s="2546"/>
      <c r="J60" s="2546"/>
      <c r="Q60" s="3265" t="s">
        <v>941</v>
      </c>
      <c r="R60" s="3266">
        <f>SUM(R4:R59)</f>
        <v>89991.376666666663</v>
      </c>
      <c r="T60" s="2905"/>
      <c r="U60" s="2905"/>
    </row>
    <row r="61" spans="3:21" s="1580" customFormat="1" ht="19.5" customHeight="1" thickBot="1" x14ac:dyDescent="0.25">
      <c r="C61" s="2924" t="s">
        <v>2991</v>
      </c>
      <c r="D61" s="2924"/>
      <c r="E61" s="2924"/>
      <c r="G61" s="2925"/>
      <c r="H61" s="2924"/>
      <c r="I61" s="2926"/>
      <c r="J61" s="2924"/>
    </row>
    <row r="62" spans="3:21" s="2927" customFormat="1" ht="19.5" customHeight="1" x14ac:dyDescent="0.2">
      <c r="C62" s="4378" t="s">
        <v>2862</v>
      </c>
      <c r="D62" s="4379"/>
      <c r="E62" s="4379"/>
      <c r="F62" s="4379"/>
      <c r="G62" s="4379"/>
      <c r="H62" s="4379"/>
      <c r="I62" s="4379"/>
      <c r="J62" s="4380"/>
      <c r="T62" s="1580"/>
      <c r="U62" s="1580"/>
    </row>
    <row r="63" spans="3:21" s="2927" customFormat="1" ht="25.5" customHeight="1" x14ac:dyDescent="0.2">
      <c r="C63" s="4326" t="s">
        <v>2863</v>
      </c>
      <c r="D63" s="4327"/>
      <c r="E63" s="4327"/>
      <c r="F63" s="4327"/>
      <c r="G63" s="4327"/>
      <c r="H63" s="4327"/>
      <c r="I63" s="4327"/>
      <c r="J63" s="4328"/>
    </row>
    <row r="64" spans="3:21" s="2927" customFormat="1" ht="19.5" customHeight="1" x14ac:dyDescent="0.2">
      <c r="C64" s="4326" t="s">
        <v>2864</v>
      </c>
      <c r="D64" s="4327"/>
      <c r="E64" s="4327"/>
      <c r="F64" s="4327"/>
      <c r="G64" s="4327"/>
      <c r="H64" s="4327"/>
      <c r="I64" s="4327"/>
      <c r="J64" s="4328"/>
    </row>
    <row r="65" spans="1:29" s="2927" customFormat="1" ht="24" customHeight="1" x14ac:dyDescent="0.2">
      <c r="C65" s="4326" t="s">
        <v>2865</v>
      </c>
      <c r="D65" s="4327"/>
      <c r="E65" s="4327"/>
      <c r="F65" s="4327"/>
      <c r="G65" s="4327"/>
      <c r="H65" s="4327"/>
      <c r="I65" s="4327"/>
      <c r="J65" s="4328"/>
    </row>
    <row r="66" spans="1:29" s="2927" customFormat="1" ht="19.5" customHeight="1" x14ac:dyDescent="0.2">
      <c r="C66" s="4326" t="s">
        <v>2866</v>
      </c>
      <c r="D66" s="4327"/>
      <c r="E66" s="4327"/>
      <c r="F66" s="4327"/>
      <c r="G66" s="4327"/>
      <c r="H66" s="4327"/>
      <c r="I66" s="4327"/>
      <c r="J66" s="4328"/>
    </row>
    <row r="67" spans="1:29" s="2927" customFormat="1" ht="19.5" customHeight="1" x14ac:dyDescent="0.2">
      <c r="C67" s="4326" t="s">
        <v>2870</v>
      </c>
      <c r="D67" s="4327"/>
      <c r="E67" s="4327"/>
      <c r="F67" s="4327"/>
      <c r="G67" s="4327"/>
      <c r="H67" s="4327"/>
      <c r="I67" s="4327"/>
      <c r="J67" s="4328"/>
    </row>
    <row r="68" spans="1:29" s="2927" customFormat="1" ht="19.5" customHeight="1" x14ac:dyDescent="0.2">
      <c r="C68" s="4326" t="s">
        <v>2871</v>
      </c>
      <c r="D68" s="4327"/>
      <c r="E68" s="4327"/>
      <c r="F68" s="4327"/>
      <c r="G68" s="4327"/>
      <c r="H68" s="4327"/>
      <c r="I68" s="4327"/>
      <c r="J68" s="4328"/>
    </row>
    <row r="69" spans="1:29" s="2927" customFormat="1" ht="19.5" customHeight="1" x14ac:dyDescent="0.2">
      <c r="C69" s="4326" t="s">
        <v>2869</v>
      </c>
      <c r="D69" s="4327"/>
      <c r="E69" s="4327"/>
      <c r="F69" s="4327"/>
      <c r="G69" s="4327"/>
      <c r="H69" s="4327"/>
      <c r="I69" s="4327"/>
      <c r="J69" s="4328"/>
    </row>
    <row r="70" spans="1:29" s="2927" customFormat="1" ht="19.5" customHeight="1" x14ac:dyDescent="0.2">
      <c r="C70" s="4326" t="s">
        <v>2872</v>
      </c>
      <c r="D70" s="4327"/>
      <c r="E70" s="4327"/>
      <c r="F70" s="4327"/>
      <c r="G70" s="4327"/>
      <c r="H70" s="4327"/>
      <c r="I70" s="4327"/>
      <c r="J70" s="4328"/>
    </row>
    <row r="71" spans="1:29" s="2927" customFormat="1" ht="19.5" customHeight="1" x14ac:dyDescent="0.2">
      <c r="C71" s="4326" t="s">
        <v>2867</v>
      </c>
      <c r="D71" s="4327"/>
      <c r="E71" s="4327"/>
      <c r="F71" s="4327"/>
      <c r="G71" s="4327"/>
      <c r="H71" s="4327"/>
      <c r="I71" s="4327"/>
      <c r="J71" s="4328"/>
    </row>
    <row r="72" spans="1:29" s="2927" customFormat="1" ht="33" customHeight="1" thickBot="1" x14ac:dyDescent="0.25">
      <c r="C72" s="4358" t="s">
        <v>2868</v>
      </c>
      <c r="D72" s="4359"/>
      <c r="E72" s="4359"/>
      <c r="F72" s="4359"/>
      <c r="G72" s="4359"/>
      <c r="H72" s="4359"/>
      <c r="I72" s="4359"/>
      <c r="J72" s="4360"/>
    </row>
    <row r="73" spans="1:29" s="1383" customFormat="1" x14ac:dyDescent="0.25">
      <c r="A73" s="75"/>
      <c r="B73" s="75"/>
      <c r="F73" s="411"/>
      <c r="L73" s="2633"/>
      <c r="M73" s="2202"/>
      <c r="N73" s="5"/>
      <c r="O73" s="2633"/>
      <c r="P73" s="2633"/>
      <c r="R73" s="228"/>
      <c r="T73" s="2927"/>
      <c r="U73" s="2927"/>
    </row>
    <row r="74" spans="1:29" s="794" customFormat="1" ht="31.5" customHeight="1" thickBot="1" x14ac:dyDescent="0.3">
      <c r="A74" s="1381"/>
      <c r="B74" s="1381"/>
      <c r="F74" s="2270"/>
      <c r="L74" s="3203" t="s">
        <v>2949</v>
      </c>
      <c r="M74" s="3203" t="s">
        <v>2940</v>
      </c>
      <c r="N74" s="3204"/>
      <c r="O74" s="3111" t="s">
        <v>255</v>
      </c>
      <c r="P74" s="3202" t="s">
        <v>2994</v>
      </c>
      <c r="Q74" s="3202" t="s">
        <v>2993</v>
      </c>
      <c r="R74" s="3112" t="s">
        <v>2992</v>
      </c>
      <c r="S74" s="2508"/>
      <c r="T74" s="1383"/>
      <c r="U74" s="1383"/>
      <c r="V74" s="3205"/>
      <c r="W74" s="2278"/>
    </row>
    <row r="75" spans="1:29" s="3185" customFormat="1" ht="19.5" thickBot="1" x14ac:dyDescent="0.3">
      <c r="C75" s="4382" t="s">
        <v>2984</v>
      </c>
      <c r="D75" s="4383"/>
      <c r="E75" s="4383"/>
      <c r="F75" s="4383"/>
      <c r="G75" s="4383"/>
      <c r="H75" s="4383"/>
      <c r="I75" s="4383"/>
      <c r="J75" s="4384"/>
      <c r="L75" s="3109" t="s">
        <v>2947</v>
      </c>
      <c r="M75" s="3206" t="s">
        <v>2944</v>
      </c>
      <c r="N75" s="3206"/>
      <c r="O75" s="3109" t="s">
        <v>255</v>
      </c>
      <c r="P75" s="3110">
        <v>4</v>
      </c>
      <c r="Q75" s="3110">
        <v>3</v>
      </c>
      <c r="R75" s="3109" t="s">
        <v>2947</v>
      </c>
      <c r="S75" s="3020"/>
      <c r="T75" s="2278"/>
      <c r="U75" s="2278"/>
    </row>
    <row r="76" spans="1:29" s="2896" customFormat="1" ht="33" customHeight="1" thickBot="1" x14ac:dyDescent="0.3">
      <c r="C76" s="3198"/>
      <c r="D76" s="3199" t="s">
        <v>526</v>
      </c>
      <c r="E76" s="3200" t="s">
        <v>935</v>
      </c>
      <c r="F76" s="4317" t="s">
        <v>525</v>
      </c>
      <c r="G76" s="4318"/>
      <c r="H76" s="3200" t="s">
        <v>2847</v>
      </c>
      <c r="I76" s="3201" t="s">
        <v>2848</v>
      </c>
      <c r="J76" s="3200" t="s">
        <v>2849</v>
      </c>
      <c r="L76" s="3455" t="s">
        <v>3360</v>
      </c>
      <c r="M76" s="1547" t="s">
        <v>3103</v>
      </c>
      <c r="N76" s="1547" t="s">
        <v>3358</v>
      </c>
      <c r="O76" s="3242" t="s">
        <v>2449</v>
      </c>
      <c r="P76" s="2897" t="s">
        <v>959</v>
      </c>
      <c r="Q76" s="3242" t="s">
        <v>2981</v>
      </c>
      <c r="R76" s="3242" t="s">
        <v>2980</v>
      </c>
      <c r="S76" s="1750"/>
      <c r="T76" s="1764"/>
      <c r="U76" s="3017"/>
      <c r="V76" s="4353" t="s">
        <v>3489</v>
      </c>
      <c r="W76" s="4353"/>
      <c r="X76" s="4353" t="s">
        <v>3490</v>
      </c>
      <c r="Y76" s="4353"/>
      <c r="Z76" s="4353" t="s">
        <v>3491</v>
      </c>
      <c r="AA76" s="4353"/>
      <c r="AB76" s="4353" t="s">
        <v>3492</v>
      </c>
      <c r="AC76" s="4353"/>
    </row>
    <row r="77" spans="1:29" s="2905" customFormat="1" ht="19.5" customHeight="1" x14ac:dyDescent="0.2">
      <c r="C77" s="4375" t="s">
        <v>2985</v>
      </c>
      <c r="D77" s="2936" t="s">
        <v>91</v>
      </c>
      <c r="E77" s="3157">
        <v>106119611</v>
      </c>
      <c r="F77" s="1411" t="s">
        <v>2547</v>
      </c>
      <c r="G77" s="1397" t="s">
        <v>2548</v>
      </c>
      <c r="H77" s="3158">
        <v>1</v>
      </c>
      <c r="I77" s="2397"/>
      <c r="J77" s="2398" t="s">
        <v>2850</v>
      </c>
      <c r="L77" s="3114">
        <f>'Lista global'!P$272</f>
        <v>121.33749999999999</v>
      </c>
      <c r="M77" s="3114">
        <f>'Lista global'!Q$272</f>
        <v>102.17894736842105</v>
      </c>
      <c r="N77" s="3114">
        <f>'Lista global'!I$272</f>
        <v>97.066666666666663</v>
      </c>
      <c r="O77" s="2731">
        <v>2</v>
      </c>
      <c r="P77" s="3124">
        <f t="shared" ref="P77:P84" si="8">H77*$P$75+I77</f>
        <v>4</v>
      </c>
      <c r="Q77" s="3117">
        <f>IF(ROUND(P77*$Q$75/8,0)&lt;O77,O77,ROUND(P77*$Q$75/8,0))</f>
        <v>2</v>
      </c>
      <c r="R77" s="3127">
        <f t="shared" ref="R77:R103" si="9">L77*Q77</f>
        <v>242.67499999999998</v>
      </c>
      <c r="S77" s="60"/>
      <c r="T77" s="1766" t="s">
        <v>255</v>
      </c>
      <c r="U77" s="1766" t="s">
        <v>2942</v>
      </c>
      <c r="V77" s="3689" t="s">
        <v>3493</v>
      </c>
      <c r="W77" s="3689">
        <v>566858</v>
      </c>
      <c r="X77" s="2905" t="s">
        <v>3494</v>
      </c>
      <c r="Y77" s="2905" t="s">
        <v>3495</v>
      </c>
    </row>
    <row r="78" spans="1:29" s="2905" customFormat="1" ht="19.5" customHeight="1" x14ac:dyDescent="0.2">
      <c r="C78" s="4376"/>
      <c r="D78" s="3159" t="s">
        <v>93</v>
      </c>
      <c r="E78" s="3153">
        <v>106202884</v>
      </c>
      <c r="F78" s="3154" t="s">
        <v>1307</v>
      </c>
      <c r="G78" s="3155" t="s">
        <v>1308</v>
      </c>
      <c r="H78" s="3152">
        <v>1</v>
      </c>
      <c r="I78" s="2731"/>
      <c r="J78" s="2452" t="s">
        <v>2850</v>
      </c>
      <c r="L78" s="2905">
        <f>'Lista global'!P$218</f>
        <v>34.1</v>
      </c>
      <c r="M78" s="2905">
        <f>'Lista global'!Q$218</f>
        <v>28.715789473684215</v>
      </c>
      <c r="N78" s="2905">
        <f>'Lista global'!I$218</f>
        <v>27.244444444444444</v>
      </c>
      <c r="O78" s="2731">
        <v>1</v>
      </c>
      <c r="P78" s="3124">
        <f t="shared" si="8"/>
        <v>4</v>
      </c>
      <c r="Q78" s="3121">
        <f>IF(ROUND(P78*$Q$75/8,0)&lt;O78,O78,ROUND(P78*$Q$75/8,0))</f>
        <v>2</v>
      </c>
      <c r="R78" s="3131">
        <f t="shared" si="9"/>
        <v>68.2</v>
      </c>
      <c r="S78" s="60"/>
      <c r="T78" s="905" t="s">
        <v>2941</v>
      </c>
      <c r="U78" s="1766" t="s">
        <v>2943</v>
      </c>
      <c r="V78" s="3689" t="s">
        <v>3493</v>
      </c>
      <c r="W78" s="3689">
        <v>101243</v>
      </c>
      <c r="X78" s="2905" t="s">
        <v>3494</v>
      </c>
      <c r="Y78" s="2905" t="s">
        <v>3496</v>
      </c>
    </row>
    <row r="79" spans="1:29" s="2905" customFormat="1" ht="19.5" customHeight="1" x14ac:dyDescent="0.2">
      <c r="C79" s="4376"/>
      <c r="D79" s="3160" t="s">
        <v>127</v>
      </c>
      <c r="E79" s="3153">
        <v>106114372</v>
      </c>
      <c r="F79" s="3154" t="s">
        <v>1884</v>
      </c>
      <c r="G79" s="3155" t="s">
        <v>1885</v>
      </c>
      <c r="H79" s="3153"/>
      <c r="I79" s="2731">
        <v>1</v>
      </c>
      <c r="J79" s="2452" t="s">
        <v>2850</v>
      </c>
      <c r="L79" s="2905">
        <f>'Lista global'!P$143</f>
        <v>62.337499999999991</v>
      </c>
      <c r="M79" s="2905">
        <f>'Lista global'!Q$143</f>
        <v>52.494736842105262</v>
      </c>
      <c r="N79" s="2905">
        <f>'Lista global'!I$143</f>
        <v>49.866666666666667</v>
      </c>
      <c r="O79" s="2731">
        <v>1</v>
      </c>
      <c r="P79" s="3124">
        <f t="shared" si="8"/>
        <v>1</v>
      </c>
      <c r="Q79" s="3121">
        <f>IF(ROUND(P79*$Q$75/8,0)&lt;O79,O79,ROUND(P79*$Q$75/8,0))</f>
        <v>1</v>
      </c>
      <c r="R79" s="3131">
        <f t="shared" si="9"/>
        <v>62.337499999999991</v>
      </c>
      <c r="S79" s="60"/>
      <c r="T79" s="905"/>
      <c r="U79" s="1766" t="s">
        <v>2944</v>
      </c>
      <c r="V79" s="3689" t="s">
        <v>3493</v>
      </c>
      <c r="W79" s="3689">
        <v>101246</v>
      </c>
      <c r="X79" s="2905" t="s">
        <v>3497</v>
      </c>
      <c r="Y79" s="2905" t="s">
        <v>3498</v>
      </c>
      <c r="Z79" s="2905" t="s">
        <v>3497</v>
      </c>
      <c r="AA79" s="2905" t="s">
        <v>3499</v>
      </c>
    </row>
    <row r="80" spans="1:29" s="2905" customFormat="1" ht="19.5" customHeight="1" x14ac:dyDescent="0.2">
      <c r="C80" s="4376"/>
      <c r="D80" s="3159" t="s">
        <v>95</v>
      </c>
      <c r="E80" s="2747">
        <v>106202883</v>
      </c>
      <c r="F80" s="2748" t="s">
        <v>1303</v>
      </c>
      <c r="G80" s="2749" t="s">
        <v>1304</v>
      </c>
      <c r="H80" s="3152">
        <v>1</v>
      </c>
      <c r="I80" s="2731"/>
      <c r="J80" s="2452" t="s">
        <v>2850</v>
      </c>
      <c r="L80" s="2905">
        <f>'Lista global'!P$217</f>
        <v>27.474999999999998</v>
      </c>
      <c r="M80" s="2905">
        <f>'Lista global'!Q$217</f>
        <v>23.13684210526316</v>
      </c>
      <c r="N80" s="2905">
        <f>'Lista global'!I$217</f>
        <v>21.977777777777778</v>
      </c>
      <c r="O80" s="2731">
        <v>1</v>
      </c>
      <c r="P80" s="3124">
        <f t="shared" si="8"/>
        <v>4</v>
      </c>
      <c r="Q80" s="3121">
        <f>IF(ROUND(P80*$Q$75/8,0)&lt;O80,O80,ROUND(P80*$Q$75/8,0))</f>
        <v>2</v>
      </c>
      <c r="R80" s="3131">
        <f t="shared" si="9"/>
        <v>54.949999999999996</v>
      </c>
      <c r="S80" s="3018"/>
      <c r="T80" s="679" t="s">
        <v>2947</v>
      </c>
      <c r="U80" s="1766" t="s">
        <v>2945</v>
      </c>
      <c r="V80" s="3689" t="s">
        <v>3493</v>
      </c>
      <c r="W80" s="3689">
        <v>101234</v>
      </c>
      <c r="X80" s="2905" t="s">
        <v>3497</v>
      </c>
      <c r="Y80" s="2905" t="s">
        <v>3500</v>
      </c>
    </row>
    <row r="81" spans="3:29" s="2905" customFormat="1" ht="19.5" customHeight="1" x14ac:dyDescent="0.2">
      <c r="C81" s="4376"/>
      <c r="D81" s="3159" t="s">
        <v>2851</v>
      </c>
      <c r="E81" s="2932">
        <v>106113580</v>
      </c>
      <c r="F81" s="3156" t="s">
        <v>1476</v>
      </c>
      <c r="G81" s="2965" t="s">
        <v>1477</v>
      </c>
      <c r="H81" s="3152">
        <v>1</v>
      </c>
      <c r="I81" s="2731"/>
      <c r="J81" s="2452" t="s">
        <v>2850</v>
      </c>
      <c r="L81" s="2905">
        <f>'Lista global'!P$122</f>
        <v>443.33749999999998</v>
      </c>
      <c r="M81" s="2905">
        <f>'Lista global'!Q$122</f>
        <v>373.3368421052632</v>
      </c>
      <c r="N81" s="2905">
        <f>'Lista global'!I$122</f>
        <v>354.62222222222226</v>
      </c>
      <c r="O81" s="2731">
        <v>1</v>
      </c>
      <c r="P81" s="3124">
        <f t="shared" si="8"/>
        <v>4</v>
      </c>
      <c r="Q81" s="3121">
        <f>IF(ROUNDDOWN(($Q$75*P81/4)/10,0)&lt;O81,O81,ROUNDDOWN(($Q$75*P81/4)/10,0))</f>
        <v>1</v>
      </c>
      <c r="R81" s="3131">
        <f t="shared" si="9"/>
        <v>443.33749999999998</v>
      </c>
      <c r="S81" s="60"/>
      <c r="T81" s="905" t="s">
        <v>2948</v>
      </c>
      <c r="U81" s="1766" t="s">
        <v>2946</v>
      </c>
      <c r="V81" s="3689" t="s">
        <v>3493</v>
      </c>
      <c r="W81" s="3689">
        <v>133286</v>
      </c>
      <c r="X81" s="2905" t="s">
        <v>3497</v>
      </c>
      <c r="Y81" s="2905" t="s">
        <v>3501</v>
      </c>
    </row>
    <row r="82" spans="3:29" s="2905" customFormat="1" ht="19.5" customHeight="1" thickBot="1" x14ac:dyDescent="0.25">
      <c r="C82" s="4376"/>
      <c r="D82" s="2992" t="s">
        <v>106</v>
      </c>
      <c r="E82" s="2941">
        <v>106200539</v>
      </c>
      <c r="F82" s="2993" t="s">
        <v>1230</v>
      </c>
      <c r="G82" s="2994" t="s">
        <v>1231</v>
      </c>
      <c r="H82" s="3161">
        <v>1</v>
      </c>
      <c r="I82" s="2453"/>
      <c r="J82" s="2595"/>
      <c r="L82" s="2905">
        <f>'Lista global'!P$178</f>
        <v>33.199999999999996</v>
      </c>
      <c r="M82" s="2905">
        <f>'Lista global'!Q$178</f>
        <v>22.133333333333333</v>
      </c>
      <c r="N82" s="2905">
        <f>'Lista global'!I$178</f>
        <v>13.277777777777777</v>
      </c>
      <c r="O82" s="2453">
        <v>1</v>
      </c>
      <c r="P82" s="3124">
        <f t="shared" si="8"/>
        <v>4</v>
      </c>
      <c r="Q82" s="3117">
        <f>IF(ROUND(($Q$75*P82/4)/2,0)&lt;O82,O82,ROUND(($Q$75*P82/4)/2,0))</f>
        <v>2</v>
      </c>
      <c r="R82" s="3127">
        <f t="shared" si="9"/>
        <v>66.399999999999991</v>
      </c>
      <c r="S82" s="60"/>
      <c r="T82" s="905"/>
      <c r="U82" s="1766"/>
      <c r="V82" s="3689" t="s">
        <v>3502</v>
      </c>
      <c r="W82" s="3689"/>
    </row>
    <row r="83" spans="3:29" s="3096" customFormat="1" ht="19.5" customHeight="1" x14ac:dyDescent="0.2">
      <c r="C83" s="4365"/>
      <c r="D83" s="4233" t="s">
        <v>2815</v>
      </c>
      <c r="E83" s="2718">
        <v>106205458</v>
      </c>
      <c r="F83" s="1411" t="s">
        <v>3033</v>
      </c>
      <c r="G83" s="1441" t="s">
        <v>3034</v>
      </c>
      <c r="H83" s="3190">
        <v>1</v>
      </c>
      <c r="I83" s="2836"/>
      <c r="J83" s="3151"/>
      <c r="L83" s="3191">
        <f>'Lista global'!P$259</f>
        <v>191.70000000000002</v>
      </c>
      <c r="M83" s="3191">
        <f>'Lista global'!Q$259</f>
        <v>127.80000000000001</v>
      </c>
      <c r="N83" s="3191">
        <f>'Lista global'!I$259</f>
        <v>67.911111111111111</v>
      </c>
      <c r="O83" s="3192">
        <v>1</v>
      </c>
      <c r="P83" s="3193">
        <f t="shared" si="8"/>
        <v>4</v>
      </c>
      <c r="Q83" s="3194">
        <f>IF(ROUNDUP(($Q$75*P83/4)/10,0)&lt;O83,O83,ROUNDUP(($Q$75*P83/4)/10,0))</f>
        <v>1</v>
      </c>
      <c r="R83" s="3195">
        <f t="shared" si="9"/>
        <v>191.70000000000002</v>
      </c>
      <c r="S83" s="3097"/>
      <c r="T83" s="3098"/>
      <c r="U83" s="3098"/>
      <c r="V83" s="3689" t="s">
        <v>3502</v>
      </c>
      <c r="W83" s="3689"/>
    </row>
    <row r="84" spans="3:29" s="2905" customFormat="1" ht="19.5" customHeight="1" thickBot="1" x14ac:dyDescent="0.25">
      <c r="C84" s="4365"/>
      <c r="D84" s="4234"/>
      <c r="E84" s="2946">
        <v>106204234</v>
      </c>
      <c r="F84" s="2999" t="s">
        <v>1608</v>
      </c>
      <c r="G84" s="2959" t="s">
        <v>1609</v>
      </c>
      <c r="H84" s="2946">
        <v>3</v>
      </c>
      <c r="I84" s="2453"/>
      <c r="J84" s="2595" t="s">
        <v>649</v>
      </c>
      <c r="L84" s="2905">
        <f>'Lista global'!P$231</f>
        <v>18.462499999999999</v>
      </c>
      <c r="M84" s="2905">
        <f>'Lista global'!Q$231</f>
        <v>15.547368421052632</v>
      </c>
      <c r="N84" s="2905">
        <f>'Lista global'!I$231</f>
        <v>13.311111111111112</v>
      </c>
      <c r="O84" s="2453">
        <v>1</v>
      </c>
      <c r="P84" s="3193">
        <f t="shared" si="8"/>
        <v>12</v>
      </c>
      <c r="Q84" s="3118">
        <f>Q83</f>
        <v>1</v>
      </c>
      <c r="R84" s="3128">
        <f t="shared" si="9"/>
        <v>18.462499999999999</v>
      </c>
      <c r="S84" s="60"/>
      <c r="T84" s="905"/>
      <c r="U84" s="1766"/>
      <c r="V84" s="3689" t="s">
        <v>3503</v>
      </c>
      <c r="W84" s="3689" t="s">
        <v>3504</v>
      </c>
      <c r="X84" s="2905" t="s">
        <v>3505</v>
      </c>
      <c r="Y84" s="2905" t="s">
        <v>3506</v>
      </c>
      <c r="Z84" s="2905" t="s">
        <v>3503</v>
      </c>
      <c r="AA84" s="2905" t="s">
        <v>3507</v>
      </c>
    </row>
    <row r="85" spans="3:29" s="2905" customFormat="1" ht="19.5" customHeight="1" x14ac:dyDescent="0.2">
      <c r="C85" s="4365"/>
      <c r="D85" s="4385" t="s">
        <v>2852</v>
      </c>
      <c r="E85" s="2943">
        <v>106204289</v>
      </c>
      <c r="F85" s="2948" t="s">
        <v>2959</v>
      </c>
      <c r="G85" s="2910" t="s">
        <v>2960</v>
      </c>
      <c r="H85" s="2971">
        <v>1</v>
      </c>
      <c r="I85" s="2981"/>
      <c r="J85" s="2911" t="s">
        <v>2853</v>
      </c>
      <c r="L85" s="2905">
        <f>'Lista global'!P$232</f>
        <v>52.4</v>
      </c>
      <c r="M85" s="2905">
        <f>'Lista global'!Q$232</f>
        <v>34.933333333333337</v>
      </c>
      <c r="N85" s="2905">
        <f>'Lista global'!I$232</f>
        <v>20.966666666666669</v>
      </c>
      <c r="O85" s="2981">
        <f>IF(O75=T77,1,0)</f>
        <v>1</v>
      </c>
      <c r="P85" s="3124">
        <f>IF(O75=T77,H85*P75+I85,0)</f>
        <v>4</v>
      </c>
      <c r="Q85" s="3119">
        <f>IF(ROUNDUP(($Q$75*P85/4)/10,0)&lt;O85,O85,ROUNDUP(($Q$75*P85/4)/10,0))</f>
        <v>1</v>
      </c>
      <c r="R85" s="3129">
        <f t="shared" si="9"/>
        <v>52.4</v>
      </c>
      <c r="S85" s="60"/>
      <c r="T85" s="905"/>
      <c r="U85" s="1766"/>
      <c r="V85" s="3689" t="s">
        <v>3502</v>
      </c>
      <c r="W85" s="3689"/>
    </row>
    <row r="86" spans="3:29" s="2905" customFormat="1" ht="19.5" customHeight="1" thickBot="1" x14ac:dyDescent="0.3">
      <c r="C86" s="4365"/>
      <c r="D86" s="4386"/>
      <c r="E86" s="2944">
        <v>106203799</v>
      </c>
      <c r="F86" s="2949" t="s">
        <v>2957</v>
      </c>
      <c r="G86" s="2844" t="s">
        <v>2958</v>
      </c>
      <c r="H86" s="2972">
        <v>1</v>
      </c>
      <c r="I86" s="2381"/>
      <c r="J86" s="2912">
        <v>7</v>
      </c>
      <c r="L86" s="2905">
        <f>'Lista global'!P$228</f>
        <v>50.075000000000003</v>
      </c>
      <c r="M86" s="2905">
        <f>'Lista global'!Q$228</f>
        <v>33.38333333333334</v>
      </c>
      <c r="N86" s="2905">
        <f>'Lista global'!I$228</f>
        <v>20.033333333333335</v>
      </c>
      <c r="O86" s="2381">
        <f>IF(O75=T78,1,0)</f>
        <v>0</v>
      </c>
      <c r="P86" s="3124">
        <f>IF(O75=T78,H86*P75+I86,0)</f>
        <v>0</v>
      </c>
      <c r="Q86" s="3115">
        <f>IF(ROUNDUP(($Q$75*P86/4)/10,0)&lt;O86,O86,ROUNDUP(($Q$75*P86/4)/10,0))</f>
        <v>0</v>
      </c>
      <c r="R86" s="3125">
        <f t="shared" si="9"/>
        <v>0</v>
      </c>
      <c r="S86" s="1082"/>
      <c r="T86" s="905"/>
      <c r="U86" s="1766"/>
      <c r="V86" s="3689" t="s">
        <v>3502</v>
      </c>
      <c r="W86" s="3689"/>
    </row>
    <row r="87" spans="3:29" s="2905" customFormat="1" ht="19.5" customHeight="1" x14ac:dyDescent="0.2">
      <c r="C87" s="4365"/>
      <c r="D87" s="3209" t="s">
        <v>208</v>
      </c>
      <c r="E87" s="2937">
        <v>106105422</v>
      </c>
      <c r="F87" s="2929" t="s">
        <v>1798</v>
      </c>
      <c r="G87" s="2958" t="s">
        <v>1799</v>
      </c>
      <c r="H87" s="2973">
        <v>3</v>
      </c>
      <c r="I87" s="2397"/>
      <c r="J87" s="2907"/>
      <c r="L87" s="2905">
        <f>'Lista global'!P$65</f>
        <v>1.3625</v>
      </c>
      <c r="M87" s="2905">
        <f>'Lista global'!Q$65</f>
        <v>1.1473684210526318</v>
      </c>
      <c r="N87" s="2905">
        <f>'Lista global'!I$65</f>
        <v>1.0666666666666667</v>
      </c>
      <c r="O87" s="2397">
        <v>5</v>
      </c>
      <c r="P87" s="3124">
        <f>H87*$P$75+I87</f>
        <v>12</v>
      </c>
      <c r="Q87" s="3120">
        <f>IF(3*($Q$128+$Q$129+$Q$130+$Q$131+$Q$132+$Q$133+$Q$134+$Q$135+$Q$136+$Q$137)&lt;O87,O87,3*($Q$128+$Q$129+$Q$130+$Q$131+$Q$132+$Q$133+$Q$134+$Q$135+$Q$136+$Q$137))</f>
        <v>5</v>
      </c>
      <c r="R87" s="3130">
        <f t="shared" si="9"/>
        <v>6.8125</v>
      </c>
      <c r="S87" s="980"/>
      <c r="T87" s="679"/>
      <c r="U87" s="939"/>
      <c r="V87" s="3689" t="s">
        <v>3508</v>
      </c>
      <c r="W87" s="3689" t="s">
        <v>3509</v>
      </c>
    </row>
    <row r="88" spans="3:29" s="2905" customFormat="1" ht="19.5" customHeight="1" thickBot="1" x14ac:dyDescent="0.25">
      <c r="C88" s="4365"/>
      <c r="D88" s="3210" t="s">
        <v>2854</v>
      </c>
      <c r="E88" s="2985">
        <v>106112100</v>
      </c>
      <c r="F88" s="2930" t="s">
        <v>1353</v>
      </c>
      <c r="G88" s="2986" t="s">
        <v>1229</v>
      </c>
      <c r="H88" s="2987">
        <v>1</v>
      </c>
      <c r="I88" s="2947"/>
      <c r="J88" s="2931" t="s">
        <v>649</v>
      </c>
      <c r="L88" s="2905">
        <f>'Lista global'!P$110</f>
        <v>65.424999999999997</v>
      </c>
      <c r="M88" s="2905">
        <f>'Lista global'!Q$110</f>
        <v>55.09473684210527</v>
      </c>
      <c r="N88" s="2905">
        <f>'Lista global'!I$110</f>
        <v>52.344444444444441</v>
      </c>
      <c r="O88" s="2947">
        <v>1</v>
      </c>
      <c r="P88" s="3124">
        <f>H88*$P$75+I88</f>
        <v>4</v>
      </c>
      <c r="Q88" s="3117">
        <f>IF((Q128+Q129+Q130+Q131+Q132+Q133+Q134+Q135+Q136+Q137)&lt;O88,O88,(Q128+Q129+Q130+Q131+Q132+Q133+Q134+Q135+Q136+Q137))</f>
        <v>1</v>
      </c>
      <c r="R88" s="3127">
        <f t="shared" si="9"/>
        <v>65.424999999999997</v>
      </c>
      <c r="S88" s="980"/>
      <c r="T88" s="679"/>
      <c r="U88" s="1766"/>
      <c r="V88" s="3689" t="s">
        <v>3508</v>
      </c>
      <c r="W88" s="3689">
        <v>485305</v>
      </c>
      <c r="X88" s="2905" t="s">
        <v>3510</v>
      </c>
      <c r="Y88" s="2905">
        <v>31123</v>
      </c>
      <c r="Z88" s="2905" t="s">
        <v>3511</v>
      </c>
      <c r="AA88" s="2905" t="s">
        <v>3512</v>
      </c>
    </row>
    <row r="89" spans="3:29" s="2905" customFormat="1" ht="19.5" customHeight="1" x14ac:dyDescent="0.2">
      <c r="C89" s="4365"/>
      <c r="D89" s="2936" t="s">
        <v>144</v>
      </c>
      <c r="E89" s="2937">
        <v>106112043</v>
      </c>
      <c r="F89" s="2929" t="s">
        <v>2950</v>
      </c>
      <c r="G89" s="2958" t="s">
        <v>2951</v>
      </c>
      <c r="H89" s="2940">
        <v>1</v>
      </c>
      <c r="I89" s="2397"/>
      <c r="J89" s="2398">
        <v>4</v>
      </c>
      <c r="K89" s="4381" t="s">
        <v>2874</v>
      </c>
      <c r="L89" s="2905">
        <f>'Lista global'!P$303</f>
        <v>233.61249999999998</v>
      </c>
      <c r="M89" s="2905">
        <f>'Lista global'!Q$303</f>
        <v>196.72631578947369</v>
      </c>
      <c r="N89" s="2905">
        <f>'Lista global'!I$303</f>
        <v>186.88888888888889</v>
      </c>
      <c r="O89" s="2397">
        <v>1</v>
      </c>
      <c r="P89" s="3124">
        <f>IF($P$75=4,6,IF($P$75=3,5,3))</f>
        <v>6</v>
      </c>
      <c r="Q89" s="3120">
        <f>IF(ROUND(P89*$Q$75/10,0)&lt;O89,O89,ROUND(P89*$Q$75/10,0))</f>
        <v>2</v>
      </c>
      <c r="R89" s="3130">
        <f t="shared" si="9"/>
        <v>467.22499999999997</v>
      </c>
      <c r="S89" s="357"/>
      <c r="T89" s="679"/>
      <c r="U89" s="1766"/>
      <c r="V89" s="3689" t="s">
        <v>3513</v>
      </c>
      <c r="W89" s="3689" t="s">
        <v>3514</v>
      </c>
    </row>
    <row r="90" spans="3:29" s="2905" customFormat="1" ht="19.5" customHeight="1" thickBot="1" x14ac:dyDescent="0.25">
      <c r="C90" s="4365"/>
      <c r="D90" s="2992" t="s">
        <v>83</v>
      </c>
      <c r="E90" s="2941">
        <v>106117762</v>
      </c>
      <c r="F90" s="2930" t="s">
        <v>2952</v>
      </c>
      <c r="G90" s="2986" t="s">
        <v>2953</v>
      </c>
      <c r="H90" s="2946">
        <v>1</v>
      </c>
      <c r="I90" s="2453"/>
      <c r="J90" s="2595">
        <v>5</v>
      </c>
      <c r="K90" s="4381"/>
      <c r="L90" s="2905">
        <f>'Lista global'!P$304</f>
        <v>7.0874999999999995</v>
      </c>
      <c r="M90" s="2905">
        <f>'Lista global'!Q$304</f>
        <v>5.9684210526315793</v>
      </c>
      <c r="N90" s="2905">
        <f>'Lista global'!I$304</f>
        <v>5.6666666666666661</v>
      </c>
      <c r="O90" s="2453">
        <v>1</v>
      </c>
      <c r="P90" s="3124">
        <f>$P$89</f>
        <v>6</v>
      </c>
      <c r="Q90" s="3118">
        <f>$Q$89</f>
        <v>2</v>
      </c>
      <c r="R90" s="3128">
        <f t="shared" si="9"/>
        <v>14.174999999999999</v>
      </c>
      <c r="S90" s="3021"/>
      <c r="T90" s="679"/>
      <c r="U90" s="1766"/>
      <c r="V90" s="3689" t="s">
        <v>3515</v>
      </c>
      <c r="W90" s="3689">
        <v>60080002</v>
      </c>
    </row>
    <row r="91" spans="3:29" s="2905" customFormat="1" ht="19.5" customHeight="1" x14ac:dyDescent="0.2">
      <c r="C91" s="4365"/>
      <c r="D91" s="2995" t="s">
        <v>134</v>
      </c>
      <c r="E91" s="2996">
        <v>106104397</v>
      </c>
      <c r="F91" s="2997" t="s">
        <v>1775</v>
      </c>
      <c r="G91" s="2958" t="s">
        <v>1776</v>
      </c>
      <c r="H91" s="2937">
        <v>1</v>
      </c>
      <c r="I91" s="2397"/>
      <c r="J91" s="2398"/>
      <c r="L91" s="2905">
        <f>'Lista global'!P$52</f>
        <v>94.424999999999997</v>
      </c>
      <c r="M91" s="2905">
        <f>'Lista global'!Q$52</f>
        <v>79.515789473684222</v>
      </c>
      <c r="N91" s="2905">
        <f>'Lista global'!I$52</f>
        <v>75.544444444444437</v>
      </c>
      <c r="O91" s="2397">
        <v>1</v>
      </c>
      <c r="P91" s="3124">
        <f>H91*$P$75+I91</f>
        <v>4</v>
      </c>
      <c r="Q91" s="3120">
        <f>IF(ROUND(P91*$Q$75/4,0)&lt;O91,O91,ROUND(P91*$Q$75/4,0))</f>
        <v>3</v>
      </c>
      <c r="R91" s="3130">
        <f t="shared" si="9"/>
        <v>283.27499999999998</v>
      </c>
      <c r="S91" s="60"/>
      <c r="T91" s="905"/>
      <c r="U91" s="1766"/>
      <c r="V91" s="3689" t="s">
        <v>3516</v>
      </c>
      <c r="W91" s="3689" t="s">
        <v>3517</v>
      </c>
    </row>
    <row r="92" spans="3:29" s="2905" customFormat="1" ht="19.5" customHeight="1" x14ac:dyDescent="0.2">
      <c r="C92" s="4365"/>
      <c r="D92" s="2998" t="s">
        <v>1069</v>
      </c>
      <c r="E92" s="2989">
        <v>106116005</v>
      </c>
      <c r="F92" s="2988" t="s">
        <v>1498</v>
      </c>
      <c r="G92" s="2990" t="s">
        <v>1499</v>
      </c>
      <c r="H92" s="2934">
        <v>2</v>
      </c>
      <c r="I92" s="2731"/>
      <c r="J92" s="2452" t="s">
        <v>649</v>
      </c>
      <c r="L92" s="2905">
        <f>'Lista global'!P$150</f>
        <v>3.8874999999999997</v>
      </c>
      <c r="M92" s="2905">
        <f>'Lista global'!Q$150</f>
        <v>3.2736842105263158</v>
      </c>
      <c r="N92" s="2905">
        <f>'Lista global'!I$150</f>
        <v>3.1111111111111107</v>
      </c>
      <c r="O92" s="2731">
        <v>5</v>
      </c>
      <c r="P92" s="3124">
        <f>H92*$P$75+I92</f>
        <v>8</v>
      </c>
      <c r="Q92" s="3121">
        <f>IF(2*($Q$128+$Q$129+$Q$130+$Q$131+$Q$132+$Q$133+$Q$134+$Q$135+$Q$136+$Q$137)&lt;O92,O92,2*($Q$128+$Q$129+$Q$130+$Q$131+$Q$132+$Q$133+$Q$134+$Q$135+$Q$136+$Q$137))</f>
        <v>5</v>
      </c>
      <c r="R92" s="3131">
        <f t="shared" si="9"/>
        <v>19.4375</v>
      </c>
      <c r="S92" s="60"/>
      <c r="T92" s="905"/>
      <c r="U92" s="1766"/>
      <c r="V92" s="3689" t="s">
        <v>3511</v>
      </c>
      <c r="W92" s="3689" t="s">
        <v>3518</v>
      </c>
      <c r="X92" s="2905" t="s">
        <v>3508</v>
      </c>
      <c r="Y92" s="2905">
        <v>491605</v>
      </c>
      <c r="Z92" s="2905" t="s">
        <v>3519</v>
      </c>
      <c r="AA92" s="2905" t="s">
        <v>3520</v>
      </c>
      <c r="AB92" s="2905" t="s">
        <v>3521</v>
      </c>
      <c r="AC92" s="2905" t="s">
        <v>3522</v>
      </c>
    </row>
    <row r="93" spans="3:29" s="2905" customFormat="1" ht="19.5" customHeight="1" x14ac:dyDescent="0.2">
      <c r="C93" s="4365"/>
      <c r="D93" s="2998" t="s">
        <v>1070</v>
      </c>
      <c r="E93" s="3558">
        <v>106126857</v>
      </c>
      <c r="F93" s="2724" t="s">
        <v>1896</v>
      </c>
      <c r="G93" s="2749" t="s">
        <v>1511</v>
      </c>
      <c r="H93" s="2934">
        <v>2</v>
      </c>
      <c r="I93" s="2731"/>
      <c r="J93" s="2452" t="s">
        <v>649</v>
      </c>
      <c r="L93" s="2905">
        <f>'Lista global'!P$363</f>
        <v>6.9499999999999993</v>
      </c>
      <c r="M93" s="2905">
        <f>'Lista global'!Q$363</f>
        <v>5.852631578947368</v>
      </c>
      <c r="N93" s="2905">
        <f>'Lista global'!I$363</f>
        <v>5.56</v>
      </c>
      <c r="O93" s="2731">
        <v>5</v>
      </c>
      <c r="P93" s="3124">
        <f>H93*$P$75+I93</f>
        <v>8</v>
      </c>
      <c r="Q93" s="3121">
        <f>IF(2*($Q$128+$Q$129+$Q$130+$Q$131+$Q$132+$Q$133+$Q$134+$Q$135+$Q$136+$Q$137)&lt;O93,O93,2*($Q$128+$Q$129+$Q$130+$Q$131+$Q$132+$Q$133+$Q$134+$Q$135+$Q$136+$Q$137))</f>
        <v>5</v>
      </c>
      <c r="R93" s="3131">
        <f t="shared" si="9"/>
        <v>34.75</v>
      </c>
      <c r="S93" s="60"/>
      <c r="T93" s="905"/>
      <c r="U93" s="1766"/>
      <c r="V93" s="3689" t="s">
        <v>3511</v>
      </c>
      <c r="W93" s="3689" t="s">
        <v>3523</v>
      </c>
      <c r="X93" s="2905" t="s">
        <v>3508</v>
      </c>
      <c r="Y93" s="2905">
        <v>491630</v>
      </c>
      <c r="Z93" s="2905" t="s">
        <v>3524</v>
      </c>
      <c r="AA93" s="2905" t="s">
        <v>3525</v>
      </c>
    </row>
    <row r="94" spans="3:29" s="2905" customFormat="1" ht="19.5" customHeight="1" thickBot="1" x14ac:dyDescent="0.25">
      <c r="C94" s="4366"/>
      <c r="D94" s="3009"/>
      <c r="E94" s="2945" t="s">
        <v>1500</v>
      </c>
      <c r="F94" s="3105" t="s">
        <v>1149</v>
      </c>
      <c r="G94" s="3106" t="s">
        <v>1149</v>
      </c>
      <c r="H94" s="2945">
        <v>1</v>
      </c>
      <c r="I94" s="2404"/>
      <c r="J94" s="2479">
        <v>8</v>
      </c>
      <c r="L94" s="2905">
        <f>'Lista global'!P$262</f>
        <v>318.47499999999997</v>
      </c>
      <c r="M94" s="2905">
        <f>'Lista global'!Q$262</f>
        <v>212.31666666666666</v>
      </c>
      <c r="N94" s="2905">
        <f>'Lista global'!I$262</f>
        <v>127.06666666666666</v>
      </c>
      <c r="O94" s="2404">
        <f>IF($L$75=$T$80,1,0)</f>
        <v>1</v>
      </c>
      <c r="P94" s="3124">
        <f>IF($L$75=$T$80,H94*$P$75+I94,0)</f>
        <v>4</v>
      </c>
      <c r="Q94" s="3122">
        <f>IF(ROUNDDOWN(P94*$Q$75/20,0)&lt;O94,O94,ROUNDDOWN(P94*$Q$75/20,0))</f>
        <v>1</v>
      </c>
      <c r="R94" s="3132">
        <f t="shared" si="9"/>
        <v>318.47499999999997</v>
      </c>
      <c r="S94" s="60"/>
      <c r="T94" s="905"/>
      <c r="U94" s="1766"/>
      <c r="V94" s="3689" t="s">
        <v>3502</v>
      </c>
      <c r="W94" s="3689"/>
    </row>
    <row r="95" spans="3:29" s="2905" customFormat="1" ht="19.5" customHeight="1" thickBot="1" x14ac:dyDescent="0.25">
      <c r="C95" s="4217" t="s">
        <v>2986</v>
      </c>
      <c r="D95" s="4322" t="s">
        <v>263</v>
      </c>
      <c r="E95" s="2940"/>
      <c r="F95" s="3197" t="s">
        <v>2982</v>
      </c>
      <c r="G95" s="1441" t="s">
        <v>2983</v>
      </c>
      <c r="H95" s="3107">
        <v>1</v>
      </c>
      <c r="I95" s="2461"/>
      <c r="J95" s="3108">
        <v>1</v>
      </c>
      <c r="L95" s="3096">
        <f>SUM(L96:L100)/0.9</f>
        <v>504.83333333333326</v>
      </c>
      <c r="M95" s="3096">
        <f>SUM(M96:M100)/0.9</f>
        <v>425.12280701754389</v>
      </c>
      <c r="N95" s="3096">
        <f>SUM(N96:N100)/0.9</f>
        <v>403.85358024691351</v>
      </c>
      <c r="O95" s="2461">
        <v>1</v>
      </c>
      <c r="P95" s="3124">
        <f t="shared" ref="P95:P102" si="10">H95*$P$75+I95</f>
        <v>4</v>
      </c>
      <c r="Q95" s="3123">
        <f>IF(ROUNDDOWN(($Q$75*P95/4)/10,0)&lt;O95,O95,ROUNDDOWN(($Q$75*P95/4)/10,0))</f>
        <v>1</v>
      </c>
      <c r="R95" s="3133">
        <f t="shared" si="9"/>
        <v>504.83333333333326</v>
      </c>
      <c r="S95" s="60"/>
      <c r="T95" s="905"/>
      <c r="U95" s="1766"/>
      <c r="V95" s="3689" t="s">
        <v>3526</v>
      </c>
      <c r="W95" s="3689"/>
    </row>
    <row r="96" spans="3:29" s="2905" customFormat="1" ht="19.5" customHeight="1" x14ac:dyDescent="0.2">
      <c r="C96" s="4218"/>
      <c r="D96" s="4323"/>
      <c r="E96" s="1463">
        <v>106104180</v>
      </c>
      <c r="F96" s="3013" t="s">
        <v>1234</v>
      </c>
      <c r="G96" s="3014" t="s">
        <v>1235</v>
      </c>
      <c r="H96" s="2968">
        <v>1</v>
      </c>
      <c r="I96" s="2397"/>
      <c r="J96" s="2907"/>
      <c r="L96" s="2905">
        <f>'Lista global'!P$37</f>
        <v>409.88749999999999</v>
      </c>
      <c r="M96" s="2905">
        <f>'Lista global'!Q$37</f>
        <v>345.16842105263163</v>
      </c>
      <c r="N96" s="2905">
        <f>'Lista global'!I$37</f>
        <v>327.90744444444442</v>
      </c>
      <c r="O96" s="2397" t="s">
        <v>0</v>
      </c>
      <c r="P96" s="3124">
        <f t="shared" si="10"/>
        <v>4</v>
      </c>
      <c r="Q96" s="1463">
        <v>0</v>
      </c>
      <c r="R96" s="3134">
        <f t="shared" si="9"/>
        <v>0</v>
      </c>
      <c r="S96" s="60"/>
      <c r="T96" s="905"/>
      <c r="U96" s="1766"/>
      <c r="V96" s="3689" t="s">
        <v>3526</v>
      </c>
      <c r="W96" s="3689" t="s">
        <v>3527</v>
      </c>
    </row>
    <row r="97" spans="3:25" s="2905" customFormat="1" ht="19.5" customHeight="1" x14ac:dyDescent="0.2">
      <c r="C97" s="4218"/>
      <c r="D97" s="4323"/>
      <c r="E97" s="2728">
        <v>106104133</v>
      </c>
      <c r="F97" s="2915" t="s">
        <v>1236</v>
      </c>
      <c r="G97" s="2960" t="s">
        <v>1237</v>
      </c>
      <c r="H97" s="2969">
        <v>4</v>
      </c>
      <c r="I97" s="2731"/>
      <c r="J97" s="2909"/>
      <c r="L97" s="2905">
        <f>'Lista global'!P$32</f>
        <v>11.875</v>
      </c>
      <c r="M97" s="2905">
        <f>'Lista global'!Q$32</f>
        <v>10</v>
      </c>
      <c r="N97" s="2905">
        <f>'Lista global'!I$32</f>
        <v>9.5</v>
      </c>
      <c r="O97" s="2731" t="s">
        <v>0</v>
      </c>
      <c r="P97" s="3124">
        <f t="shared" si="10"/>
        <v>16</v>
      </c>
      <c r="Q97" s="2728">
        <v>0</v>
      </c>
      <c r="R97" s="3135">
        <f t="shared" si="9"/>
        <v>0</v>
      </c>
      <c r="S97" s="60"/>
      <c r="T97" s="905"/>
      <c r="U97" s="1766"/>
      <c r="V97" s="3689" t="s">
        <v>3526</v>
      </c>
      <c r="W97" s="3689" t="s">
        <v>3528</v>
      </c>
    </row>
    <row r="98" spans="3:25" s="2905" customFormat="1" ht="19.5" customHeight="1" x14ac:dyDescent="0.2">
      <c r="C98" s="4218"/>
      <c r="D98" s="4323"/>
      <c r="E98" s="2728">
        <v>106106241</v>
      </c>
      <c r="F98" s="2915" t="s">
        <v>1238</v>
      </c>
      <c r="G98" s="2960" t="s">
        <v>2573</v>
      </c>
      <c r="H98" s="2974">
        <v>2</v>
      </c>
      <c r="I98" s="2731"/>
      <c r="J98" s="2909"/>
      <c r="L98" s="2905">
        <f>'Lista global'!P$76</f>
        <v>5.6999999999999993</v>
      </c>
      <c r="M98" s="2905">
        <f>'Lista global'!Q$76</f>
        <v>4.8</v>
      </c>
      <c r="N98" s="2905">
        <f>'Lista global'!I$76</f>
        <v>4.5555555555555554</v>
      </c>
      <c r="O98" s="2731" t="s">
        <v>0</v>
      </c>
      <c r="P98" s="3124">
        <f t="shared" si="10"/>
        <v>8</v>
      </c>
      <c r="Q98" s="2728">
        <v>0</v>
      </c>
      <c r="R98" s="3135">
        <f t="shared" si="9"/>
        <v>0</v>
      </c>
      <c r="S98" s="60"/>
      <c r="T98" s="905"/>
      <c r="U98" s="1766"/>
      <c r="V98" s="3689" t="s">
        <v>3526</v>
      </c>
      <c r="W98" s="3689" t="s">
        <v>3529</v>
      </c>
    </row>
    <row r="99" spans="3:25" s="2905" customFormat="1" ht="19.5" customHeight="1" x14ac:dyDescent="0.2">
      <c r="C99" s="4218"/>
      <c r="D99" s="4323"/>
      <c r="E99" s="2728">
        <v>106104209</v>
      </c>
      <c r="F99" s="2915" t="s">
        <v>1239</v>
      </c>
      <c r="G99" s="2960" t="s">
        <v>1240</v>
      </c>
      <c r="H99" s="2969">
        <v>1</v>
      </c>
      <c r="I99" s="2731"/>
      <c r="J99" s="2909"/>
      <c r="L99" s="2905">
        <f>'Lista global'!P$40</f>
        <v>8.8249999999999993</v>
      </c>
      <c r="M99" s="2905">
        <f>'Lista global'!Q$40</f>
        <v>7.4315789473684211</v>
      </c>
      <c r="N99" s="2905">
        <f>'Lista global'!I$40</f>
        <v>7.0555555555555554</v>
      </c>
      <c r="O99" s="2731" t="s">
        <v>0</v>
      </c>
      <c r="P99" s="3124">
        <f t="shared" si="10"/>
        <v>4</v>
      </c>
      <c r="Q99" s="2728">
        <v>0</v>
      </c>
      <c r="R99" s="3135">
        <f t="shared" si="9"/>
        <v>0</v>
      </c>
      <c r="S99" s="60"/>
      <c r="T99" s="1766"/>
      <c r="U99" s="1766"/>
      <c r="V99" s="3689" t="s">
        <v>3526</v>
      </c>
      <c r="W99" s="3689" t="s">
        <v>3530</v>
      </c>
    </row>
    <row r="100" spans="3:25" s="2905" customFormat="1" ht="19.5" customHeight="1" thickBot="1" x14ac:dyDescent="0.25">
      <c r="C100" s="4218"/>
      <c r="D100" s="4324"/>
      <c r="E100" s="2106">
        <v>106104212</v>
      </c>
      <c r="F100" s="3015" t="s">
        <v>1241</v>
      </c>
      <c r="G100" s="3016" t="s">
        <v>1242</v>
      </c>
      <c r="H100" s="3493">
        <v>1</v>
      </c>
      <c r="I100" s="2453"/>
      <c r="J100" s="2914"/>
      <c r="L100" s="2905">
        <f>'Lista global'!P$42</f>
        <v>18.062499999999996</v>
      </c>
      <c r="M100" s="2905">
        <f>'Lista global'!Q$42</f>
        <v>15.210526315789474</v>
      </c>
      <c r="N100" s="2905">
        <f>'Lista global'!I$42</f>
        <v>14.449666666666666</v>
      </c>
      <c r="O100" s="2404" t="s">
        <v>0</v>
      </c>
      <c r="P100" s="3124">
        <f t="shared" si="10"/>
        <v>4</v>
      </c>
      <c r="Q100" s="2847">
        <v>0</v>
      </c>
      <c r="R100" s="3208">
        <f t="shared" si="9"/>
        <v>0</v>
      </c>
      <c r="S100" s="60"/>
      <c r="T100" s="679"/>
      <c r="U100" s="269"/>
      <c r="V100" s="3689" t="s">
        <v>3526</v>
      </c>
      <c r="W100" s="3689" t="s">
        <v>3531</v>
      </c>
    </row>
    <row r="101" spans="3:25" s="2905" customFormat="1" ht="19.5" customHeight="1" x14ac:dyDescent="0.2">
      <c r="C101" s="4218"/>
      <c r="D101" s="3010" t="s">
        <v>119</v>
      </c>
      <c r="E101" s="2109">
        <v>106112169</v>
      </c>
      <c r="F101" s="3011" t="s">
        <v>1515</v>
      </c>
      <c r="G101" s="3012" t="s">
        <v>1516</v>
      </c>
      <c r="H101" s="2485">
        <v>2</v>
      </c>
      <c r="I101" s="2473"/>
      <c r="J101" s="2474"/>
      <c r="L101" s="2905">
        <f>'Lista global'!P$111</f>
        <v>49.974999999999994</v>
      </c>
      <c r="M101" s="2905">
        <f>'Lista global'!Q$111</f>
        <v>42.084210526315786</v>
      </c>
      <c r="N101" s="2905">
        <f>'Lista global'!I$111</f>
        <v>39.955555555555556</v>
      </c>
      <c r="O101" s="2731">
        <v>2</v>
      </c>
      <c r="P101" s="3124">
        <f t="shared" si="10"/>
        <v>8</v>
      </c>
      <c r="Q101" s="3121">
        <f>IF(2*($Q$128+$Q$129+$Q$130+$Q$131+$Q$132+$Q$133+$Q$134+$Q$135+$Q$136+$Q$137)&lt;O101,O101,2*($Q$128+$Q$129+$Q$130+$Q$131+$Q$132+$Q$133+$Q$134+$Q$135+$Q$136+$Q$137))</f>
        <v>2</v>
      </c>
      <c r="R101" s="3131">
        <f t="shared" si="9"/>
        <v>99.949999999999989</v>
      </c>
      <c r="S101" s="60"/>
      <c r="T101" s="679"/>
      <c r="U101" s="939"/>
      <c r="V101" s="3689" t="s">
        <v>3511</v>
      </c>
      <c r="W101" s="3689" t="s">
        <v>3532</v>
      </c>
      <c r="X101" s="2905" t="s">
        <v>3524</v>
      </c>
      <c r="Y101" s="2905" t="s">
        <v>3533</v>
      </c>
    </row>
    <row r="102" spans="3:25" s="2905" customFormat="1" ht="19.5" customHeight="1" thickBot="1" x14ac:dyDescent="0.25">
      <c r="C102" s="4219"/>
      <c r="D102" s="2916" t="s">
        <v>122</v>
      </c>
      <c r="E102" s="2942">
        <v>106114701</v>
      </c>
      <c r="F102" s="3000" t="s">
        <v>1243</v>
      </c>
      <c r="G102" s="3001" t="s">
        <v>1244</v>
      </c>
      <c r="H102" s="2970">
        <v>1</v>
      </c>
      <c r="I102" s="2404"/>
      <c r="J102" s="2595"/>
      <c r="L102" s="2905">
        <f>'Lista global'!P$146</f>
        <v>92.85</v>
      </c>
      <c r="M102" s="2905">
        <f>'Lista global'!Q$146</f>
        <v>78.189473684210526</v>
      </c>
      <c r="N102" s="2905">
        <f>'Lista global'!I$146</f>
        <v>74.277777777777771</v>
      </c>
      <c r="O102" s="2453">
        <v>1</v>
      </c>
      <c r="P102" s="3124">
        <f t="shared" si="10"/>
        <v>4</v>
      </c>
      <c r="Q102" s="3122">
        <f>IF(ROUND(P102*$Q$75/4,0)&lt;O102,O102,ROUND(P102*$Q$75/4,0))</f>
        <v>3</v>
      </c>
      <c r="R102" s="3132">
        <f t="shared" si="9"/>
        <v>278.54999999999995</v>
      </c>
      <c r="S102" s="60"/>
      <c r="T102" s="679"/>
      <c r="U102" s="939"/>
      <c r="V102" s="3689" t="s">
        <v>3516</v>
      </c>
      <c r="W102" s="3689" t="s">
        <v>3534</v>
      </c>
      <c r="X102" s="2905" t="s">
        <v>3535</v>
      </c>
      <c r="Y102" s="2905" t="s">
        <v>3536</v>
      </c>
    </row>
    <row r="103" spans="3:25" s="2905" customFormat="1" ht="19.5" customHeight="1" thickBot="1" x14ac:dyDescent="0.25">
      <c r="C103" s="4217" t="s">
        <v>2987</v>
      </c>
      <c r="D103" s="4361" t="s">
        <v>71</v>
      </c>
      <c r="E103" s="3005">
        <v>106113624</v>
      </c>
      <c r="F103" s="2742" t="s">
        <v>1870</v>
      </c>
      <c r="G103" s="2745" t="s">
        <v>1871</v>
      </c>
      <c r="H103" s="2980">
        <v>1</v>
      </c>
      <c r="I103" s="2980"/>
      <c r="J103" s="2906" t="s">
        <v>2873</v>
      </c>
      <c r="L103" s="2905">
        <f>'Lista global'!P$130</f>
        <v>891.44999999999993</v>
      </c>
      <c r="M103" s="2905">
        <f>'Lista global'!Q$130</f>
        <v>750.69473684210527</v>
      </c>
      <c r="N103" s="2905">
        <f>'Lista global'!I$130</f>
        <v>713.15555555555557</v>
      </c>
      <c r="O103" s="2980">
        <f>IF($R$75=$T$80,1,0)</f>
        <v>1</v>
      </c>
      <c r="P103" s="3124">
        <f>IF($R$75=$T$80,H103*$P$75+I103,0)</f>
        <v>4</v>
      </c>
      <c r="Q103" s="3116">
        <f>IF(ROUNDDOWN(($Q$75*P103/4)/10,0)&lt;O103,O103,ROUNDDOWN(($Q$75*P103/4)/10,0))</f>
        <v>1</v>
      </c>
      <c r="R103" s="3126">
        <f t="shared" si="9"/>
        <v>891.44999999999993</v>
      </c>
      <c r="S103" s="60"/>
      <c r="T103" s="679"/>
      <c r="U103" s="939"/>
      <c r="V103" s="3689" t="s">
        <v>3494</v>
      </c>
      <c r="W103" s="3689" t="s">
        <v>3537</v>
      </c>
      <c r="X103" s="2905" t="s">
        <v>3493</v>
      </c>
      <c r="Y103" s="2905">
        <v>436156</v>
      </c>
    </row>
    <row r="104" spans="3:25" s="2905" customFormat="1" ht="19.5" hidden="1" customHeight="1" x14ac:dyDescent="0.2">
      <c r="C104" s="4218"/>
      <c r="D104" s="4362"/>
      <c r="E104" s="3006">
        <v>106113621</v>
      </c>
      <c r="F104" s="3002" t="s">
        <v>1359</v>
      </c>
      <c r="G104" s="3003" t="s">
        <v>1360</v>
      </c>
      <c r="H104" s="2977">
        <v>1</v>
      </c>
      <c r="I104" s="3004"/>
      <c r="J104" s="2957">
        <v>1.2</v>
      </c>
      <c r="L104" s="2905">
        <f>'Lista global'!P$128</f>
        <v>891.44999999999993</v>
      </c>
      <c r="M104" s="2905">
        <f>'Lista global'!Q$128</f>
        <v>750.69473684210527</v>
      </c>
      <c r="N104" s="2905">
        <f>'Lista global'!I$128</f>
        <v>713.15555555555557</v>
      </c>
      <c r="O104" s="3187" t="s">
        <v>0</v>
      </c>
      <c r="P104" s="3124">
        <f t="shared" ref="P104:P127" si="11">H104*$P$75+I104</f>
        <v>4</v>
      </c>
      <c r="Q104" s="2109" t="s">
        <v>0</v>
      </c>
      <c r="R104" s="3137" t="s">
        <v>0</v>
      </c>
      <c r="S104" s="60"/>
      <c r="T104" s="679"/>
      <c r="U104" s="939"/>
      <c r="V104" s="3689" t="e">
        <v>#N/A</v>
      </c>
      <c r="W104" s="3689" t="e">
        <v>#N/A</v>
      </c>
    </row>
    <row r="105" spans="3:25" s="2905" customFormat="1" ht="19.5" hidden="1" customHeight="1" x14ac:dyDescent="0.2">
      <c r="C105" s="4218"/>
      <c r="D105" s="4362"/>
      <c r="E105" s="3007">
        <v>106110473</v>
      </c>
      <c r="F105" s="2950" t="s">
        <v>1364</v>
      </c>
      <c r="G105" s="2961" t="s">
        <v>1365</v>
      </c>
      <c r="H105" s="2975">
        <v>1</v>
      </c>
      <c r="I105" s="2983"/>
      <c r="J105" s="2955">
        <v>2</v>
      </c>
      <c r="L105" s="2905">
        <f>'Lista global'!P$89</f>
        <v>742.32499999999993</v>
      </c>
      <c r="M105" s="2905">
        <f>'Lista global'!Q$89</f>
        <v>625.11578947368423</v>
      </c>
      <c r="N105" s="2905">
        <f>'Lista global'!I$89</f>
        <v>593.85555555555561</v>
      </c>
      <c r="O105" s="3188" t="s">
        <v>0</v>
      </c>
      <c r="P105" s="3124">
        <f t="shared" si="11"/>
        <v>4</v>
      </c>
      <c r="Q105" s="2728" t="s">
        <v>0</v>
      </c>
      <c r="R105" s="3135" t="s">
        <v>0</v>
      </c>
      <c r="S105" s="980"/>
      <c r="T105" s="679"/>
      <c r="U105" s="939"/>
      <c r="V105" s="3689" t="s">
        <v>3538</v>
      </c>
      <c r="W105" s="3689" t="s">
        <v>3537</v>
      </c>
    </row>
    <row r="106" spans="3:25" s="2905" customFormat="1" ht="19.5" hidden="1" customHeight="1" x14ac:dyDescent="0.25">
      <c r="C106" s="4218"/>
      <c r="D106" s="4362"/>
      <c r="E106" s="3007">
        <v>106111815</v>
      </c>
      <c r="F106" s="2950" t="s">
        <v>1367</v>
      </c>
      <c r="G106" s="2961" t="s">
        <v>2855</v>
      </c>
      <c r="H106" s="2975">
        <v>1</v>
      </c>
      <c r="I106" s="2983"/>
      <c r="J106" s="2955">
        <v>2</v>
      </c>
      <c r="L106" s="2905">
        <f>'Lista global'!P$106</f>
        <v>14.212499999999999</v>
      </c>
      <c r="M106" s="2905">
        <f>'Lista global'!Q$106</f>
        <v>11.968421052631578</v>
      </c>
      <c r="N106" s="2905">
        <f>'Lista global'!I$106</f>
        <v>11.366666666666667</v>
      </c>
      <c r="O106" s="3188" t="s">
        <v>0</v>
      </c>
      <c r="P106" s="3124">
        <f t="shared" si="11"/>
        <v>4</v>
      </c>
      <c r="Q106" s="2728" t="s">
        <v>0</v>
      </c>
      <c r="R106" s="3135" t="s">
        <v>0</v>
      </c>
      <c r="S106" s="48"/>
      <c r="T106" s="679"/>
      <c r="U106" s="939"/>
      <c r="V106" s="3689" t="s">
        <v>3538</v>
      </c>
      <c r="W106" s="3689" t="s">
        <v>3539</v>
      </c>
    </row>
    <row r="107" spans="3:25" s="2905" customFormat="1" ht="19.5" hidden="1" customHeight="1" x14ac:dyDescent="0.2">
      <c r="C107" s="4218"/>
      <c r="D107" s="4362"/>
      <c r="E107" s="3007">
        <v>106111816</v>
      </c>
      <c r="F107" s="2950" t="s">
        <v>1366</v>
      </c>
      <c r="G107" s="2961" t="s">
        <v>2856</v>
      </c>
      <c r="H107" s="2975">
        <v>1</v>
      </c>
      <c r="I107" s="2983"/>
      <c r="J107" s="2955">
        <v>2</v>
      </c>
      <c r="L107" s="2905">
        <f>'Lista global'!P$107</f>
        <v>21.049999999999997</v>
      </c>
      <c r="M107" s="2905">
        <f>'Lista global'!Q$107</f>
        <v>17.726315789473684</v>
      </c>
      <c r="N107" s="2905">
        <f>'Lista global'!I$107</f>
        <v>16.844444444444445</v>
      </c>
      <c r="O107" s="3188" t="s">
        <v>0</v>
      </c>
      <c r="P107" s="3124">
        <f t="shared" si="11"/>
        <v>4</v>
      </c>
      <c r="Q107" s="2728" t="s">
        <v>0</v>
      </c>
      <c r="R107" s="3135" t="s">
        <v>0</v>
      </c>
      <c r="S107" s="3019"/>
      <c r="T107" s="679"/>
      <c r="U107" s="939"/>
      <c r="V107" s="3689" t="s">
        <v>3538</v>
      </c>
      <c r="W107" s="3689" t="s">
        <v>3540</v>
      </c>
    </row>
    <row r="108" spans="3:25" s="2905" customFormat="1" ht="19.5" hidden="1" customHeight="1" x14ac:dyDescent="0.25">
      <c r="C108" s="4218"/>
      <c r="D108" s="4362"/>
      <c r="E108" s="3007">
        <v>106104092</v>
      </c>
      <c r="F108" s="2951" t="s">
        <v>1361</v>
      </c>
      <c r="G108" s="2961" t="s">
        <v>1362</v>
      </c>
      <c r="H108" s="2975">
        <v>1</v>
      </c>
      <c r="I108" s="2983"/>
      <c r="J108" s="2955">
        <v>2</v>
      </c>
      <c r="L108" s="2905">
        <f>'Lista global'!P$16</f>
        <v>7.0750000000000002</v>
      </c>
      <c r="M108" s="2905">
        <f>'Lista global'!Q$16</f>
        <v>5.957894736842106</v>
      </c>
      <c r="N108" s="2905">
        <f>'Lista global'!I$16</f>
        <v>5.655555555555555</v>
      </c>
      <c r="O108" s="3188" t="s">
        <v>0</v>
      </c>
      <c r="P108" s="3124">
        <f t="shared" si="11"/>
        <v>4</v>
      </c>
      <c r="Q108" s="2728" t="s">
        <v>0</v>
      </c>
      <c r="R108" s="3135" t="s">
        <v>0</v>
      </c>
      <c r="S108" s="3022"/>
      <c r="T108" s="267"/>
      <c r="U108" s="270"/>
      <c r="V108" s="3689" t="s">
        <v>3538</v>
      </c>
      <c r="W108" s="3689" t="s">
        <v>3541</v>
      </c>
    </row>
    <row r="109" spans="3:25" s="2905" customFormat="1" ht="19.5" hidden="1" customHeight="1" thickBot="1" x14ac:dyDescent="0.25">
      <c r="C109" s="4218"/>
      <c r="D109" s="4362"/>
      <c r="E109" s="3008">
        <v>106111814</v>
      </c>
      <c r="F109" s="2952" t="s">
        <v>1553</v>
      </c>
      <c r="G109" s="2962" t="s">
        <v>1554</v>
      </c>
      <c r="H109" s="2976">
        <v>1</v>
      </c>
      <c r="I109" s="2984"/>
      <c r="J109" s="2956">
        <v>2</v>
      </c>
      <c r="L109" s="2905">
        <f>'Lista global'!P$105</f>
        <v>92.837499999999991</v>
      </c>
      <c r="M109" s="2905">
        <f>'Lista global'!Q$105</f>
        <v>78.178947368421049</v>
      </c>
      <c r="N109" s="2905">
        <f>'Lista global'!I$105</f>
        <v>74.266666666666666</v>
      </c>
      <c r="O109" s="3189" t="s">
        <v>0</v>
      </c>
      <c r="P109" s="3124">
        <f t="shared" si="11"/>
        <v>4</v>
      </c>
      <c r="Q109" s="2106" t="s">
        <v>0</v>
      </c>
      <c r="R109" s="3136" t="s">
        <v>0</v>
      </c>
      <c r="S109" s="60"/>
      <c r="T109" s="679"/>
      <c r="U109" s="939"/>
      <c r="V109" s="3689" t="s">
        <v>3538</v>
      </c>
      <c r="W109" s="3689" t="s">
        <v>3542</v>
      </c>
    </row>
    <row r="110" spans="3:25" s="2905" customFormat="1" ht="19.5" hidden="1" customHeight="1" x14ac:dyDescent="0.25">
      <c r="C110" s="4218"/>
      <c r="D110" s="4362"/>
      <c r="E110" s="3006">
        <v>106113623</v>
      </c>
      <c r="F110" s="2953" t="s">
        <v>1263</v>
      </c>
      <c r="G110" s="2963" t="s">
        <v>1264</v>
      </c>
      <c r="H110" s="2977">
        <v>1</v>
      </c>
      <c r="I110" s="2982"/>
      <c r="J110" s="2957">
        <v>1.2</v>
      </c>
      <c r="L110" s="2905">
        <f>'Lista global'!P$129</f>
        <v>891.44999999999993</v>
      </c>
      <c r="M110" s="2905">
        <f>'Lista global'!Q$129</f>
        <v>750.69473684210527</v>
      </c>
      <c r="N110" s="2905">
        <f>'Lista global'!I$129</f>
        <v>544.35555555555561</v>
      </c>
      <c r="O110" s="3187" t="s">
        <v>0</v>
      </c>
      <c r="P110" s="3124">
        <f t="shared" si="11"/>
        <v>4</v>
      </c>
      <c r="Q110" s="1463" t="s">
        <v>0</v>
      </c>
      <c r="R110" s="3134" t="s">
        <v>0</v>
      </c>
      <c r="S110" s="1082"/>
      <c r="T110" s="679"/>
      <c r="U110" s="939"/>
      <c r="V110" s="3689" t="e">
        <v>#N/A</v>
      </c>
      <c r="W110" s="3689" t="e">
        <v>#N/A</v>
      </c>
    </row>
    <row r="111" spans="3:25" s="2905" customFormat="1" ht="19.5" hidden="1" customHeight="1" x14ac:dyDescent="0.25">
      <c r="C111" s="4218"/>
      <c r="D111" s="4362"/>
      <c r="E111" s="3007">
        <v>106113605</v>
      </c>
      <c r="F111" s="2950" t="s">
        <v>1265</v>
      </c>
      <c r="G111" s="2961" t="s">
        <v>1266</v>
      </c>
      <c r="H111" s="2975">
        <v>1</v>
      </c>
      <c r="I111" s="2983"/>
      <c r="J111" s="2955">
        <v>2</v>
      </c>
      <c r="L111" s="2905">
        <f>'Lista global'!P$127</f>
        <v>742.32499999999993</v>
      </c>
      <c r="M111" s="2905">
        <f>'Lista global'!Q$127</f>
        <v>625.11578947368423</v>
      </c>
      <c r="N111" s="2905">
        <f>'Lista global'!I$127</f>
        <v>424.28888888888889</v>
      </c>
      <c r="O111" s="3188" t="s">
        <v>0</v>
      </c>
      <c r="P111" s="3124">
        <f t="shared" si="11"/>
        <v>4</v>
      </c>
      <c r="Q111" s="2728" t="s">
        <v>0</v>
      </c>
      <c r="R111" s="3135" t="s">
        <v>0</v>
      </c>
      <c r="V111" s="3689" t="s">
        <v>3493</v>
      </c>
      <c r="W111" s="3689" t="s">
        <v>3543</v>
      </c>
    </row>
    <row r="112" spans="3:25" s="2905" customFormat="1" ht="19.5" hidden="1" customHeight="1" x14ac:dyDescent="0.25">
      <c r="C112" s="4218"/>
      <c r="D112" s="4362"/>
      <c r="E112" s="3007">
        <v>106113632</v>
      </c>
      <c r="F112" s="2954" t="s">
        <v>1268</v>
      </c>
      <c r="G112" s="2961" t="s">
        <v>1269</v>
      </c>
      <c r="H112" s="2975">
        <v>1</v>
      </c>
      <c r="I112" s="2983"/>
      <c r="J112" s="2955">
        <v>2</v>
      </c>
      <c r="L112" s="2905">
        <f>'Lista global'!P$131</f>
        <v>25.012499999999999</v>
      </c>
      <c r="M112" s="2905">
        <f>'Lista global'!Q$131</f>
        <v>21.063157894736843</v>
      </c>
      <c r="N112" s="2905">
        <f>'Lista global'!I$131</f>
        <v>20.011111111111113</v>
      </c>
      <c r="O112" s="3188" t="s">
        <v>0</v>
      </c>
      <c r="P112" s="3124">
        <f t="shared" si="11"/>
        <v>4</v>
      </c>
      <c r="Q112" s="2728" t="s">
        <v>0</v>
      </c>
      <c r="R112" s="3135" t="s">
        <v>0</v>
      </c>
      <c r="V112" s="3689" t="s">
        <v>3493</v>
      </c>
      <c r="W112" s="3689" t="s">
        <v>3544</v>
      </c>
    </row>
    <row r="113" spans="3:25" s="2905" customFormat="1" ht="19.5" hidden="1" customHeight="1" x14ac:dyDescent="0.25">
      <c r="C113" s="4218"/>
      <c r="D113" s="4362"/>
      <c r="E113" s="3007">
        <v>106113637</v>
      </c>
      <c r="F113" s="2950" t="s">
        <v>2857</v>
      </c>
      <c r="G113" s="2961" t="s">
        <v>2858</v>
      </c>
      <c r="H113" s="2975">
        <v>1</v>
      </c>
      <c r="I113" s="2983"/>
      <c r="J113" s="2955">
        <v>2</v>
      </c>
      <c r="L113" s="2905">
        <f>'Lista global'!P$134</f>
        <v>37.962499999999999</v>
      </c>
      <c r="M113" s="2905">
        <f>'Lista global'!Q$134</f>
        <v>31.96842105263158</v>
      </c>
      <c r="N113" s="2905">
        <f>'Lista global'!I$134</f>
        <v>30.366666666666664</v>
      </c>
      <c r="O113" s="3188" t="s">
        <v>0</v>
      </c>
      <c r="P113" s="3124">
        <f t="shared" si="11"/>
        <v>4</v>
      </c>
      <c r="Q113" s="2728" t="s">
        <v>0</v>
      </c>
      <c r="R113" s="3135" t="s">
        <v>0</v>
      </c>
      <c r="V113" s="3689" t="s">
        <v>3493</v>
      </c>
      <c r="W113" s="3689" t="s">
        <v>3545</v>
      </c>
    </row>
    <row r="114" spans="3:25" s="2905" customFormat="1" ht="19.5" hidden="1" customHeight="1" x14ac:dyDescent="0.25">
      <c r="C114" s="4218"/>
      <c r="D114" s="4362"/>
      <c r="E114" s="3007">
        <v>106113634</v>
      </c>
      <c r="F114" s="2950" t="s">
        <v>1368</v>
      </c>
      <c r="G114" s="2961" t="s">
        <v>2859</v>
      </c>
      <c r="H114" s="2975">
        <v>1</v>
      </c>
      <c r="I114" s="2983"/>
      <c r="J114" s="2955">
        <v>2</v>
      </c>
      <c r="L114" s="2905">
        <f>'Lista global'!P$132</f>
        <v>12.4625</v>
      </c>
      <c r="M114" s="2905">
        <f>'Lista global'!Q$132</f>
        <v>10.494736842105265</v>
      </c>
      <c r="N114" s="2905">
        <f>'Lista global'!I$132</f>
        <v>9.9666666666666668</v>
      </c>
      <c r="O114" s="3188" t="s">
        <v>0</v>
      </c>
      <c r="P114" s="3124">
        <f t="shared" si="11"/>
        <v>4</v>
      </c>
      <c r="Q114" s="2728" t="s">
        <v>0</v>
      </c>
      <c r="R114" s="3135" t="s">
        <v>0</v>
      </c>
      <c r="V114" s="3689" t="s">
        <v>3493</v>
      </c>
      <c r="W114" s="3689" t="s">
        <v>3546</v>
      </c>
    </row>
    <row r="115" spans="3:25" s="2905" customFormat="1" ht="19.5" hidden="1" customHeight="1" x14ac:dyDescent="0.25">
      <c r="C115" s="4218"/>
      <c r="D115" s="4362"/>
      <c r="E115" s="3007">
        <v>106114790</v>
      </c>
      <c r="F115" s="2950" t="s">
        <v>1369</v>
      </c>
      <c r="G115" s="2961" t="s">
        <v>2860</v>
      </c>
      <c r="H115" s="2975">
        <v>1</v>
      </c>
      <c r="I115" s="2983"/>
      <c r="J115" s="2955">
        <v>2</v>
      </c>
      <c r="L115" s="2905">
        <f>'Lista global'!P$147</f>
        <v>26.299999999999997</v>
      </c>
      <c r="M115" s="2905">
        <f>'Lista global'!Q$147</f>
        <v>22.147368421052633</v>
      </c>
      <c r="N115" s="2905">
        <f>'Lista global'!I$147</f>
        <v>21.044444444444444</v>
      </c>
      <c r="O115" s="3188" t="s">
        <v>0</v>
      </c>
      <c r="P115" s="3124">
        <f t="shared" si="11"/>
        <v>4</v>
      </c>
      <c r="Q115" s="2728" t="s">
        <v>0</v>
      </c>
      <c r="R115" s="3135" t="s">
        <v>0</v>
      </c>
      <c r="V115" s="3689" t="s">
        <v>3493</v>
      </c>
      <c r="W115" s="3689" t="s">
        <v>3547</v>
      </c>
    </row>
    <row r="116" spans="3:25" s="2905" customFormat="1" ht="19.5" hidden="1" customHeight="1" thickBot="1" x14ac:dyDescent="0.3">
      <c r="C116" s="4219"/>
      <c r="D116" s="4363"/>
      <c r="E116" s="3008">
        <v>106113636</v>
      </c>
      <c r="F116" s="2952" t="s">
        <v>1273</v>
      </c>
      <c r="G116" s="2962" t="s">
        <v>1274</v>
      </c>
      <c r="H116" s="2976">
        <v>1</v>
      </c>
      <c r="I116" s="2984"/>
      <c r="J116" s="2956">
        <v>2</v>
      </c>
      <c r="L116" s="2905">
        <f>'Lista global'!P$133</f>
        <v>10.962499999999999</v>
      </c>
      <c r="M116" s="2905">
        <f>'Lista global'!Q$133</f>
        <v>9.2315789473684209</v>
      </c>
      <c r="N116" s="2905">
        <f>'Lista global'!I$133</f>
        <v>8.7666666666666657</v>
      </c>
      <c r="O116" s="3189" t="s">
        <v>0</v>
      </c>
      <c r="P116" s="3124">
        <f t="shared" si="11"/>
        <v>4</v>
      </c>
      <c r="Q116" s="2106" t="s">
        <v>0</v>
      </c>
      <c r="R116" s="3136" t="s">
        <v>0</v>
      </c>
      <c r="V116" s="3689" t="s">
        <v>3493</v>
      </c>
      <c r="W116" s="3689" t="s">
        <v>3548</v>
      </c>
    </row>
    <row r="117" spans="3:25" s="2905" customFormat="1" ht="19.5" customHeight="1" x14ac:dyDescent="0.25">
      <c r="C117" s="4364" t="s">
        <v>2988</v>
      </c>
      <c r="D117" s="3211" t="s">
        <v>138</v>
      </c>
      <c r="E117" s="2947">
        <v>106202973</v>
      </c>
      <c r="F117" s="2918" t="s">
        <v>1985</v>
      </c>
      <c r="G117" s="2964" t="s">
        <v>1468</v>
      </c>
      <c r="H117" s="2968"/>
      <c r="I117" s="2397">
        <v>1</v>
      </c>
      <c r="J117" s="2907" t="s">
        <v>2861</v>
      </c>
      <c r="L117" s="2905">
        <f>'Lista global'!P$222</f>
        <v>18.724999999999998</v>
      </c>
      <c r="M117" s="2905">
        <f>'Lista global'!Q$222</f>
        <v>15.768421052631581</v>
      </c>
      <c r="N117" s="2905">
        <f>'Lista global'!I$222</f>
        <v>14.977777777777778</v>
      </c>
      <c r="O117" s="2397">
        <v>1</v>
      </c>
      <c r="P117" s="3124">
        <f t="shared" si="11"/>
        <v>1</v>
      </c>
      <c r="Q117" s="3120">
        <f>IF(ROUNDDOWN($Q$75/10,0)&lt;O117,O117,ROUNDDOWN($Q$75/10,0))</f>
        <v>1</v>
      </c>
      <c r="R117" s="3130">
        <f>L117*Q117</f>
        <v>18.724999999999998</v>
      </c>
      <c r="V117" s="3689" t="s">
        <v>3549</v>
      </c>
      <c r="W117" s="3689" t="s">
        <v>3550</v>
      </c>
      <c r="X117" s="2905" t="s">
        <v>3493</v>
      </c>
      <c r="Y117" s="2905">
        <v>185078</v>
      </c>
    </row>
    <row r="118" spans="3:25" s="2905" customFormat="1" ht="19.5" customHeight="1" x14ac:dyDescent="0.25">
      <c r="C118" s="4365"/>
      <c r="D118" s="3212" t="s">
        <v>196</v>
      </c>
      <c r="E118" s="2932">
        <v>106201346</v>
      </c>
      <c r="F118" s="2919" t="s">
        <v>1525</v>
      </c>
      <c r="G118" s="2965" t="s">
        <v>1526</v>
      </c>
      <c r="H118" s="2978"/>
      <c r="I118" s="2731">
        <v>1</v>
      </c>
      <c r="J118" s="2909"/>
      <c r="L118" s="2905">
        <f>'Lista global'!P$199</f>
        <v>73.724999999999994</v>
      </c>
      <c r="M118" s="2905">
        <f>'Lista global'!Q$199</f>
        <v>49.15</v>
      </c>
      <c r="N118" s="2905">
        <f>'Lista global'!I$199</f>
        <v>29.488888888888887</v>
      </c>
      <c r="O118" s="2731">
        <v>1</v>
      </c>
      <c r="P118" s="3124">
        <f t="shared" si="11"/>
        <v>1</v>
      </c>
      <c r="Q118" s="3121">
        <f>IF(ROUNDDOWN($Q$75/4,0)&lt;O118,O118,ROUNDDOWN($Q$75/4,0))</f>
        <v>1</v>
      </c>
      <c r="R118" s="3131">
        <f>L118*Q118</f>
        <v>73.724999999999994</v>
      </c>
      <c r="V118" s="3689" t="s">
        <v>3502</v>
      </c>
      <c r="W118" s="3689"/>
    </row>
    <row r="119" spans="3:25" s="2905" customFormat="1" ht="19.5" hidden="1" customHeight="1" x14ac:dyDescent="0.25">
      <c r="C119" s="4365"/>
      <c r="D119" s="3212" t="s">
        <v>198</v>
      </c>
      <c r="E119" s="2932">
        <v>106110895</v>
      </c>
      <c r="F119" s="2908" t="s">
        <v>1833</v>
      </c>
      <c r="G119" s="2933" t="s">
        <v>572</v>
      </c>
      <c r="H119" s="2978"/>
      <c r="I119" s="2731">
        <v>1</v>
      </c>
      <c r="J119" s="2909"/>
      <c r="L119" s="2905">
        <f>'Lista global'!P$90</f>
        <v>14.800000000000002</v>
      </c>
      <c r="M119" s="2905">
        <f>'Lista global'!Q$90</f>
        <v>11.1</v>
      </c>
      <c r="N119" s="2905">
        <f>'Lista global'!I$90</f>
        <v>8.8777777777777782</v>
      </c>
      <c r="O119" s="2731" t="s">
        <v>0</v>
      </c>
      <c r="P119" s="3124">
        <f t="shared" si="11"/>
        <v>1</v>
      </c>
      <c r="Q119" s="2728" t="s">
        <v>0</v>
      </c>
      <c r="R119" s="3135" t="s">
        <v>0</v>
      </c>
      <c r="V119" s="3689">
        <v>0</v>
      </c>
      <c r="W119" s="3689" t="s">
        <v>198</v>
      </c>
    </row>
    <row r="120" spans="3:25" s="2905" customFormat="1" ht="19.5" hidden="1" customHeight="1" x14ac:dyDescent="0.25">
      <c r="C120" s="4365"/>
      <c r="D120" s="3212" t="s">
        <v>200</v>
      </c>
      <c r="E120" s="2932">
        <v>106110896</v>
      </c>
      <c r="F120" s="2908" t="s">
        <v>1834</v>
      </c>
      <c r="G120" s="2933" t="s">
        <v>573</v>
      </c>
      <c r="H120" s="2978"/>
      <c r="I120" s="2731">
        <v>1</v>
      </c>
      <c r="J120" s="2909"/>
      <c r="L120" s="2905">
        <f>'Lista global'!P$91</f>
        <v>16.3</v>
      </c>
      <c r="M120" s="2905">
        <f>'Lista global'!Q$91</f>
        <v>12.224999999999998</v>
      </c>
      <c r="N120" s="2905">
        <f>'Lista global'!I$91</f>
        <v>9.7777777777777786</v>
      </c>
      <c r="O120" s="2731" t="s">
        <v>0</v>
      </c>
      <c r="P120" s="3124">
        <f t="shared" si="11"/>
        <v>1</v>
      </c>
      <c r="Q120" s="2728" t="s">
        <v>0</v>
      </c>
      <c r="R120" s="3135" t="s">
        <v>0</v>
      </c>
      <c r="V120" s="3689">
        <v>0</v>
      </c>
      <c r="W120" s="3689" t="s">
        <v>200</v>
      </c>
    </row>
    <row r="121" spans="3:25" s="2905" customFormat="1" ht="19.5" hidden="1" customHeight="1" x14ac:dyDescent="0.25">
      <c r="C121" s="4365"/>
      <c r="D121" s="3212" t="s">
        <v>202</v>
      </c>
      <c r="E121" s="2932">
        <v>106110897</v>
      </c>
      <c r="F121" s="2908" t="s">
        <v>1835</v>
      </c>
      <c r="G121" s="2933" t="s">
        <v>574</v>
      </c>
      <c r="H121" s="2978"/>
      <c r="I121" s="2731">
        <v>1</v>
      </c>
      <c r="J121" s="2909"/>
      <c r="L121" s="2905">
        <f>'Lista global'!P$92</f>
        <v>17.450000000000003</v>
      </c>
      <c r="M121" s="2905">
        <f>'Lista global'!Q$92</f>
        <v>13.0875</v>
      </c>
      <c r="N121" s="2905">
        <f>'Lista global'!I$92</f>
        <v>10.466666666666667</v>
      </c>
      <c r="O121" s="2731" t="s">
        <v>0</v>
      </c>
      <c r="P121" s="3124">
        <f t="shared" si="11"/>
        <v>1</v>
      </c>
      <c r="Q121" s="2728" t="s">
        <v>0</v>
      </c>
      <c r="R121" s="3135" t="s">
        <v>0</v>
      </c>
      <c r="V121" s="3689">
        <v>0</v>
      </c>
      <c r="W121" s="3689" t="s">
        <v>202</v>
      </c>
    </row>
    <row r="122" spans="3:25" s="2905" customFormat="1" ht="19.5" customHeight="1" x14ac:dyDescent="0.25">
      <c r="C122" s="4365"/>
      <c r="D122" s="3212" t="s">
        <v>204</v>
      </c>
      <c r="E122" s="2932">
        <v>106110898</v>
      </c>
      <c r="F122" s="2908" t="s">
        <v>1836</v>
      </c>
      <c r="G122" s="2933" t="s">
        <v>575</v>
      </c>
      <c r="H122" s="2978">
        <v>1</v>
      </c>
      <c r="I122" s="2731"/>
      <c r="J122" s="2909"/>
      <c r="L122" s="2905">
        <f>'Lista global'!P$93</f>
        <v>23.116666666666667</v>
      </c>
      <c r="M122" s="2905">
        <f>'Lista global'!Q$93</f>
        <v>17.337499999999999</v>
      </c>
      <c r="N122" s="2905">
        <f>'Lista global'!I$93</f>
        <v>13.866666666666667</v>
      </c>
      <c r="O122" s="2731">
        <v>1</v>
      </c>
      <c r="P122" s="3124">
        <f t="shared" si="11"/>
        <v>4</v>
      </c>
      <c r="Q122" s="3121">
        <f>IF(ROUND($P$75*$Q$75/16,0)&lt;O122,O122,ROUND($P$75*$Q$75/16,0))</f>
        <v>1</v>
      </c>
      <c r="R122" s="3131">
        <f t="shared" ref="R122:R137" si="12">L122*Q122</f>
        <v>23.116666666666667</v>
      </c>
      <c r="V122" s="3689" t="s">
        <v>3502</v>
      </c>
      <c r="W122" s="3689"/>
    </row>
    <row r="123" spans="3:25" s="2905" customFormat="1" ht="19.5" customHeight="1" x14ac:dyDescent="0.25">
      <c r="C123" s="4365"/>
      <c r="D123" s="3212" t="s">
        <v>206</v>
      </c>
      <c r="E123" s="2942">
        <v>106201807</v>
      </c>
      <c r="F123" s="2913" t="s">
        <v>1951</v>
      </c>
      <c r="G123" s="2935" t="s">
        <v>576</v>
      </c>
      <c r="H123" s="2978"/>
      <c r="I123" s="2731">
        <v>1</v>
      </c>
      <c r="J123" s="2909"/>
      <c r="L123" s="2905">
        <f>'Lista global'!P$204</f>
        <v>167.65</v>
      </c>
      <c r="M123" s="2905">
        <f>'Lista global'!Q$204</f>
        <v>111.76666666666668</v>
      </c>
      <c r="N123" s="2905">
        <f>'Lista global'!I$204</f>
        <v>66.655555555555551</v>
      </c>
      <c r="O123" s="2731">
        <v>1</v>
      </c>
      <c r="P123" s="3124">
        <f t="shared" si="11"/>
        <v>1</v>
      </c>
      <c r="Q123" s="3121">
        <f>IF(ROUND(P123*$Q$75/2,0)&lt;O123,O123,ROUND(P123*$Q$75/2,0))</f>
        <v>2</v>
      </c>
      <c r="R123" s="3131">
        <f t="shared" si="12"/>
        <v>335.3</v>
      </c>
      <c r="V123" s="3689" t="s">
        <v>3502</v>
      </c>
      <c r="W123" s="3689"/>
    </row>
    <row r="124" spans="3:25" s="2905" customFormat="1" ht="19.5" customHeight="1" x14ac:dyDescent="0.25">
      <c r="C124" s="4365"/>
      <c r="D124" s="3212" t="s">
        <v>460</v>
      </c>
      <c r="E124" s="2942">
        <v>106202476</v>
      </c>
      <c r="F124" s="2917" t="s">
        <v>1953</v>
      </c>
      <c r="G124" s="2966" t="s">
        <v>1954</v>
      </c>
      <c r="H124" s="2978"/>
      <c r="I124" s="2731">
        <v>1</v>
      </c>
      <c r="J124" s="2909"/>
      <c r="L124" s="2905">
        <f>'Lista global'!P$205</f>
        <v>23.450000000000003</v>
      </c>
      <c r="M124" s="2905">
        <f>'Lista global'!Q$205</f>
        <v>17.587499999999999</v>
      </c>
      <c r="N124" s="2905">
        <f>'Lista global'!I$205</f>
        <v>13.966666666666667</v>
      </c>
      <c r="O124" s="2731">
        <v>1</v>
      </c>
      <c r="P124" s="3124">
        <f t="shared" si="11"/>
        <v>1</v>
      </c>
      <c r="Q124" s="3121">
        <f>IF(ROUNDDOWN($Q$75/6,0)&lt;O124,O124,ROUNDDOWN($Q$75/6,0))</f>
        <v>1</v>
      </c>
      <c r="R124" s="3131">
        <f t="shared" si="12"/>
        <v>23.450000000000003</v>
      </c>
      <c r="V124" s="3689" t="s">
        <v>3502</v>
      </c>
      <c r="W124" s="3689"/>
    </row>
    <row r="125" spans="3:25" s="2905" customFormat="1" ht="19.5" customHeight="1" thickBot="1" x14ac:dyDescent="0.3">
      <c r="C125" s="4366"/>
      <c r="D125" s="3213" t="s">
        <v>354</v>
      </c>
      <c r="E125" s="2404">
        <v>106200941</v>
      </c>
      <c r="F125" s="2920" t="s">
        <v>1943</v>
      </c>
      <c r="G125" s="2967" t="s">
        <v>1944</v>
      </c>
      <c r="H125" s="2979"/>
      <c r="I125" s="2453">
        <v>1</v>
      </c>
      <c r="J125" s="2914"/>
      <c r="L125" s="2905">
        <f>'Lista global'!P$198</f>
        <v>56.85</v>
      </c>
      <c r="M125" s="2905">
        <f>'Lista global'!Q$198</f>
        <v>42.637499999999996</v>
      </c>
      <c r="N125" s="2905">
        <f>'Lista global'!I$198</f>
        <v>34.111111111111107</v>
      </c>
      <c r="O125" s="2453" t="s">
        <v>0</v>
      </c>
      <c r="P125" s="3124">
        <f t="shared" si="11"/>
        <v>1</v>
      </c>
      <c r="Q125" s="3118">
        <v>1</v>
      </c>
      <c r="R125" s="3128">
        <f t="shared" si="12"/>
        <v>56.85</v>
      </c>
      <c r="V125" s="3689" t="s">
        <v>3502</v>
      </c>
      <c r="W125" s="3689"/>
    </row>
    <row r="126" spans="3:25" s="2905" customFormat="1" ht="19.5" customHeight="1" x14ac:dyDescent="0.25">
      <c r="C126" s="4229" t="s">
        <v>2989</v>
      </c>
      <c r="D126" s="2921"/>
      <c r="E126" s="3214">
        <v>106112878</v>
      </c>
      <c r="F126" s="2922" t="s">
        <v>1558</v>
      </c>
      <c r="G126" s="2939" t="s">
        <v>1559</v>
      </c>
      <c r="H126" s="2973">
        <v>5</v>
      </c>
      <c r="I126" s="2397"/>
      <c r="J126" s="2907"/>
      <c r="L126" s="2905">
        <f>'Lista global'!P$120</f>
        <v>2.4249999999999998</v>
      </c>
      <c r="M126" s="2905">
        <f>'Lista global'!Q$120</f>
        <v>2.0421052631578949</v>
      </c>
      <c r="N126" s="2905">
        <f>'Lista global'!I$120</f>
        <v>1.9444444444444444</v>
      </c>
      <c r="O126" s="2397">
        <v>5</v>
      </c>
      <c r="P126" s="3124">
        <f t="shared" si="11"/>
        <v>20</v>
      </c>
      <c r="Q126" s="3120">
        <f>IF(5*($Q$128+$Q$129+$Q$130+$Q$131+$Q$132+$Q$133+$Q$134+$Q$135+$Q$136+$Q$137)&lt;O126,O126,5*($Q$128+$Q$129+$Q$130+$Q$131+$Q$132+$Q$133+$Q$134+$Q$135+$Q$136+$Q$137))</f>
        <v>5</v>
      </c>
      <c r="R126" s="3130">
        <f t="shared" si="12"/>
        <v>12.125</v>
      </c>
      <c r="V126" s="3689" t="s">
        <v>3551</v>
      </c>
      <c r="W126" s="3689" t="s">
        <v>3552</v>
      </c>
    </row>
    <row r="127" spans="3:25" s="2905" customFormat="1" ht="19.5" customHeight="1" thickBot="1" x14ac:dyDescent="0.3">
      <c r="C127" s="4231"/>
      <c r="D127" s="3210"/>
      <c r="E127" s="2945">
        <v>106107580</v>
      </c>
      <c r="F127" s="3258" t="s">
        <v>1277</v>
      </c>
      <c r="G127" s="3259" t="s">
        <v>1278</v>
      </c>
      <c r="H127" s="3260">
        <v>3</v>
      </c>
      <c r="I127" s="2404"/>
      <c r="J127" s="3207"/>
      <c r="L127" s="2905">
        <f>'Lista global'!P$78</f>
        <v>1.0874999999999999</v>
      </c>
      <c r="M127" s="2905">
        <f>'Lista global'!Q$78</f>
        <v>0.9157894736842106</v>
      </c>
      <c r="N127" s="2905">
        <f>'Lista global'!I$78</f>
        <v>0.8666666666666667</v>
      </c>
      <c r="O127" s="2453">
        <v>3</v>
      </c>
      <c r="P127" s="3124">
        <f t="shared" si="11"/>
        <v>12</v>
      </c>
      <c r="Q127" s="3118">
        <f>IF(3*($Q$128+$Q$129+$Q$130+$Q$131+$Q$132+$Q$133+$Q$134+$Q$135+$Q$136+$Q$137)&lt;O127,O127,3*($Q$128+$Q$129+$Q$130+$Q$131+$Q$132+$Q$133+$Q$134+$Q$135+$Q$136+$Q$137))</f>
        <v>3</v>
      </c>
      <c r="R127" s="3128">
        <f t="shared" si="12"/>
        <v>3.2624999999999997</v>
      </c>
      <c r="V127" s="3689" t="s">
        <v>3553</v>
      </c>
      <c r="W127" s="3689" t="s">
        <v>3554</v>
      </c>
    </row>
    <row r="128" spans="3:25" s="2905" customFormat="1" ht="19.5" customHeight="1" x14ac:dyDescent="0.25">
      <c r="C128" s="4375" t="s">
        <v>2990</v>
      </c>
      <c r="D128" s="3262" t="s">
        <v>187</v>
      </c>
      <c r="E128" s="2937">
        <v>106201457</v>
      </c>
      <c r="F128" s="2938" t="s">
        <v>2775</v>
      </c>
      <c r="G128" s="2939" t="s">
        <v>3735</v>
      </c>
      <c r="H128" s="2937">
        <v>1</v>
      </c>
      <c r="I128" s="2397"/>
      <c r="J128" s="2398">
        <v>3.7</v>
      </c>
      <c r="L128" s="2905">
        <f>'Lista global'!P$201</f>
        <v>6373.6</v>
      </c>
      <c r="M128" s="2905">
        <f>'Lista global'!Q$201</f>
        <v>3649.4500000000003</v>
      </c>
      <c r="N128" s="2905">
        <f>'Lista global'!I$201</f>
        <v>2070.6222222222223</v>
      </c>
      <c r="O128" s="2473">
        <f>IF(AND($M$75=$U$77,$O$75=$T$78),1,0)</f>
        <v>0</v>
      </c>
      <c r="P128" s="3124">
        <f t="shared" ref="P128:P137" si="13">$P$75*O128</f>
        <v>0</v>
      </c>
      <c r="Q128" s="3243">
        <f t="shared" ref="Q128:Q137" si="14">ROUNDUP($P$75*$Q$75*3/100,0)*O128</f>
        <v>0</v>
      </c>
      <c r="R128" s="3244">
        <f t="shared" si="12"/>
        <v>0</v>
      </c>
      <c r="V128" s="3689" t="s">
        <v>3502</v>
      </c>
      <c r="W128" s="3689"/>
    </row>
    <row r="129" spans="3:23" s="2905" customFormat="1" ht="19.5" customHeight="1" x14ac:dyDescent="0.25">
      <c r="C129" s="4376"/>
      <c r="D129" s="3263" t="s">
        <v>440</v>
      </c>
      <c r="E129" s="2932">
        <v>106111457</v>
      </c>
      <c r="F129" s="3261" t="s">
        <v>3136</v>
      </c>
      <c r="G129" s="2933" t="s">
        <v>3738</v>
      </c>
      <c r="H129" s="2932">
        <v>1</v>
      </c>
      <c r="I129" s="2731"/>
      <c r="J129" s="2452">
        <v>3.6</v>
      </c>
      <c r="L129" s="2905">
        <f>'Lista global'!P$97</f>
        <v>6373.6</v>
      </c>
      <c r="M129" s="2905">
        <f>'Lista global'!Q$97</f>
        <v>3649.4500000000003</v>
      </c>
      <c r="N129" s="2905">
        <f>'Lista global'!I$97</f>
        <v>2070.6222222222223</v>
      </c>
      <c r="O129" s="2731">
        <f>IF(AND($M$75=$U$77,$O$75=$T$77),1,0)</f>
        <v>0</v>
      </c>
      <c r="P129" s="3124">
        <f t="shared" si="13"/>
        <v>0</v>
      </c>
      <c r="Q129" s="3121">
        <f t="shared" si="14"/>
        <v>0</v>
      </c>
      <c r="R129" s="3131">
        <f t="shared" si="12"/>
        <v>0</v>
      </c>
      <c r="V129" s="3689" t="s">
        <v>3502</v>
      </c>
      <c r="W129" s="3689"/>
    </row>
    <row r="130" spans="3:23" s="2905" customFormat="1" ht="19.5" customHeight="1" x14ac:dyDescent="0.25">
      <c r="C130" s="4376"/>
      <c r="D130" s="3263" t="s">
        <v>240</v>
      </c>
      <c r="E130" s="2934">
        <v>106202625</v>
      </c>
      <c r="F130" s="3261" t="s">
        <v>2776</v>
      </c>
      <c r="G130" s="2991" t="s">
        <v>3742</v>
      </c>
      <c r="H130" s="2934">
        <v>1</v>
      </c>
      <c r="I130" s="2731"/>
      <c r="J130" s="2452">
        <v>3.7</v>
      </c>
      <c r="L130" s="2905">
        <f>'Lista global'!P$207</f>
        <v>7712.0560000000005</v>
      </c>
      <c r="M130" s="2905">
        <f>'Lista global'!Q$207</f>
        <v>4415.8344999999999</v>
      </c>
      <c r="N130" s="2905">
        <f>'Lista global'!I$207</f>
        <v>2070.6222222222223</v>
      </c>
      <c r="O130" s="2731">
        <f>IF(AND($M$75=$U$78,$O$75=$T$78),1,0)</f>
        <v>0</v>
      </c>
      <c r="P130" s="3124">
        <f t="shared" si="13"/>
        <v>0</v>
      </c>
      <c r="Q130" s="3121">
        <f t="shared" si="14"/>
        <v>0</v>
      </c>
      <c r="R130" s="3131">
        <f t="shared" si="12"/>
        <v>0</v>
      </c>
      <c r="V130" s="3689" t="s">
        <v>3502</v>
      </c>
      <c r="W130" s="3689"/>
    </row>
    <row r="131" spans="3:23" s="2905" customFormat="1" ht="19.5" customHeight="1" x14ac:dyDescent="0.25">
      <c r="C131" s="4376"/>
      <c r="D131" s="3263" t="s">
        <v>239</v>
      </c>
      <c r="E131" s="2934">
        <v>106202628</v>
      </c>
      <c r="F131" s="3261" t="s">
        <v>3139</v>
      </c>
      <c r="G131" s="2991" t="s">
        <v>3739</v>
      </c>
      <c r="H131" s="2934">
        <v>1</v>
      </c>
      <c r="I131" s="2731"/>
      <c r="J131" s="2452">
        <v>3.6</v>
      </c>
      <c r="L131" s="2905">
        <f>'Lista global'!P$208</f>
        <v>7712.0560000000005</v>
      </c>
      <c r="M131" s="2905">
        <f>'Lista global'!Q$208</f>
        <v>4415.8344999999999</v>
      </c>
      <c r="N131" s="2905">
        <f>'Lista global'!I$208</f>
        <v>2070.6222222222223</v>
      </c>
      <c r="O131" s="2731">
        <f>IF(AND($M$75=$U$78,$O$75=$T$77),1,0)</f>
        <v>0</v>
      </c>
      <c r="P131" s="3124">
        <f t="shared" si="13"/>
        <v>0</v>
      </c>
      <c r="Q131" s="3121">
        <f t="shared" si="14"/>
        <v>0</v>
      </c>
      <c r="R131" s="3131">
        <f t="shared" si="12"/>
        <v>0</v>
      </c>
      <c r="V131" s="3689" t="s">
        <v>3502</v>
      </c>
      <c r="W131" s="3689"/>
    </row>
    <row r="132" spans="3:23" s="2905" customFormat="1" ht="19.5" customHeight="1" x14ac:dyDescent="0.25">
      <c r="C132" s="4376"/>
      <c r="D132" s="3263" t="s">
        <v>1122</v>
      </c>
      <c r="E132" s="2934">
        <v>106204514</v>
      </c>
      <c r="F132" s="3261" t="s">
        <v>2778</v>
      </c>
      <c r="G132" s="2991" t="s">
        <v>2786</v>
      </c>
      <c r="H132" s="2934">
        <v>1</v>
      </c>
      <c r="I132" s="2731"/>
      <c r="J132" s="2452">
        <v>3.7</v>
      </c>
      <c r="L132" s="2905">
        <f>'Lista global'!P$233</f>
        <v>8868.86</v>
      </c>
      <c r="M132" s="2905">
        <f>'Lista global'!Q$233</f>
        <v>5055.25</v>
      </c>
      <c r="N132" s="2905">
        <f>'Lista global'!I$233</f>
        <v>2070.6222222222223</v>
      </c>
      <c r="O132" s="2731">
        <f>IF(AND($M$75=$U$79,$O$75=$T$78),1,0)</f>
        <v>0</v>
      </c>
      <c r="P132" s="3124">
        <f t="shared" si="13"/>
        <v>0</v>
      </c>
      <c r="Q132" s="3121">
        <f t="shared" si="14"/>
        <v>0</v>
      </c>
      <c r="R132" s="3131">
        <f t="shared" si="12"/>
        <v>0</v>
      </c>
      <c r="V132" s="3689" t="s">
        <v>3502</v>
      </c>
      <c r="W132" s="3689"/>
    </row>
    <row r="133" spans="3:23" s="2905" customFormat="1" ht="19.5" customHeight="1" x14ac:dyDescent="0.25">
      <c r="C133" s="4376"/>
      <c r="D133" s="3263" t="s">
        <v>1123</v>
      </c>
      <c r="E133" s="2934">
        <v>106204515</v>
      </c>
      <c r="F133" s="3261" t="s">
        <v>3145</v>
      </c>
      <c r="G133" s="2991" t="s">
        <v>3741</v>
      </c>
      <c r="H133" s="2934">
        <v>1</v>
      </c>
      <c r="I133" s="2731"/>
      <c r="J133" s="2452">
        <v>3.6</v>
      </c>
      <c r="L133" s="2905">
        <f>'Lista global'!P$234</f>
        <v>8868.86</v>
      </c>
      <c r="M133" s="2905">
        <f>'Lista global'!Q$234</f>
        <v>5055.25</v>
      </c>
      <c r="N133" s="2905">
        <f>'Lista global'!I$234</f>
        <v>2070.6222222222223</v>
      </c>
      <c r="O133" s="2731">
        <f>IF(AND($M$75=$U$79,$O$75=$T$77),1,0)</f>
        <v>1</v>
      </c>
      <c r="P133" s="3124">
        <f t="shared" si="13"/>
        <v>4</v>
      </c>
      <c r="Q133" s="3121">
        <f t="shared" si="14"/>
        <v>1</v>
      </c>
      <c r="R133" s="3131">
        <f t="shared" si="12"/>
        <v>8868.86</v>
      </c>
      <c r="V133" s="3689" t="s">
        <v>3502</v>
      </c>
      <c r="W133" s="3689"/>
    </row>
    <row r="134" spans="3:23" s="2905" customFormat="1" ht="19.5" customHeight="1" x14ac:dyDescent="0.25">
      <c r="C134" s="4376"/>
      <c r="D134" s="3263" t="s">
        <v>1124</v>
      </c>
      <c r="E134" s="2934">
        <v>106204516</v>
      </c>
      <c r="F134" s="3261" t="s">
        <v>2779</v>
      </c>
      <c r="G134" s="2991" t="s">
        <v>3744</v>
      </c>
      <c r="H134" s="2934">
        <v>1</v>
      </c>
      <c r="I134" s="2731"/>
      <c r="J134" s="2452">
        <v>3.7</v>
      </c>
      <c r="L134" s="2905">
        <f>'Lista global'!P$235</f>
        <v>9401</v>
      </c>
      <c r="M134" s="2905">
        <f>'Lista global'!Q$235</f>
        <v>5358.57</v>
      </c>
      <c r="N134" s="2905">
        <f>'Lista global'!I$235</f>
        <v>2070.6222222222223</v>
      </c>
      <c r="O134" s="2731">
        <f>IF(AND($M$75=$U$80,$O$75=$T$78),1,0)</f>
        <v>0</v>
      </c>
      <c r="P134" s="3124">
        <f t="shared" si="13"/>
        <v>0</v>
      </c>
      <c r="Q134" s="3121">
        <f t="shared" si="14"/>
        <v>0</v>
      </c>
      <c r="R134" s="3131">
        <f t="shared" si="12"/>
        <v>0</v>
      </c>
      <c r="V134" s="3689" t="s">
        <v>3502</v>
      </c>
      <c r="W134" s="3689"/>
    </row>
    <row r="135" spans="3:23" s="2905" customFormat="1" ht="19.5" customHeight="1" x14ac:dyDescent="0.25">
      <c r="C135" s="4376"/>
      <c r="D135" s="3263" t="s">
        <v>1125</v>
      </c>
      <c r="E135" s="2934">
        <v>106204517</v>
      </c>
      <c r="F135" s="3261" t="s">
        <v>3148</v>
      </c>
      <c r="G135" s="2991" t="s">
        <v>3745</v>
      </c>
      <c r="H135" s="2934">
        <v>1</v>
      </c>
      <c r="I135" s="2731"/>
      <c r="J135" s="2452">
        <v>3.6</v>
      </c>
      <c r="L135" s="2905">
        <f>'Lista global'!P$236</f>
        <v>9401</v>
      </c>
      <c r="M135" s="2905">
        <f>'Lista global'!Q$236</f>
        <v>5358.57</v>
      </c>
      <c r="N135" s="2905">
        <f>'Lista global'!I$236</f>
        <v>2070.6222222222223</v>
      </c>
      <c r="O135" s="2731">
        <f>IF(AND($M$75=$U$80,$O$75=$T$77),1,0)</f>
        <v>0</v>
      </c>
      <c r="P135" s="3124">
        <f t="shared" si="13"/>
        <v>0</v>
      </c>
      <c r="Q135" s="3121">
        <f t="shared" si="14"/>
        <v>0</v>
      </c>
      <c r="R135" s="3131">
        <f t="shared" si="12"/>
        <v>0</v>
      </c>
      <c r="V135" s="3689" t="s">
        <v>3502</v>
      </c>
      <c r="W135" s="3689"/>
    </row>
    <row r="136" spans="3:23" s="2905" customFormat="1" ht="19.5" customHeight="1" x14ac:dyDescent="0.25">
      <c r="C136" s="4376"/>
      <c r="D136" s="3263" t="s">
        <v>1126</v>
      </c>
      <c r="E136" s="2934">
        <v>106204518</v>
      </c>
      <c r="F136" s="3261" t="s">
        <v>2780</v>
      </c>
      <c r="G136" s="2991" t="s">
        <v>3746</v>
      </c>
      <c r="H136" s="2934">
        <v>1</v>
      </c>
      <c r="I136" s="2731"/>
      <c r="J136" s="2452">
        <v>3.7</v>
      </c>
      <c r="L136" s="2905">
        <f>'Lista global'!P$237</f>
        <v>9495.01</v>
      </c>
      <c r="M136" s="2905">
        <f>'Lista global'!Q$237</f>
        <v>5412.15</v>
      </c>
      <c r="N136" s="2905">
        <f>'Lista global'!I$237</f>
        <v>2070.6222222222223</v>
      </c>
      <c r="O136" s="2731">
        <f>IF(AND($M$75=$U$81,$O$75=$T$78),1,0)</f>
        <v>0</v>
      </c>
      <c r="P136" s="3124">
        <f t="shared" si="13"/>
        <v>0</v>
      </c>
      <c r="Q136" s="3121">
        <f t="shared" si="14"/>
        <v>0</v>
      </c>
      <c r="R136" s="3131">
        <f t="shared" si="12"/>
        <v>0</v>
      </c>
      <c r="V136" s="3689" t="s">
        <v>3502</v>
      </c>
      <c r="W136" s="3689"/>
    </row>
    <row r="137" spans="3:23" s="2905" customFormat="1" ht="19.5" customHeight="1" thickBot="1" x14ac:dyDescent="0.3">
      <c r="C137" s="4377"/>
      <c r="D137" s="3264" t="s">
        <v>1127</v>
      </c>
      <c r="E137" s="2946">
        <v>106204519</v>
      </c>
      <c r="F137" s="2993" t="s">
        <v>3151</v>
      </c>
      <c r="G137" s="2959" t="s">
        <v>3747</v>
      </c>
      <c r="H137" s="2946">
        <v>1</v>
      </c>
      <c r="I137" s="2984"/>
      <c r="J137" s="2595">
        <v>3.6</v>
      </c>
      <c r="L137" s="2905">
        <f>'Lista global'!P$238</f>
        <v>9495.01</v>
      </c>
      <c r="M137" s="2905">
        <f>'Lista global'!Q$238</f>
        <v>5412.15</v>
      </c>
      <c r="N137" s="2905">
        <f>'Lista global'!I$238</f>
        <v>2070.6222222222223</v>
      </c>
      <c r="O137" s="2731">
        <f>IF(AND($M$75=$U$81,$O$75=$T$77),1,0)</f>
        <v>0</v>
      </c>
      <c r="P137" s="3124">
        <f t="shared" si="13"/>
        <v>0</v>
      </c>
      <c r="Q137" s="3118">
        <f t="shared" si="14"/>
        <v>0</v>
      </c>
      <c r="R137" s="3128">
        <f t="shared" si="12"/>
        <v>0</v>
      </c>
      <c r="V137" s="3689" t="s">
        <v>3502</v>
      </c>
      <c r="W137" s="3689"/>
    </row>
    <row r="138" spans="3:23" s="1580" customFormat="1" ht="19.5" customHeight="1" thickBot="1" x14ac:dyDescent="0.25">
      <c r="G138" s="2923"/>
      <c r="I138" s="2546"/>
      <c r="J138" s="2546"/>
      <c r="Q138" s="3265" t="s">
        <v>941</v>
      </c>
      <c r="R138" s="3266">
        <f>SUM(R77:R137)</f>
        <v>13600.235000000001</v>
      </c>
    </row>
    <row r="139" spans="3:23" s="1580" customFormat="1" ht="19.5" customHeight="1" thickBot="1" x14ac:dyDescent="0.25">
      <c r="C139" s="2924" t="s">
        <v>2991</v>
      </c>
      <c r="D139" s="2924"/>
      <c r="E139" s="2924"/>
      <c r="G139" s="2925"/>
      <c r="H139" s="2924"/>
      <c r="I139" s="2926"/>
      <c r="J139" s="2924"/>
    </row>
    <row r="140" spans="3:23" s="2927" customFormat="1" ht="19.5" customHeight="1" x14ac:dyDescent="0.2">
      <c r="C140" s="4378" t="s">
        <v>2862</v>
      </c>
      <c r="D140" s="4379"/>
      <c r="E140" s="4379"/>
      <c r="F140" s="4379"/>
      <c r="G140" s="4379"/>
      <c r="H140" s="4379"/>
      <c r="I140" s="4379"/>
      <c r="J140" s="4380"/>
    </row>
    <row r="141" spans="3:23" s="2927" customFormat="1" ht="25.5" customHeight="1" x14ac:dyDescent="0.2">
      <c r="C141" s="4326" t="s">
        <v>2863</v>
      </c>
      <c r="D141" s="4327"/>
      <c r="E141" s="4327"/>
      <c r="F141" s="4327"/>
      <c r="G141" s="4327"/>
      <c r="H141" s="4327"/>
      <c r="I141" s="4327"/>
      <c r="J141" s="4328"/>
    </row>
    <row r="142" spans="3:23" s="2927" customFormat="1" ht="19.5" customHeight="1" x14ac:dyDescent="0.2">
      <c r="C142" s="4326" t="s">
        <v>2864</v>
      </c>
      <c r="D142" s="4327"/>
      <c r="E142" s="4327"/>
      <c r="F142" s="4327"/>
      <c r="G142" s="4327"/>
      <c r="H142" s="4327"/>
      <c r="I142" s="4327"/>
      <c r="J142" s="4328"/>
    </row>
    <row r="143" spans="3:23" s="2927" customFormat="1" ht="24" customHeight="1" x14ac:dyDescent="0.2">
      <c r="C143" s="4326" t="s">
        <v>2865</v>
      </c>
      <c r="D143" s="4327"/>
      <c r="E143" s="4327"/>
      <c r="F143" s="4327"/>
      <c r="G143" s="4327"/>
      <c r="H143" s="4327"/>
      <c r="I143" s="4327"/>
      <c r="J143" s="4328"/>
    </row>
    <row r="144" spans="3:23" s="2927" customFormat="1" ht="19.5" customHeight="1" x14ac:dyDescent="0.2">
      <c r="C144" s="4326" t="s">
        <v>2866</v>
      </c>
      <c r="D144" s="4327"/>
      <c r="E144" s="4327"/>
      <c r="F144" s="4327"/>
      <c r="G144" s="4327"/>
      <c r="H144" s="4327"/>
      <c r="I144" s="4327"/>
      <c r="J144" s="4328"/>
    </row>
    <row r="145" spans="1:20" s="2927" customFormat="1" ht="19.5" customHeight="1" x14ac:dyDescent="0.2">
      <c r="C145" s="4326" t="s">
        <v>2870</v>
      </c>
      <c r="D145" s="4327"/>
      <c r="E145" s="4327"/>
      <c r="F145" s="4327"/>
      <c r="G145" s="4327"/>
      <c r="H145" s="4327"/>
      <c r="I145" s="4327"/>
      <c r="J145" s="4328"/>
    </row>
    <row r="146" spans="1:20" s="2927" customFormat="1" ht="19.5" customHeight="1" x14ac:dyDescent="0.2">
      <c r="C146" s="4326" t="s">
        <v>2871</v>
      </c>
      <c r="D146" s="4327"/>
      <c r="E146" s="4327"/>
      <c r="F146" s="4327"/>
      <c r="G146" s="4327"/>
      <c r="H146" s="4327"/>
      <c r="I146" s="4327"/>
      <c r="J146" s="4328"/>
    </row>
    <row r="147" spans="1:20" s="2927" customFormat="1" ht="19.5" customHeight="1" x14ac:dyDescent="0.2">
      <c r="C147" s="4326" t="s">
        <v>2869</v>
      </c>
      <c r="D147" s="4327"/>
      <c r="E147" s="4327"/>
      <c r="F147" s="4327"/>
      <c r="G147" s="4327"/>
      <c r="H147" s="4327"/>
      <c r="I147" s="4327"/>
      <c r="J147" s="4328"/>
    </row>
    <row r="148" spans="1:20" s="2927" customFormat="1" ht="19.5" customHeight="1" x14ac:dyDescent="0.2">
      <c r="C148" s="4326" t="s">
        <v>2872</v>
      </c>
      <c r="D148" s="4327"/>
      <c r="E148" s="4327"/>
      <c r="F148" s="4327"/>
      <c r="G148" s="4327"/>
      <c r="H148" s="4327"/>
      <c r="I148" s="4327"/>
      <c r="J148" s="4328"/>
    </row>
    <row r="149" spans="1:20" s="2927" customFormat="1" ht="19.5" customHeight="1" x14ac:dyDescent="0.2">
      <c r="C149" s="4326" t="s">
        <v>2867</v>
      </c>
      <c r="D149" s="4327"/>
      <c r="E149" s="4327"/>
      <c r="F149" s="4327"/>
      <c r="G149" s="4327"/>
      <c r="H149" s="4327"/>
      <c r="I149" s="4327"/>
      <c r="J149" s="4328"/>
    </row>
    <row r="150" spans="1:20" s="2927" customFormat="1" ht="33" customHeight="1" thickBot="1" x14ac:dyDescent="0.25">
      <c r="C150" s="4358" t="s">
        <v>2868</v>
      </c>
      <c r="D150" s="4359"/>
      <c r="E150" s="4359"/>
      <c r="F150" s="4359"/>
      <c r="G150" s="4359"/>
      <c r="H150" s="4359"/>
      <c r="I150" s="4359"/>
      <c r="J150" s="4360"/>
    </row>
    <row r="151" spans="1:20" s="2927" customFormat="1" ht="19.5" customHeight="1" thickBot="1" x14ac:dyDescent="0.25">
      <c r="A151" s="2928"/>
      <c r="B151" s="2928"/>
      <c r="C151" s="2928"/>
      <c r="D151" s="2928"/>
      <c r="E151" s="2928"/>
      <c r="F151" s="2928"/>
      <c r="G151" s="2928"/>
      <c r="H151" s="2928"/>
    </row>
    <row r="152" spans="1:20" ht="51.75" thickBot="1" x14ac:dyDescent="0.3">
      <c r="I152" s="1031" t="s">
        <v>1348</v>
      </c>
      <c r="J152" s="1740"/>
      <c r="K152" s="1740"/>
      <c r="L152"/>
      <c r="M152" s="2198"/>
      <c r="N152" s="2207"/>
      <c r="O152" s="2224" t="s">
        <v>2456</v>
      </c>
      <c r="P152" s="1383"/>
      <c r="Q152" s="1031" t="s">
        <v>1348</v>
      </c>
      <c r="R152" s="48"/>
      <c r="S152" s="1763"/>
      <c r="T152" s="11"/>
    </row>
    <row r="153" spans="1:20" ht="18" customHeight="1" thickBot="1" x14ac:dyDescent="0.3">
      <c r="A153" s="413"/>
      <c r="B153" s="413"/>
      <c r="C153" s="24"/>
      <c r="D153" s="24"/>
      <c r="E153" s="1726" t="s">
        <v>659</v>
      </c>
      <c r="F153" s="1725"/>
      <c r="G153" s="507">
        <v>4</v>
      </c>
      <c r="H153" s="1117" t="s">
        <v>543</v>
      </c>
      <c r="I153" s="984">
        <v>6</v>
      </c>
      <c r="J153" s="1741"/>
      <c r="K153" s="1741"/>
      <c r="L153"/>
      <c r="M153" s="2199" t="s">
        <v>2449</v>
      </c>
      <c r="N153" s="2208" t="s">
        <v>2450</v>
      </c>
      <c r="O153" s="2208" t="s">
        <v>2455</v>
      </c>
      <c r="P153" s="1117" t="s">
        <v>1138</v>
      </c>
      <c r="Q153" s="984">
        <v>2</v>
      </c>
      <c r="R153" s="48"/>
      <c r="S153" s="1764"/>
      <c r="T153" s="11"/>
    </row>
    <row r="154" spans="1:20" ht="33" customHeight="1" thickBot="1" x14ac:dyDescent="0.3">
      <c r="A154" s="508"/>
      <c r="B154" s="138" t="s">
        <v>525</v>
      </c>
      <c r="C154" s="4356" t="s">
        <v>526</v>
      </c>
      <c r="D154" s="4357"/>
      <c r="E154" s="262" t="s">
        <v>935</v>
      </c>
      <c r="F154" s="262" t="s">
        <v>525</v>
      </c>
      <c r="G154" s="262" t="s">
        <v>959</v>
      </c>
      <c r="H154" s="262" t="s">
        <v>1007</v>
      </c>
      <c r="I154" s="132" t="s">
        <v>251</v>
      </c>
      <c r="J154" s="132" t="s">
        <v>1649</v>
      </c>
      <c r="K154" s="1746" t="s">
        <v>1619</v>
      </c>
      <c r="L154"/>
      <c r="M154" s="2200"/>
      <c r="N154" s="2209" t="s">
        <v>2451</v>
      </c>
      <c r="O154" s="2223">
        <v>20</v>
      </c>
      <c r="P154" s="262" t="s">
        <v>1007</v>
      </c>
      <c r="Q154" s="132" t="s">
        <v>251</v>
      </c>
      <c r="R154" s="1750"/>
      <c r="S154" s="1765"/>
      <c r="T154" s="11"/>
    </row>
    <row r="155" spans="1:20" ht="15.75" customHeight="1" thickBot="1" x14ac:dyDescent="0.3">
      <c r="A155" s="414"/>
      <c r="B155" s="538" t="s">
        <v>544</v>
      </c>
      <c r="C155" s="4255" t="s">
        <v>82</v>
      </c>
      <c r="D155" s="528" t="s">
        <v>83</v>
      </c>
      <c r="E155" s="1808">
        <v>106104947</v>
      </c>
      <c r="F155" s="2042" t="s">
        <v>84</v>
      </c>
      <c r="G155" s="551">
        <f>$G176</f>
        <v>6</v>
      </c>
      <c r="H155" s="985">
        <f>H176</f>
        <v>4</v>
      </c>
      <c r="I155" s="1730" t="e">
        <f>$H155*'Lista global'!#REF!</f>
        <v>#REF!</v>
      </c>
      <c r="J155" s="1730" t="e">
        <f>$H155*'Lista global'!#REF!</f>
        <v>#REF!</v>
      </c>
      <c r="K155" s="3624" t="e">
        <f>$H155*'Lista global'!#REF!</f>
        <v>#REF!</v>
      </c>
      <c r="L155" s="1383" t="s">
        <v>2452</v>
      </c>
      <c r="M155" s="2201">
        <v>1</v>
      </c>
      <c r="N155" s="2210">
        <v>2.0000000000000001E-4</v>
      </c>
      <c r="O155" s="2216">
        <f t="shared" ref="O155:O188" si="15">O$154*$I$153*G155*N155</f>
        <v>0.14400000000000002</v>
      </c>
      <c r="P155" s="985">
        <v>2</v>
      </c>
      <c r="Q155" s="1730">
        <v>28.233333333333338</v>
      </c>
      <c r="R155" s="1766"/>
      <c r="S155" s="1767"/>
      <c r="T155" s="11"/>
    </row>
    <row r="156" spans="1:20" ht="15.75" customHeight="1" x14ac:dyDescent="0.25">
      <c r="A156" s="4354" t="s">
        <v>660</v>
      </c>
      <c r="B156" s="537" t="s">
        <v>545</v>
      </c>
      <c r="C156" s="4256"/>
      <c r="D156" s="1640" t="s">
        <v>91</v>
      </c>
      <c r="E156" s="1696">
        <v>106202886</v>
      </c>
      <c r="F156" s="2045" t="s">
        <v>664</v>
      </c>
      <c r="G156" s="2024">
        <f>$G153</f>
        <v>4</v>
      </c>
      <c r="H156" s="3434">
        <f>ROUND(G156*$I$153/8,0)</f>
        <v>3</v>
      </c>
      <c r="I156" s="2022">
        <f>$H156*'Lista global'!P219</f>
        <v>175.35</v>
      </c>
      <c r="J156" s="2022">
        <f>$H156*'Lista global'!Q219</f>
        <v>147.66315789473686</v>
      </c>
      <c r="K156" s="3625">
        <f>$H156*'Lista global'!M219</f>
        <v>140.28</v>
      </c>
      <c r="L156"/>
      <c r="M156" s="2201">
        <v>2</v>
      </c>
      <c r="N156" s="2210">
        <v>5.0000000000000001E-4</v>
      </c>
      <c r="O156" s="2216">
        <f t="shared" si="15"/>
        <v>0.24</v>
      </c>
      <c r="P156" s="986">
        <v>1</v>
      </c>
      <c r="Q156" s="3636">
        <v>141.55000000000001</v>
      </c>
      <c r="R156" s="11"/>
      <c r="S156" s="905"/>
      <c r="T156" s="1767" t="s">
        <v>2311</v>
      </c>
    </row>
    <row r="157" spans="1:20" ht="15.75" customHeight="1" x14ac:dyDescent="0.25">
      <c r="A157" s="4355"/>
      <c r="B157" s="537" t="s">
        <v>546</v>
      </c>
      <c r="C157" s="4256"/>
      <c r="D157" s="1640" t="s">
        <v>93</v>
      </c>
      <c r="E157" s="1696">
        <v>106202884</v>
      </c>
      <c r="F157" s="2045" t="s">
        <v>665</v>
      </c>
      <c r="G157" s="2024">
        <f>$G153</f>
        <v>4</v>
      </c>
      <c r="H157" s="3434">
        <f>ROUND(G157*$I$153/8,0)</f>
        <v>3</v>
      </c>
      <c r="I157" s="2022">
        <f>$H157*'Lista global'!P218</f>
        <v>102.30000000000001</v>
      </c>
      <c r="J157" s="2022">
        <f>$H157*'Lista global'!Q218</f>
        <v>86.147368421052647</v>
      </c>
      <c r="K157" s="3625">
        <f>$H157*'Lista global'!M218</f>
        <v>81.84</v>
      </c>
      <c r="L157"/>
      <c r="M157" s="2201">
        <v>1</v>
      </c>
      <c r="N157" s="2210">
        <v>2.0000000000000001E-4</v>
      </c>
      <c r="O157" s="2216">
        <f t="shared" si="15"/>
        <v>9.6000000000000002E-2</v>
      </c>
      <c r="P157" s="986">
        <v>1</v>
      </c>
      <c r="Q157" s="3636">
        <v>60.833333333333336</v>
      </c>
      <c r="R157" s="14">
        <v>106119606</v>
      </c>
      <c r="S157" s="14" t="s">
        <v>2310</v>
      </c>
      <c r="T157" s="1767">
        <v>84.46</v>
      </c>
    </row>
    <row r="158" spans="1:20" ht="15.75" customHeight="1" x14ac:dyDescent="0.25">
      <c r="A158" s="4355"/>
      <c r="B158" s="537" t="s">
        <v>548</v>
      </c>
      <c r="C158" s="4256"/>
      <c r="D158" s="1823" t="s">
        <v>127</v>
      </c>
      <c r="E158" s="1811">
        <v>106114372</v>
      </c>
      <c r="F158" s="2047" t="s">
        <v>666</v>
      </c>
      <c r="G158" s="2025">
        <v>1</v>
      </c>
      <c r="H158" s="3434">
        <f>ROUNDUP(G158*$I$153/8,0)</f>
        <v>1</v>
      </c>
      <c r="I158" s="2022">
        <f>$H158*'Lista global'!P143</f>
        <v>62.337499999999991</v>
      </c>
      <c r="J158" s="2022">
        <f>$H158*'Lista global'!Q143</f>
        <v>52.494736842105262</v>
      </c>
      <c r="K158" s="3625">
        <f>$H158*'Lista global'!M143</f>
        <v>49.87</v>
      </c>
      <c r="L158" s="1383"/>
      <c r="M158" s="2201">
        <v>1</v>
      </c>
      <c r="N158" s="2210">
        <v>2.0000000000000001E-4</v>
      </c>
      <c r="O158" s="2216">
        <f t="shared" si="15"/>
        <v>2.4E-2</v>
      </c>
      <c r="P158" s="986">
        <v>1</v>
      </c>
      <c r="Q158" s="3636">
        <v>67.300000000000011</v>
      </c>
      <c r="R158" s="905"/>
      <c r="S158" s="1767"/>
      <c r="T158" s="11"/>
    </row>
    <row r="159" spans="1:20" ht="15.75" customHeight="1" thickBot="1" x14ac:dyDescent="0.3">
      <c r="A159" s="4355"/>
      <c r="B159" s="537" t="s">
        <v>547</v>
      </c>
      <c r="C159" s="4256"/>
      <c r="D159" s="1836" t="s">
        <v>95</v>
      </c>
      <c r="E159" s="1811">
        <v>106202883</v>
      </c>
      <c r="F159" s="2049" t="s">
        <v>667</v>
      </c>
      <c r="G159" s="1812">
        <f>$G153</f>
        <v>4</v>
      </c>
      <c r="H159" s="3434">
        <f>ROUND(G159*$I$153/8,0)</f>
        <v>3</v>
      </c>
      <c r="I159" s="2293">
        <f>$H159*'Lista global'!P217</f>
        <v>82.424999999999997</v>
      </c>
      <c r="J159" s="2293">
        <f>$H159*'Lista global'!Q217</f>
        <v>69.410526315789483</v>
      </c>
      <c r="K159" s="3626">
        <f>$H159*'Lista global'!M217</f>
        <v>65.94</v>
      </c>
      <c r="L159"/>
      <c r="M159" s="2201">
        <v>1</v>
      </c>
      <c r="N159" s="2210">
        <v>2.0000000000000001E-4</v>
      </c>
      <c r="O159" s="2216">
        <f t="shared" si="15"/>
        <v>9.6000000000000002E-2</v>
      </c>
      <c r="P159" s="986">
        <v>1</v>
      </c>
      <c r="Q159" s="3637">
        <v>49.983333333333334</v>
      </c>
      <c r="R159" s="905"/>
      <c r="S159" s="1767"/>
      <c r="T159" s="11"/>
    </row>
    <row r="160" spans="1:20" ht="23.25" customHeight="1" x14ac:dyDescent="0.25">
      <c r="A160" s="1103" t="s">
        <v>661</v>
      </c>
      <c r="B160" s="414" t="s">
        <v>523</v>
      </c>
      <c r="C160" s="4256"/>
      <c r="D160" s="159" t="s">
        <v>97</v>
      </c>
      <c r="E160" s="160">
        <v>106113580</v>
      </c>
      <c r="F160" s="3446" t="s">
        <v>1479</v>
      </c>
      <c r="G160" s="561">
        <f>$G153</f>
        <v>4</v>
      </c>
      <c r="H160" s="985">
        <f>ROUNDDOWN(($I$153*G160/4)/10,0)</f>
        <v>0</v>
      </c>
      <c r="I160" s="2294">
        <f>$H160*'Lista global'!P122</f>
        <v>0</v>
      </c>
      <c r="J160" s="2294">
        <f>$H160*'Lista global'!Q122</f>
        <v>0</v>
      </c>
      <c r="K160" s="3627">
        <f>$H160*'Lista global'!M122</f>
        <v>0</v>
      </c>
      <c r="L160" s="11" t="s">
        <v>1077</v>
      </c>
      <c r="M160" s="2201">
        <v>1</v>
      </c>
      <c r="N160" s="2210">
        <v>6.9999999999999999E-4</v>
      </c>
      <c r="O160" s="2216">
        <f t="shared" si="15"/>
        <v>0.33600000000000002</v>
      </c>
      <c r="P160" s="1266">
        <v>1</v>
      </c>
      <c r="Q160" s="2294">
        <v>1186.4666666666667</v>
      </c>
      <c r="R160" s="905"/>
      <c r="S160" s="1767"/>
      <c r="T160" s="11"/>
    </row>
    <row r="161" spans="1:20" ht="15.75" customHeight="1" x14ac:dyDescent="0.25">
      <c r="A161" s="1104"/>
      <c r="B161" s="415" t="s">
        <v>558</v>
      </c>
      <c r="C161" s="4256"/>
      <c r="D161" s="1640" t="s">
        <v>106</v>
      </c>
      <c r="E161" s="1696">
        <v>106200539</v>
      </c>
      <c r="F161" s="2045" t="s">
        <v>107</v>
      </c>
      <c r="G161" s="2024">
        <f>$G153</f>
        <v>4</v>
      </c>
      <c r="H161" s="3435">
        <f>ROUND(($I$153*G161/4)/2,0)</f>
        <v>3</v>
      </c>
      <c r="I161" s="2021">
        <f>$H161*'Lista global'!P178</f>
        <v>99.6</v>
      </c>
      <c r="J161" s="2021">
        <f>$H161*'Lista global'!Q178</f>
        <v>66.400000000000006</v>
      </c>
      <c r="K161" s="3628">
        <f>$H161*'Lista global'!M178</f>
        <v>39.839999999999996</v>
      </c>
      <c r="L161" s="1383" t="s">
        <v>2453</v>
      </c>
      <c r="M161" s="2201">
        <v>1</v>
      </c>
      <c r="N161" s="2210">
        <v>2.0000000000000001E-4</v>
      </c>
      <c r="O161" s="2216">
        <f t="shared" si="15"/>
        <v>9.6000000000000002E-2</v>
      </c>
      <c r="P161" s="986">
        <v>1</v>
      </c>
      <c r="Q161" s="3638">
        <v>29.524999999999999</v>
      </c>
      <c r="R161" s="905"/>
      <c r="S161" s="1767"/>
      <c r="T161" s="11"/>
    </row>
    <row r="162" spans="1:20" ht="19.5" customHeight="1" x14ac:dyDescent="0.25">
      <c r="A162" s="1104" t="s">
        <v>649</v>
      </c>
      <c r="B162" s="415" t="s">
        <v>2019</v>
      </c>
      <c r="C162" s="4256"/>
      <c r="D162" s="1100" t="s">
        <v>1632</v>
      </c>
      <c r="E162" s="1696">
        <v>106205458</v>
      </c>
      <c r="F162" s="2045" t="s">
        <v>2018</v>
      </c>
      <c r="G162" s="2024">
        <f>$G153</f>
        <v>4</v>
      </c>
      <c r="H162" s="3435">
        <f>ROUNDUP(($I$153*G162/4)/10,0)</f>
        <v>1</v>
      </c>
      <c r="I162" s="2021">
        <f>$H162*'Lista global'!P259</f>
        <v>191.70000000000002</v>
      </c>
      <c r="J162" s="2021">
        <f>$H162*'Lista global'!Q259</f>
        <v>127.80000000000001</v>
      </c>
      <c r="K162" s="3628">
        <f>$H162*'Lista global'!M259</f>
        <v>67.91</v>
      </c>
      <c r="L162"/>
      <c r="M162" s="2201">
        <v>1</v>
      </c>
      <c r="N162" s="2210">
        <v>1E-3</v>
      </c>
      <c r="O162" s="2216">
        <f t="shared" si="15"/>
        <v>0.48</v>
      </c>
      <c r="P162" s="986">
        <v>1</v>
      </c>
      <c r="Q162" s="3638">
        <v>224.02499999999998</v>
      </c>
      <c r="R162" s="905"/>
      <c r="S162" s="1767"/>
      <c r="T162" s="11"/>
    </row>
    <row r="163" spans="1:20" ht="45" x14ac:dyDescent="0.25">
      <c r="A163" s="11" t="s">
        <v>649</v>
      </c>
      <c r="B163" s="386" t="s">
        <v>1049</v>
      </c>
      <c r="C163" s="4256"/>
      <c r="D163" s="351" t="s">
        <v>1055</v>
      </c>
      <c r="E163" s="1101">
        <v>106204289</v>
      </c>
      <c r="F163" s="3447" t="s">
        <v>1056</v>
      </c>
      <c r="G163" s="2024">
        <f>$G153</f>
        <v>4</v>
      </c>
      <c r="H163" s="3435">
        <f>ROUNDUP(($I$153*G163/4)/10,0)</f>
        <v>1</v>
      </c>
      <c r="I163" s="2021">
        <f>$H163*'Lista global'!P232</f>
        <v>52.4</v>
      </c>
      <c r="J163" s="2021">
        <f>$H163*'Lista global'!Q232</f>
        <v>34.933333333333337</v>
      </c>
      <c r="K163" s="3628">
        <f>$H163*'Lista global'!M232</f>
        <v>20.96</v>
      </c>
      <c r="L163"/>
      <c r="M163" s="2201">
        <v>1</v>
      </c>
      <c r="N163" s="2210">
        <v>2.0000000000000001E-4</v>
      </c>
      <c r="O163" s="2216">
        <f t="shared" si="15"/>
        <v>9.6000000000000002E-2</v>
      </c>
      <c r="P163" s="986">
        <v>1</v>
      </c>
      <c r="Q163" s="3638">
        <v>39.824999999999996</v>
      </c>
      <c r="R163" s="905"/>
      <c r="S163" s="1767"/>
      <c r="T163" s="11"/>
    </row>
    <row r="164" spans="1:20" ht="15.75" customHeight="1" x14ac:dyDescent="0.25">
      <c r="A164" s="512"/>
      <c r="B164" s="420" t="s">
        <v>577</v>
      </c>
      <c r="C164" s="4256"/>
      <c r="D164" s="1661" t="s">
        <v>208</v>
      </c>
      <c r="E164" s="1696">
        <v>106105422</v>
      </c>
      <c r="F164" s="2080" t="s">
        <v>209</v>
      </c>
      <c r="G164" s="2025">
        <f>$G153*3</f>
        <v>12</v>
      </c>
      <c r="H164" s="3436">
        <f>3*H188</f>
        <v>3</v>
      </c>
      <c r="I164" s="2021">
        <f>$H164*'Lista global'!P65</f>
        <v>4.0875000000000004</v>
      </c>
      <c r="J164" s="2021">
        <f>$H164*'Lista global'!Q65</f>
        <v>3.4421052631578952</v>
      </c>
      <c r="K164" s="3628">
        <f>$H164*'Lista global'!M65</f>
        <v>3.2700000000000005</v>
      </c>
      <c r="L164" s="1383" t="s">
        <v>2452</v>
      </c>
      <c r="M164" s="2201">
        <v>5</v>
      </c>
      <c r="N164" s="2210">
        <v>2.0000000000000001E-4</v>
      </c>
      <c r="O164" s="2216">
        <f t="shared" si="15"/>
        <v>0.28800000000000003</v>
      </c>
      <c r="P164" s="987">
        <v>3</v>
      </c>
      <c r="Q164" s="3638">
        <v>2.4000000000000004</v>
      </c>
      <c r="R164" s="679"/>
      <c r="S164" s="1767"/>
      <c r="T164" s="11"/>
    </row>
    <row r="165" spans="1:20" ht="20.25" customHeight="1" x14ac:dyDescent="0.25">
      <c r="A165" s="512" t="s">
        <v>656</v>
      </c>
      <c r="B165" s="420" t="s">
        <v>579</v>
      </c>
      <c r="C165" s="4256"/>
      <c r="D165" s="1661" t="s">
        <v>134</v>
      </c>
      <c r="E165" s="1779">
        <v>106104397</v>
      </c>
      <c r="F165" s="2080" t="s">
        <v>135</v>
      </c>
      <c r="G165" s="2025">
        <f>$G153</f>
        <v>4</v>
      </c>
      <c r="H165" s="3435">
        <f>ROUND(G165*$I$153/4,0)</f>
        <v>6</v>
      </c>
      <c r="I165" s="2021">
        <f>$H165*'Lista global'!P52</f>
        <v>566.54999999999995</v>
      </c>
      <c r="J165" s="2021">
        <f>$H165*'Lista global'!Q52</f>
        <v>477.09473684210536</v>
      </c>
      <c r="K165" s="3628">
        <f>$H165*'Lista global'!M52</f>
        <v>453.24</v>
      </c>
      <c r="L165" s="1383" t="s">
        <v>2454</v>
      </c>
      <c r="M165" s="2201">
        <v>1</v>
      </c>
      <c r="N165" s="2210">
        <v>2.0000000000000001E-4</v>
      </c>
      <c r="O165" s="2216">
        <f t="shared" si="15"/>
        <v>9.6000000000000002E-2</v>
      </c>
      <c r="P165" s="986">
        <v>2</v>
      </c>
      <c r="Q165" s="3638">
        <v>318.13333333333333</v>
      </c>
      <c r="R165" s="905"/>
      <c r="S165" s="1767"/>
      <c r="T165" s="11"/>
    </row>
    <row r="166" spans="1:20" s="176" customFormat="1" ht="15.75" customHeight="1" x14ac:dyDescent="0.25">
      <c r="A166" s="1112" t="s">
        <v>1651</v>
      </c>
      <c r="B166" s="1113" t="s">
        <v>1073</v>
      </c>
      <c r="C166" s="4256"/>
      <c r="D166" s="2026" t="s">
        <v>1069</v>
      </c>
      <c r="E166" s="1825">
        <v>106116005</v>
      </c>
      <c r="F166" s="3448" t="s">
        <v>1071</v>
      </c>
      <c r="G166" s="2025">
        <f>2*$G153</f>
        <v>8</v>
      </c>
      <c r="H166" s="3435">
        <f>2*H188</f>
        <v>2</v>
      </c>
      <c r="I166" s="2021">
        <f>$H166*'Lista global'!P150</f>
        <v>7.7749999999999995</v>
      </c>
      <c r="J166" s="2021">
        <f>$H166*'Lista global'!Q150</f>
        <v>6.5473684210526315</v>
      </c>
      <c r="K166" s="3628">
        <f>$H166*'Lista global'!M150</f>
        <v>6.22</v>
      </c>
      <c r="M166" s="2201">
        <v>5</v>
      </c>
      <c r="N166" s="2210">
        <v>2.0000000000000001E-4</v>
      </c>
      <c r="O166" s="2216">
        <f t="shared" si="15"/>
        <v>0.192</v>
      </c>
      <c r="P166" s="986">
        <v>2</v>
      </c>
      <c r="Q166" s="3638">
        <v>10.366666666666667</v>
      </c>
      <c r="R166" s="905"/>
      <c r="S166" s="1768"/>
    </row>
    <row r="167" spans="1:20" s="1115" customFormat="1" ht="15.75" customHeight="1" thickBot="1" x14ac:dyDescent="0.3">
      <c r="A167" s="1736" t="s">
        <v>1652</v>
      </c>
      <c r="B167" s="1116" t="s">
        <v>1074</v>
      </c>
      <c r="C167" s="4257"/>
      <c r="D167" s="1781" t="s">
        <v>1070</v>
      </c>
      <c r="E167" s="3558">
        <v>106126857</v>
      </c>
      <c r="F167" s="2724" t="s">
        <v>1896</v>
      </c>
      <c r="G167" s="2027">
        <f>2*$G153</f>
        <v>8</v>
      </c>
      <c r="H167" s="3437">
        <f>2*H188</f>
        <v>2</v>
      </c>
      <c r="I167" s="2296">
        <f>$H167*'Lista global'!P112</f>
        <v>5.9499999999999993</v>
      </c>
      <c r="J167" s="2296">
        <f>$H167*'Lista global'!Q112</f>
        <v>5.0105263157894733</v>
      </c>
      <c r="K167" s="3629">
        <f>$H167*'Lista global'!M112</f>
        <v>4.76</v>
      </c>
      <c r="M167" s="2201">
        <v>5</v>
      </c>
      <c r="N167" s="2210">
        <v>2.0000000000000001E-4</v>
      </c>
      <c r="O167" s="2216">
        <f t="shared" si="15"/>
        <v>0.192</v>
      </c>
      <c r="P167" s="988">
        <v>2</v>
      </c>
      <c r="Q167" s="3639">
        <v>8.1333333333333329</v>
      </c>
      <c r="R167" s="905"/>
      <c r="S167" s="1768"/>
    </row>
    <row r="168" spans="1:20" ht="15.75" customHeight="1" x14ac:dyDescent="0.25">
      <c r="A168" s="4355" t="s">
        <v>668</v>
      </c>
      <c r="B168" s="415" t="s">
        <v>561</v>
      </c>
      <c r="C168" s="4254" t="s">
        <v>113</v>
      </c>
      <c r="D168" s="535" t="s">
        <v>114</v>
      </c>
      <c r="E168" s="545">
        <v>106104180</v>
      </c>
      <c r="F168" s="3449" t="s">
        <v>157</v>
      </c>
      <c r="G168" s="2630">
        <f>$G153</f>
        <v>4</v>
      </c>
      <c r="H168" s="2532">
        <f>ROUNDDOWN(($I$153*G168/4)/10,0)</f>
        <v>0</v>
      </c>
      <c r="I168" s="2301">
        <f>$H168*'Lista global'!P37</f>
        <v>0</v>
      </c>
      <c r="J168" s="2301">
        <f>$H168*'Lista global'!Q37</f>
        <v>0</v>
      </c>
      <c r="K168" s="3630">
        <f>$H168*'Lista global'!M37</f>
        <v>0</v>
      </c>
      <c r="L168" s="11" t="s">
        <v>1077</v>
      </c>
      <c r="M168" s="2201">
        <v>1</v>
      </c>
      <c r="N168" s="2210">
        <v>1E-3</v>
      </c>
      <c r="O168" s="2216">
        <f t="shared" si="15"/>
        <v>0.48</v>
      </c>
      <c r="P168" s="1022">
        <v>1</v>
      </c>
      <c r="Q168" s="2301">
        <v>606.38333333333333</v>
      </c>
      <c r="R168" s="905"/>
      <c r="S168" s="1767"/>
      <c r="T168" s="11"/>
    </row>
    <row r="169" spans="1:20" ht="15.75" customHeight="1" x14ac:dyDescent="0.25">
      <c r="A169" s="4355"/>
      <c r="B169" s="415" t="s">
        <v>562</v>
      </c>
      <c r="C169" s="4254"/>
      <c r="D169" s="2028" t="s">
        <v>117</v>
      </c>
      <c r="E169" s="1814">
        <v>106104133</v>
      </c>
      <c r="F169" s="3450" t="s">
        <v>158</v>
      </c>
      <c r="G169" s="2024">
        <f>$G153*4</f>
        <v>16</v>
      </c>
      <c r="H169" s="3435">
        <f>H168</f>
        <v>0</v>
      </c>
      <c r="I169" s="2022">
        <f>$H169*'Lista global'!P32</f>
        <v>0</v>
      </c>
      <c r="J169" s="2022">
        <f>$H169*'Lista global'!Q32</f>
        <v>0</v>
      </c>
      <c r="K169" s="3625">
        <f>$H169*'Lista global'!M32</f>
        <v>0</v>
      </c>
      <c r="L169" s="11" t="s">
        <v>1077</v>
      </c>
      <c r="M169" s="2201">
        <v>4</v>
      </c>
      <c r="N169" s="2210">
        <v>2.0000000000000001E-4</v>
      </c>
      <c r="O169" s="2216">
        <f t="shared" si="15"/>
        <v>0.38400000000000001</v>
      </c>
      <c r="P169" s="1017">
        <v>4</v>
      </c>
      <c r="Q169" s="3636">
        <v>38</v>
      </c>
      <c r="R169" s="905"/>
      <c r="S169" s="1767"/>
      <c r="T169" s="11"/>
    </row>
    <row r="170" spans="1:20" ht="15.75" customHeight="1" x14ac:dyDescent="0.25">
      <c r="A170" s="4355"/>
      <c r="B170" s="415" t="s">
        <v>563</v>
      </c>
      <c r="C170" s="4254"/>
      <c r="D170" s="2028" t="s">
        <v>189</v>
      </c>
      <c r="E170" s="1814">
        <v>106106241</v>
      </c>
      <c r="F170" s="3450" t="s">
        <v>190</v>
      </c>
      <c r="G170" s="2631">
        <f>$G153*2</f>
        <v>8</v>
      </c>
      <c r="H170" s="3435">
        <f>H168</f>
        <v>0</v>
      </c>
      <c r="I170" s="2022">
        <f>$H170*'Lista global'!P76</f>
        <v>0</v>
      </c>
      <c r="J170" s="2022">
        <f>$H170*'Lista global'!Q76</f>
        <v>0</v>
      </c>
      <c r="K170" s="3625">
        <f>$H170*'Lista global'!M76</f>
        <v>0</v>
      </c>
      <c r="L170" s="11" t="s">
        <v>1077</v>
      </c>
      <c r="M170" s="2201">
        <v>1</v>
      </c>
      <c r="N170" s="2210">
        <v>2.0000000000000001E-4</v>
      </c>
      <c r="O170" s="2216">
        <f t="shared" si="15"/>
        <v>0.192</v>
      </c>
      <c r="P170" s="1017">
        <v>1</v>
      </c>
      <c r="Q170" s="3636">
        <v>7.5</v>
      </c>
      <c r="R170" s="905"/>
      <c r="S170" s="1767"/>
      <c r="T170" s="11"/>
    </row>
    <row r="171" spans="1:20" ht="15.75" customHeight="1" x14ac:dyDescent="0.25">
      <c r="A171" s="4355"/>
      <c r="B171" s="415" t="s">
        <v>564</v>
      </c>
      <c r="C171" s="4254"/>
      <c r="D171" s="2028" t="s">
        <v>178</v>
      </c>
      <c r="E171" s="1814">
        <v>106104209</v>
      </c>
      <c r="F171" s="3450" t="s">
        <v>191</v>
      </c>
      <c r="G171" s="2024">
        <f>$G153</f>
        <v>4</v>
      </c>
      <c r="H171" s="3435">
        <f>H168</f>
        <v>0</v>
      </c>
      <c r="I171" s="2022">
        <f>$H171*'Lista global'!P40</f>
        <v>0</v>
      </c>
      <c r="J171" s="2022">
        <f>$H171*'Lista global'!Q40</f>
        <v>0</v>
      </c>
      <c r="K171" s="3625">
        <f>$H171*'Lista global'!M40</f>
        <v>0</v>
      </c>
      <c r="L171" s="11" t="s">
        <v>1077</v>
      </c>
      <c r="M171" s="2201">
        <v>1</v>
      </c>
      <c r="N171" s="2210">
        <v>2.0000000000000001E-4</v>
      </c>
      <c r="O171" s="2216">
        <f t="shared" si="15"/>
        <v>9.6000000000000002E-2</v>
      </c>
      <c r="P171" s="1017">
        <v>1</v>
      </c>
      <c r="Q171" s="3636">
        <v>11.683333333333334</v>
      </c>
      <c r="R171" s="905"/>
      <c r="S171" s="1767"/>
      <c r="T171" s="11"/>
    </row>
    <row r="172" spans="1:20" ht="15.75" customHeight="1" x14ac:dyDescent="0.25">
      <c r="A172" s="4355"/>
      <c r="B172" s="415" t="s">
        <v>565</v>
      </c>
      <c r="C172" s="4254"/>
      <c r="D172" s="2028" t="s">
        <v>192</v>
      </c>
      <c r="E172" s="1814">
        <v>106104212</v>
      </c>
      <c r="F172" s="3450" t="s">
        <v>193</v>
      </c>
      <c r="G172" s="2024">
        <f>$G153</f>
        <v>4</v>
      </c>
      <c r="H172" s="3435">
        <f>H168</f>
        <v>0</v>
      </c>
      <c r="I172" s="2022">
        <f>$H172*'Lista global'!P42</f>
        <v>0</v>
      </c>
      <c r="J172" s="2022">
        <f>$H172*'Lista global'!Q42</f>
        <v>0</v>
      </c>
      <c r="K172" s="3625">
        <f>$H172*'Lista global'!M42</f>
        <v>0</v>
      </c>
      <c r="L172" s="11" t="s">
        <v>1077</v>
      </c>
      <c r="M172" s="2201">
        <v>1</v>
      </c>
      <c r="N172" s="2210">
        <v>2.0000000000000001E-4</v>
      </c>
      <c r="O172" s="2216">
        <f t="shared" si="15"/>
        <v>9.6000000000000002E-2</v>
      </c>
      <c r="P172" s="1017">
        <v>1</v>
      </c>
      <c r="Q172" s="3636">
        <v>24.1</v>
      </c>
      <c r="R172" s="905"/>
      <c r="S172" s="1767"/>
      <c r="T172" s="11"/>
    </row>
    <row r="173" spans="1:20" ht="15.75" customHeight="1" thickBot="1" x14ac:dyDescent="0.3">
      <c r="A173" s="4367"/>
      <c r="B173" s="415" t="s">
        <v>566</v>
      </c>
      <c r="C173" s="4254"/>
      <c r="D173" s="2029" t="s">
        <v>119</v>
      </c>
      <c r="E173" s="1814">
        <v>106112169</v>
      </c>
      <c r="F173" s="3451" t="s">
        <v>120</v>
      </c>
      <c r="G173" s="2631">
        <f>$G153*2</f>
        <v>8</v>
      </c>
      <c r="H173" s="3435">
        <f>2*H188</f>
        <v>2</v>
      </c>
      <c r="I173" s="2022">
        <f>$H173*'Lista global'!P111</f>
        <v>99.949999999999989</v>
      </c>
      <c r="J173" s="2022">
        <f>$H173*'Lista global'!Q111</f>
        <v>84.168421052631572</v>
      </c>
      <c r="K173" s="3625">
        <f>$H173*'Lista global'!M111</f>
        <v>79.959999999999994</v>
      </c>
      <c r="L173"/>
      <c r="M173" s="2201">
        <v>2</v>
      </c>
      <c r="N173" s="2210">
        <v>2.0000000000000001E-4</v>
      </c>
      <c r="O173" s="2216">
        <f t="shared" si="15"/>
        <v>0.192</v>
      </c>
      <c r="P173" s="1017">
        <v>2</v>
      </c>
      <c r="Q173" s="3636">
        <v>133.26666666666665</v>
      </c>
      <c r="R173" s="905"/>
      <c r="S173" s="1767"/>
      <c r="T173" s="11"/>
    </row>
    <row r="174" spans="1:20" ht="15.75" customHeight="1" thickBot="1" x14ac:dyDescent="0.3">
      <c r="A174" s="523"/>
      <c r="B174" s="416" t="s">
        <v>567</v>
      </c>
      <c r="C174" s="4254"/>
      <c r="D174" s="2030" t="s">
        <v>122</v>
      </c>
      <c r="E174" s="2031">
        <v>106114701</v>
      </c>
      <c r="F174" s="3452" t="s">
        <v>123</v>
      </c>
      <c r="G174" s="2518">
        <f>$G153</f>
        <v>4</v>
      </c>
      <c r="H174" s="3437">
        <f>ROUND(G174*$I$153/4,0)</f>
        <v>6</v>
      </c>
      <c r="I174" s="2298">
        <f>$H174*'Lista global'!P146</f>
        <v>557.09999999999991</v>
      </c>
      <c r="J174" s="2298">
        <f>$H174*'Lista global'!Q146</f>
        <v>469.13684210526316</v>
      </c>
      <c r="K174" s="3631">
        <f>$H174*'Lista global'!M146</f>
        <v>445.68</v>
      </c>
      <c r="L174" s="1383" t="s">
        <v>2454</v>
      </c>
      <c r="M174" s="2201">
        <v>1</v>
      </c>
      <c r="N174" s="2210">
        <v>2.0000000000000001E-4</v>
      </c>
      <c r="O174" s="2216">
        <f t="shared" si="15"/>
        <v>9.6000000000000002E-2</v>
      </c>
      <c r="P174" s="1019">
        <v>2</v>
      </c>
      <c r="Q174" s="2298">
        <v>318.13333333333333</v>
      </c>
      <c r="R174" s="905"/>
      <c r="S174" s="1767"/>
      <c r="T174" s="11"/>
    </row>
    <row r="175" spans="1:20" ht="15.75" customHeight="1" x14ac:dyDescent="0.25">
      <c r="A175" s="415" t="s">
        <v>662</v>
      </c>
      <c r="B175" s="439" t="s">
        <v>568</v>
      </c>
      <c r="C175" s="4255" t="s">
        <v>137</v>
      </c>
      <c r="D175" s="522" t="s">
        <v>138</v>
      </c>
      <c r="E175" s="377">
        <v>106202973</v>
      </c>
      <c r="F175" s="2076" t="s">
        <v>142</v>
      </c>
      <c r="G175" s="561">
        <v>1</v>
      </c>
      <c r="H175" s="3438">
        <f>ROUNDDOWN($I$153/10,0)</f>
        <v>0</v>
      </c>
      <c r="I175" s="2301">
        <f>$H175*'Lista global'!P222</f>
        <v>0</v>
      </c>
      <c r="J175" s="2301">
        <f>$H175*'Lista global'!Q222</f>
        <v>0</v>
      </c>
      <c r="K175" s="3630">
        <f>$H175*'Lista global'!M222</f>
        <v>0</v>
      </c>
      <c r="L175" s="11" t="s">
        <v>1077</v>
      </c>
      <c r="M175" s="2201">
        <v>1</v>
      </c>
      <c r="N175" s="2210">
        <v>2.0000000000000001E-4</v>
      </c>
      <c r="O175" s="2216">
        <f t="shared" si="15"/>
        <v>2.4E-2</v>
      </c>
      <c r="P175" s="1073">
        <v>1</v>
      </c>
      <c r="Q175" s="2301">
        <v>28.216666666666669</v>
      </c>
      <c r="R175" s="905"/>
      <c r="S175" s="1767"/>
      <c r="T175" s="11"/>
    </row>
    <row r="176" spans="1:20" ht="15.75" customHeight="1" x14ac:dyDescent="0.25">
      <c r="A176" s="415" t="s">
        <v>654</v>
      </c>
      <c r="B176" s="415" t="s">
        <v>570</v>
      </c>
      <c r="C176" s="4256"/>
      <c r="D176" s="1640" t="s">
        <v>144</v>
      </c>
      <c r="E176" s="1696">
        <v>106105850</v>
      </c>
      <c r="F176" s="2045" t="s">
        <v>145</v>
      </c>
      <c r="G176" s="2033">
        <f>IF($G153=4,6,IF($G153=3,5,3))</f>
        <v>6</v>
      </c>
      <c r="H176" s="3435">
        <f>ROUND(G176*$I$153/10,0)</f>
        <v>4</v>
      </c>
      <c r="I176" s="2022"/>
      <c r="J176" s="2022"/>
      <c r="K176" s="3625"/>
      <c r="L176"/>
      <c r="M176" s="2201">
        <v>1</v>
      </c>
      <c r="N176" s="2210">
        <v>1E-3</v>
      </c>
      <c r="O176" s="2216">
        <f t="shared" si="15"/>
        <v>0.72</v>
      </c>
      <c r="P176" s="989">
        <v>2</v>
      </c>
      <c r="Q176" s="3636"/>
      <c r="R176" s="1766"/>
      <c r="S176" s="1767"/>
      <c r="T176" s="11"/>
    </row>
    <row r="177" spans="1:20" ht="15.75" customHeight="1" x14ac:dyDescent="0.25">
      <c r="A177" s="415"/>
      <c r="B177" s="415" t="s">
        <v>571</v>
      </c>
      <c r="C177" s="4256"/>
      <c r="D177" s="1661" t="s">
        <v>196</v>
      </c>
      <c r="E177" s="1696">
        <v>106201346</v>
      </c>
      <c r="F177" s="2079" t="s">
        <v>197</v>
      </c>
      <c r="G177" s="2025">
        <v>1</v>
      </c>
      <c r="H177" s="3439">
        <f>ROUNDUP(I153/4,0)</f>
        <v>2</v>
      </c>
      <c r="I177" s="2022">
        <f>$H177*'Lista global'!P199</f>
        <v>147.44999999999999</v>
      </c>
      <c r="J177" s="2022">
        <f>$H177*'Lista global'!Q199</f>
        <v>98.3</v>
      </c>
      <c r="K177" s="3625">
        <f>$H177*'Lista global'!M199</f>
        <v>58.98</v>
      </c>
      <c r="L177"/>
      <c r="M177" s="2201">
        <v>1</v>
      </c>
      <c r="N177" s="2210">
        <v>1.1000000000000001E-3</v>
      </c>
      <c r="O177" s="2216">
        <f t="shared" si="15"/>
        <v>0.13200000000000001</v>
      </c>
      <c r="P177" s="1035">
        <v>1</v>
      </c>
      <c r="Q177" s="3636">
        <v>78.174999999999997</v>
      </c>
      <c r="R177" s="267"/>
      <c r="S177" s="1767"/>
      <c r="T177" s="11"/>
    </row>
    <row r="178" spans="1:20" ht="15.75" customHeight="1" x14ac:dyDescent="0.25">
      <c r="A178" s="415"/>
      <c r="B178" s="415" t="s">
        <v>572</v>
      </c>
      <c r="C178" s="4256"/>
      <c r="D178" s="1661" t="s">
        <v>198</v>
      </c>
      <c r="E178" s="1696">
        <v>106110895</v>
      </c>
      <c r="F178" s="2045" t="s">
        <v>199</v>
      </c>
      <c r="G178" s="2025">
        <v>1</v>
      </c>
      <c r="H178" s="3436">
        <v>0</v>
      </c>
      <c r="I178" s="2022">
        <f>$H178*'Lista global'!P90</f>
        <v>0</v>
      </c>
      <c r="J178" s="2022">
        <f>$H178*'Lista global'!Q90</f>
        <v>0</v>
      </c>
      <c r="K178" s="3625">
        <f>$H178*'Lista global'!M90</f>
        <v>0</v>
      </c>
      <c r="L178"/>
      <c r="M178" s="2201">
        <v>0</v>
      </c>
      <c r="N178" s="2210">
        <v>0</v>
      </c>
      <c r="O178" s="2216">
        <f t="shared" si="15"/>
        <v>0</v>
      </c>
      <c r="P178" s="987">
        <v>0</v>
      </c>
      <c r="Q178" s="3636">
        <v>0</v>
      </c>
      <c r="R178" s="679"/>
      <c r="S178" s="1767"/>
      <c r="T178" s="11"/>
    </row>
    <row r="179" spans="1:20" ht="15.75" customHeight="1" x14ac:dyDescent="0.25">
      <c r="A179" s="415"/>
      <c r="B179" s="415" t="s">
        <v>573</v>
      </c>
      <c r="C179" s="4256"/>
      <c r="D179" s="1661" t="s">
        <v>200</v>
      </c>
      <c r="E179" s="1696">
        <v>106110896</v>
      </c>
      <c r="F179" s="2045" t="s">
        <v>201</v>
      </c>
      <c r="G179" s="2025">
        <v>1</v>
      </c>
      <c r="H179" s="3436">
        <v>0</v>
      </c>
      <c r="I179" s="2022">
        <f>$H179*'Lista global'!P91</f>
        <v>0</v>
      </c>
      <c r="J179" s="2022">
        <f>$H179*'Lista global'!Q91</f>
        <v>0</v>
      </c>
      <c r="K179" s="3625">
        <f>$H179*'Lista global'!M91</f>
        <v>0</v>
      </c>
      <c r="L179"/>
      <c r="M179" s="2201">
        <v>0</v>
      </c>
      <c r="N179" s="2210">
        <v>0</v>
      </c>
      <c r="O179" s="2216">
        <f t="shared" si="15"/>
        <v>0</v>
      </c>
      <c r="P179" s="987">
        <v>0</v>
      </c>
      <c r="Q179" s="3636">
        <v>0</v>
      </c>
      <c r="R179" s="679"/>
      <c r="S179" s="1767"/>
      <c r="T179" s="11"/>
    </row>
    <row r="180" spans="1:20" ht="15.75" customHeight="1" x14ac:dyDescent="0.25">
      <c r="A180" s="415"/>
      <c r="B180" s="415" t="s">
        <v>574</v>
      </c>
      <c r="C180" s="4256"/>
      <c r="D180" s="1661" t="s">
        <v>202</v>
      </c>
      <c r="E180" s="1696">
        <v>106110897</v>
      </c>
      <c r="F180" s="2045" t="s">
        <v>203</v>
      </c>
      <c r="G180" s="2025">
        <f>IF($G153=2,0,1)</f>
        <v>1</v>
      </c>
      <c r="H180" s="3436">
        <v>0</v>
      </c>
      <c r="I180" s="2022">
        <f>$H180*'Lista global'!P92</f>
        <v>0</v>
      </c>
      <c r="J180" s="2022">
        <f>$H180*'Lista global'!Q92</f>
        <v>0</v>
      </c>
      <c r="K180" s="3625">
        <f>$H180*'Lista global'!M92</f>
        <v>0</v>
      </c>
      <c r="L180"/>
      <c r="M180" s="2201">
        <v>0</v>
      </c>
      <c r="N180" s="2210">
        <v>0</v>
      </c>
      <c r="O180" s="2216">
        <f t="shared" si="15"/>
        <v>0</v>
      </c>
      <c r="P180" s="987">
        <v>0</v>
      </c>
      <c r="Q180" s="3636">
        <v>0</v>
      </c>
      <c r="R180" s="679"/>
      <c r="S180" s="1767"/>
      <c r="T180" s="11"/>
    </row>
    <row r="181" spans="1:20" ht="15.75" customHeight="1" x14ac:dyDescent="0.25">
      <c r="A181" s="415"/>
      <c r="B181" s="415" t="s">
        <v>575</v>
      </c>
      <c r="C181" s="4256"/>
      <c r="D181" s="1661" t="s">
        <v>204</v>
      </c>
      <c r="E181" s="1696">
        <v>106110898</v>
      </c>
      <c r="F181" s="2045" t="s">
        <v>205</v>
      </c>
      <c r="G181" s="2025">
        <f>IF($G153=4,1,0)</f>
        <v>1</v>
      </c>
      <c r="H181" s="3436">
        <f>IF(ROUND($G$153*$I$153/16,0)&gt;1,ROUND($G$153*$I$153/16,0),1)</f>
        <v>2</v>
      </c>
      <c r="I181" s="2022">
        <f>$H181*'Lista global'!P93</f>
        <v>46.233333333333334</v>
      </c>
      <c r="J181" s="2022">
        <f>$H181*'Lista global'!Q93</f>
        <v>34.674999999999997</v>
      </c>
      <c r="K181" s="3625">
        <f>$H181*'Lista global'!M93</f>
        <v>27.74</v>
      </c>
      <c r="L181"/>
      <c r="M181" s="2201">
        <v>1</v>
      </c>
      <c r="N181" s="2210">
        <v>2.0000000000000001E-4</v>
      </c>
      <c r="O181" s="2216">
        <f t="shared" si="15"/>
        <v>2.4E-2</v>
      </c>
      <c r="P181" s="987">
        <v>2</v>
      </c>
      <c r="Q181" s="3636">
        <v>65.449999999999989</v>
      </c>
      <c r="R181" s="679"/>
      <c r="S181" s="1767"/>
      <c r="T181" s="11"/>
    </row>
    <row r="182" spans="1:20" ht="15.75" customHeight="1" x14ac:dyDescent="0.25">
      <c r="A182" s="415"/>
      <c r="B182" s="415" t="s">
        <v>576</v>
      </c>
      <c r="C182" s="4256"/>
      <c r="D182" s="1661" t="s">
        <v>206</v>
      </c>
      <c r="E182" s="1811">
        <v>106201807</v>
      </c>
      <c r="F182" s="2080" t="s">
        <v>207</v>
      </c>
      <c r="G182" s="2025">
        <v>1</v>
      </c>
      <c r="H182" s="3436">
        <f>ROUND(G182*$I$153/2,0)</f>
        <v>3</v>
      </c>
      <c r="I182" s="2022">
        <f>$H182*'Lista global'!P204</f>
        <v>502.95000000000005</v>
      </c>
      <c r="J182" s="2022">
        <f>$H182*'Lista global'!Q204</f>
        <v>335.30000000000007</v>
      </c>
      <c r="K182" s="3625">
        <f>$H182*'Lista global'!M204</f>
        <v>201.18</v>
      </c>
      <c r="L182"/>
      <c r="M182" s="2201">
        <v>1</v>
      </c>
      <c r="N182" s="2210">
        <v>1E-3</v>
      </c>
      <c r="O182" s="2216">
        <f t="shared" si="15"/>
        <v>0.12</v>
      </c>
      <c r="P182" s="987">
        <v>1</v>
      </c>
      <c r="Q182" s="3636">
        <v>152.92499999999998</v>
      </c>
      <c r="R182" s="679"/>
      <c r="S182" s="1767"/>
      <c r="T182" s="11"/>
    </row>
    <row r="183" spans="1:20" ht="15.75" customHeight="1" x14ac:dyDescent="0.25">
      <c r="A183" s="415"/>
      <c r="B183" s="415" t="s">
        <v>681</v>
      </c>
      <c r="C183" s="4256"/>
      <c r="D183" s="1817" t="s">
        <v>460</v>
      </c>
      <c r="E183" s="1811">
        <v>106202476</v>
      </c>
      <c r="F183" s="2081" t="s">
        <v>461</v>
      </c>
      <c r="G183" s="2025">
        <v>1</v>
      </c>
      <c r="H183" s="3436">
        <f>ROUNDDOWN($I$153/6,0)</f>
        <v>1</v>
      </c>
      <c r="I183" s="2022">
        <f>$H183*'Lista global'!P205</f>
        <v>23.450000000000003</v>
      </c>
      <c r="J183" s="2022">
        <f>$H183*'Lista global'!Q205</f>
        <v>17.587499999999999</v>
      </c>
      <c r="K183" s="3625">
        <f>$H183*'Lista global'!M205</f>
        <v>14.07</v>
      </c>
      <c r="L183"/>
      <c r="M183" s="2201">
        <v>1</v>
      </c>
      <c r="N183" s="2210">
        <v>2.0000000000000001E-4</v>
      </c>
      <c r="O183" s="2216">
        <f t="shared" si="15"/>
        <v>2.4E-2</v>
      </c>
      <c r="P183" s="987">
        <v>0</v>
      </c>
      <c r="Q183" s="3636">
        <v>0</v>
      </c>
      <c r="R183" s="679"/>
      <c r="S183" s="1767"/>
      <c r="T183" s="11"/>
    </row>
    <row r="184" spans="1:20" s="411" customFormat="1" ht="15.75" thickBot="1" x14ac:dyDescent="0.3">
      <c r="A184" s="440"/>
      <c r="B184" s="440" t="s">
        <v>584</v>
      </c>
      <c r="C184" s="4256"/>
      <c r="D184" s="287" t="s">
        <v>354</v>
      </c>
      <c r="E184" s="2034">
        <v>106200941</v>
      </c>
      <c r="F184" s="2083" t="s">
        <v>353</v>
      </c>
      <c r="G184" s="2035">
        <v>1</v>
      </c>
      <c r="H184" s="3440">
        <v>1</v>
      </c>
      <c r="I184" s="2298">
        <f>$H184*'Lista global'!P198</f>
        <v>56.85</v>
      </c>
      <c r="J184" s="2298">
        <f>$H184*'Lista global'!Q198</f>
        <v>42.637499999999996</v>
      </c>
      <c r="K184" s="3631">
        <f>$H184*'Lista global'!M198</f>
        <v>34.11</v>
      </c>
      <c r="L184"/>
      <c r="M184" s="2201">
        <v>0</v>
      </c>
      <c r="N184" s="2210">
        <v>0</v>
      </c>
      <c r="O184" s="2216">
        <f t="shared" si="15"/>
        <v>0</v>
      </c>
      <c r="P184" s="990">
        <v>1</v>
      </c>
      <c r="Q184" s="2298">
        <v>49.774999999999999</v>
      </c>
      <c r="R184" s="679"/>
      <c r="S184" s="1767"/>
    </row>
    <row r="185" spans="1:20" s="219" customFormat="1" ht="27.75" customHeight="1" thickBot="1" x14ac:dyDescent="0.3">
      <c r="A185" s="520" t="s">
        <v>669</v>
      </c>
      <c r="B185" s="419" t="s">
        <v>1093</v>
      </c>
      <c r="C185" s="557" t="s">
        <v>674</v>
      </c>
      <c r="D185" s="619" t="s">
        <v>159</v>
      </c>
      <c r="E185" s="617">
        <v>106202891</v>
      </c>
      <c r="F185" s="2084" t="s">
        <v>648</v>
      </c>
      <c r="G185" s="690">
        <f>$G153</f>
        <v>4</v>
      </c>
      <c r="H185" s="2534">
        <f>ROUNDDOWN(($I$153*G185/4)/10,0)</f>
        <v>0</v>
      </c>
      <c r="I185" s="3632">
        <f>$H185*'Lista global'!P220</f>
        <v>0</v>
      </c>
      <c r="J185" s="3632">
        <f>$H185*'Lista global'!Q220</f>
        <v>0</v>
      </c>
      <c r="K185" s="3633">
        <f>$H185*'Lista global'!M220</f>
        <v>0</v>
      </c>
      <c r="L185" s="11" t="s">
        <v>1077</v>
      </c>
      <c r="M185" s="2201">
        <v>1</v>
      </c>
      <c r="N185" s="2210">
        <v>1E-3</v>
      </c>
      <c r="O185" s="2216">
        <f t="shared" si="15"/>
        <v>0.48</v>
      </c>
      <c r="P185" s="1020">
        <v>1</v>
      </c>
      <c r="Q185" s="3632">
        <v>1597.8666666666668</v>
      </c>
      <c r="R185" s="1769"/>
      <c r="S185" s="1770"/>
    </row>
    <row r="186" spans="1:20" s="614" customFormat="1" ht="17.25" customHeight="1" x14ac:dyDescent="0.25">
      <c r="A186" s="520"/>
      <c r="B186" s="419" t="s">
        <v>955</v>
      </c>
      <c r="C186" s="4263" t="s">
        <v>11</v>
      </c>
      <c r="D186" s="3279"/>
      <c r="E186" s="3280">
        <v>106112878</v>
      </c>
      <c r="F186" s="3413" t="s">
        <v>689</v>
      </c>
      <c r="G186" s="542">
        <f>5*$G153</f>
        <v>20</v>
      </c>
      <c r="H186" s="3441">
        <f>5*$H$188</f>
        <v>5</v>
      </c>
      <c r="I186" s="2301">
        <f>$H186*'Lista global'!P120</f>
        <v>12.125</v>
      </c>
      <c r="J186" s="2301">
        <f>$H186*'Lista global'!Q120</f>
        <v>10.210526315789474</v>
      </c>
      <c r="K186" s="3630">
        <f>$H186*'Lista global'!M120</f>
        <v>9.6999999999999993</v>
      </c>
      <c r="L186"/>
      <c r="M186" s="2201">
        <v>5</v>
      </c>
      <c r="N186" s="2210">
        <v>2E-3</v>
      </c>
      <c r="O186" s="2216">
        <f t="shared" si="15"/>
        <v>4.8</v>
      </c>
      <c r="P186" s="991">
        <v>5</v>
      </c>
      <c r="Q186" s="2301">
        <v>7.416666666666667</v>
      </c>
      <c r="R186" s="679"/>
      <c r="S186" s="1767"/>
    </row>
    <row r="187" spans="1:20" s="614" customFormat="1" ht="16.5" customHeight="1" thickBot="1" x14ac:dyDescent="0.3">
      <c r="A187" s="613"/>
      <c r="B187" s="616" t="s">
        <v>690</v>
      </c>
      <c r="C187" s="4264"/>
      <c r="D187" s="2329"/>
      <c r="E187" s="3281">
        <v>106107580</v>
      </c>
      <c r="F187" s="3453" t="s">
        <v>1277</v>
      </c>
      <c r="G187" s="3276">
        <f>3*$G153</f>
        <v>12</v>
      </c>
      <c r="H187" s="3442">
        <f>3*$H$188</f>
        <v>3</v>
      </c>
      <c r="I187" s="2293">
        <f>$H187*'Lista global'!P78</f>
        <v>3.2624999999999997</v>
      </c>
      <c r="J187" s="2293">
        <f>$H187*'Lista global'!Q78</f>
        <v>2.7473684210526317</v>
      </c>
      <c r="K187" s="3626">
        <f>$H187*'Lista global'!M78</f>
        <v>2.61</v>
      </c>
      <c r="L187"/>
      <c r="M187" s="2201">
        <v>3</v>
      </c>
      <c r="N187" s="2210">
        <v>2.0000000000000001E-4</v>
      </c>
      <c r="O187" s="2216">
        <f t="shared" si="15"/>
        <v>0.28800000000000003</v>
      </c>
      <c r="P187" s="987">
        <v>3</v>
      </c>
      <c r="Q187" s="3636">
        <v>3.4499999999999997</v>
      </c>
      <c r="R187" s="679"/>
      <c r="S187" s="1767"/>
    </row>
    <row r="188" spans="1:20" ht="15.75" customHeight="1" thickBot="1" x14ac:dyDescent="0.3">
      <c r="A188" s="441"/>
      <c r="B188" s="441" t="str">
        <f>IF($H153=$I190,B190,IF($H153=$I191,B191,IF($H153=$I192,B192,IF($H153=$I193,B193,IF($H153=$I194,B194,IF($H153=$I195,B195,IF($H153=$I196,B196,IF($H153=$I197,B197,IF($H153=$I198,B198,IF($H153=$I199,B199))))))))))</f>
        <v>Electronic Block  Dig 3Phase 156kW</v>
      </c>
      <c r="C188" s="441" t="str">
        <f>IF($H153=$I190,C190,IF($H153=$I191,C191,IF($H153=$I192,C192,IF($H153=$I193,C193,IF($H153=$I194,C194,IF($H153=$I195,C195,IF($H153=$I196,C196,IF($H153=$I197,C197,IF($H153=$I198,C198,IF($H153=$I199,C199))))))))))</f>
        <v>-</v>
      </c>
      <c r="D188" s="3277" t="str">
        <f>IF($H153=$I190,D190,IF($H153=$I191,D191,IF($H153=$I192,D192,IF($H153=$I193,D193,IF($H153=$I194,D194,IF($H153=$I195,D195,IF($H153=$I196,D196,IF($H153=$I197,D197,IF($H153=$I198,D198,IF($H153=$I199,D199))))))))))</f>
        <v>AAV7103</v>
      </c>
      <c r="E188" s="3278">
        <f>IF($H153=$I190,E190,IF($H153=$I191,E191,IF($H153=$I192,E192,IF($H153=$I193,E193,IF($H153=$I194,E194,IF($H153=$I195,E195,IF($H153=$I196,E196,IF($H153=$I197,E197,IF($H153=$I198,E198,IF($H153=$I199,E199))))))))))</f>
        <v>106202625</v>
      </c>
      <c r="F188" s="3277" t="str">
        <f>IF($H153=$I190,F190,IF($H153=$I191,F191,IF($H153=$I192,F192,IF($H153=$I193,F193,IF($H153=$I194,F194,IF($H153=$I195,F195,IF($H153=$I196,F196,IF($H153=$I197,F197,IF($H153=$I198,F198,IF($H153=$I199,F199))))))))))</f>
        <v>VARIADOR  DIG INGCONSUN TRIF 275V</v>
      </c>
      <c r="G188" s="564">
        <f>$G153</f>
        <v>4</v>
      </c>
      <c r="H188" s="3443">
        <f>ROUNDUP(I153*G153*3/100,0)</f>
        <v>1</v>
      </c>
      <c r="I188" s="2302">
        <f>$H188*(IF($H153=$I190,'Lista global'!P201,IF($H153=$I191,'Lista global'!P207,IF($H153=$I192,'Lista global'!P233,IF($H153=$I193,'Lista global'!P235,IF($H153=$I194,'Lista global'!P237,IF($H153=$I195,'Lista global'!P97,IF($H153=$I196,'Lista global'!P208,IF($H153=$I197,'Lista global'!P234,IF($H153=$I198,'Lista global'!P236,IF($H153=$I199,'Lista global'!P238)))))))))))</f>
        <v>7712.0560000000005</v>
      </c>
      <c r="J188" s="2302">
        <f>$H188*(IF($H153=$I190,'Lista global'!Q201,IF($H153=$I191,'Lista global'!Q207,IF($H153=$I192,'Lista global'!Q233,IF($H153=$I193,'Lista global'!Q235,IF($H153=$I194,'Lista global'!Q237,IF($H153=$I195,'Lista global'!Q97,IF($H153=$I196,'Lista global'!Q208,IF($H153=$I197,'Lista global'!Q234,IF($H153=$I198,'Lista global'!Q236,IF($H153=$I199,'Lista global'!Q238)))))))))))</f>
        <v>4415.8344999999999</v>
      </c>
      <c r="K188" s="3634">
        <f>$H188*(IF($H153=$I190,'Lista global'!M201,IF($H153=$I191,'Lista global'!M207,IF($H153=$I192,'Lista global'!M233,IF($H153=$I193,'Lista global'!M235,IF($H153=$I194,'Lista global'!M237,IF($H153=$I195,'Lista global'!M97,IF($H153=$I196,'Lista global'!M208,IF($H153=$I197,'Lista global'!M234,IF($H153=$I198,'Lista global'!M236,IF($H153=$I199,'Lista global'!M238)))))))))))</f>
        <v>2089.67</v>
      </c>
      <c r="L188"/>
      <c r="M188" s="2201">
        <v>1</v>
      </c>
      <c r="N188" s="2210">
        <v>3.3000000000000002E-2</v>
      </c>
      <c r="O188" s="2216">
        <f t="shared" si="15"/>
        <v>15.84</v>
      </c>
      <c r="P188" s="992">
        <v>1</v>
      </c>
      <c r="Q188" s="2299">
        <v>9401</v>
      </c>
      <c r="R188" s="679"/>
      <c r="S188" s="1767"/>
      <c r="T188" s="11"/>
    </row>
    <row r="189" spans="1:20" ht="15.75" thickBot="1" x14ac:dyDescent="0.3">
      <c r="H189" s="2529" t="s">
        <v>941</v>
      </c>
      <c r="I189" s="3635" t="e">
        <f>SUM(I155:I188)</f>
        <v>#REF!</v>
      </c>
      <c r="J189" s="3635" t="e">
        <f>SUM(J155:J188)</f>
        <v>#REF!</v>
      </c>
      <c r="K189" s="3635" t="e">
        <f>SUM(K155:K188)</f>
        <v>#REF!</v>
      </c>
      <c r="L189"/>
      <c r="M189" s="2198"/>
      <c r="N189" s="2207"/>
      <c r="P189" s="1310" t="s">
        <v>941</v>
      </c>
      <c r="Q189" s="3635">
        <f>SUM(Q155:Q188)</f>
        <v>14690.116666666669</v>
      </c>
      <c r="R189" s="1763"/>
      <c r="S189" s="1771"/>
      <c r="T189" s="11"/>
    </row>
    <row r="190" spans="1:20" ht="15.75" customHeight="1" thickBot="1" x14ac:dyDescent="0.3">
      <c r="A190" s="412"/>
      <c r="B190" s="412" t="s">
        <v>580</v>
      </c>
      <c r="C190" s="380" t="s">
        <v>0</v>
      </c>
      <c r="D190" s="428" t="s">
        <v>187</v>
      </c>
      <c r="E190" s="381">
        <v>106201457</v>
      </c>
      <c r="F190" s="1689" t="s">
        <v>2562</v>
      </c>
      <c r="G190" s="1691">
        <v>1</v>
      </c>
      <c r="H190" s="1351">
        <v>2</v>
      </c>
      <c r="I190" s="11" t="s">
        <v>542</v>
      </c>
      <c r="L190" s="11"/>
      <c r="P190" s="11"/>
      <c r="R190" s="11"/>
      <c r="S190" s="11"/>
      <c r="T190" s="11"/>
    </row>
    <row r="191" spans="1:20" ht="15.75" customHeight="1" thickBot="1" x14ac:dyDescent="0.3">
      <c r="A191" s="412"/>
      <c r="B191" s="412" t="s">
        <v>581</v>
      </c>
      <c r="C191" s="380" t="s">
        <v>0</v>
      </c>
      <c r="D191" s="429" t="s">
        <v>240</v>
      </c>
      <c r="E191" s="171">
        <v>106202625</v>
      </c>
      <c r="F191" s="1690" t="s">
        <v>2564</v>
      </c>
      <c r="G191" s="1692">
        <v>1</v>
      </c>
      <c r="H191" s="2197">
        <v>3</v>
      </c>
      <c r="I191" s="11" t="s">
        <v>543</v>
      </c>
      <c r="L191" s="11"/>
      <c r="P191" s="11"/>
      <c r="R191" s="11"/>
      <c r="S191" s="11"/>
      <c r="T191" s="11"/>
    </row>
    <row r="192" spans="1:20" ht="15.75" customHeight="1" thickBot="1" x14ac:dyDescent="0.3">
      <c r="A192" s="412"/>
      <c r="B192" s="412" t="s">
        <v>1128</v>
      </c>
      <c r="C192" s="380" t="s">
        <v>0</v>
      </c>
      <c r="D192" s="429" t="s">
        <v>1122</v>
      </c>
      <c r="E192" s="171">
        <v>106204514</v>
      </c>
      <c r="F192" s="1690" t="s">
        <v>2566</v>
      </c>
      <c r="G192" s="1692">
        <v>1</v>
      </c>
      <c r="H192" s="2197">
        <v>4</v>
      </c>
      <c r="I192" s="11" t="s">
        <v>1137</v>
      </c>
      <c r="L192" s="11"/>
      <c r="P192" s="11"/>
      <c r="R192" s="11"/>
      <c r="S192" s="11"/>
      <c r="T192" s="11"/>
    </row>
    <row r="193" spans="1:20" ht="15.75" customHeight="1" thickBot="1" x14ac:dyDescent="0.3">
      <c r="A193" s="412"/>
      <c r="B193" s="412" t="s">
        <v>1129</v>
      </c>
      <c r="C193" s="380" t="s">
        <v>0</v>
      </c>
      <c r="D193" s="429" t="s">
        <v>1124</v>
      </c>
      <c r="E193" s="171">
        <v>106204516</v>
      </c>
      <c r="F193" s="1690" t="s">
        <v>2568</v>
      </c>
      <c r="G193" s="1692">
        <v>1</v>
      </c>
      <c r="H193" s="1351"/>
      <c r="I193" s="11" t="s">
        <v>1138</v>
      </c>
      <c r="L193" s="11"/>
      <c r="P193" s="11"/>
      <c r="R193" s="11"/>
      <c r="S193" s="11"/>
      <c r="T193" s="11"/>
    </row>
    <row r="194" spans="1:20" ht="15.75" customHeight="1" thickBot="1" x14ac:dyDescent="0.3">
      <c r="A194" s="412"/>
      <c r="B194" s="412" t="s">
        <v>1130</v>
      </c>
      <c r="C194" s="380" t="s">
        <v>0</v>
      </c>
      <c r="D194" s="429" t="s">
        <v>1126</v>
      </c>
      <c r="E194" s="171">
        <v>106204518</v>
      </c>
      <c r="F194" s="1690" t="s">
        <v>2570</v>
      </c>
      <c r="G194" s="1692">
        <v>1</v>
      </c>
      <c r="H194" s="1351"/>
      <c r="I194" s="11" t="s">
        <v>1139</v>
      </c>
      <c r="L194" s="11"/>
      <c r="P194" s="11"/>
      <c r="R194" s="11"/>
      <c r="S194" s="11"/>
      <c r="T194" s="11"/>
    </row>
    <row r="195" spans="1:20" ht="15.75" thickBot="1" x14ac:dyDescent="0.3">
      <c r="A195" s="412"/>
      <c r="B195" s="412" t="s">
        <v>582</v>
      </c>
      <c r="C195" s="97" t="s">
        <v>255</v>
      </c>
      <c r="D195" s="429" t="s">
        <v>440</v>
      </c>
      <c r="E195" s="172">
        <v>106111457</v>
      </c>
      <c r="F195" s="1690" t="s">
        <v>2563</v>
      </c>
      <c r="G195" s="1692">
        <v>1</v>
      </c>
      <c r="H195" s="1351"/>
      <c r="I195" s="11" t="s">
        <v>1064</v>
      </c>
      <c r="L195" s="11"/>
      <c r="P195" s="11"/>
      <c r="R195" s="11"/>
      <c r="S195" s="11"/>
      <c r="T195" s="11"/>
    </row>
    <row r="196" spans="1:20" ht="15.75" thickBot="1" x14ac:dyDescent="0.3">
      <c r="A196" s="412"/>
      <c r="B196" s="412" t="s">
        <v>583</v>
      </c>
      <c r="C196" s="97" t="s">
        <v>255</v>
      </c>
      <c r="D196" s="429" t="s">
        <v>239</v>
      </c>
      <c r="E196" s="172">
        <v>106202628</v>
      </c>
      <c r="F196" s="1690" t="s">
        <v>2565</v>
      </c>
      <c r="G196" s="1692">
        <v>1</v>
      </c>
      <c r="H196" s="1351"/>
      <c r="I196" s="11" t="s">
        <v>1065</v>
      </c>
      <c r="L196" s="11"/>
      <c r="P196" s="11"/>
      <c r="R196" s="11"/>
      <c r="S196" s="11"/>
      <c r="T196" s="11"/>
    </row>
    <row r="197" spans="1:20" ht="15.75" customHeight="1" thickBot="1" x14ac:dyDescent="0.3">
      <c r="A197" s="412"/>
      <c r="B197" s="412" t="s">
        <v>1134</v>
      </c>
      <c r="C197" s="97" t="s">
        <v>255</v>
      </c>
      <c r="D197" s="429" t="s">
        <v>1123</v>
      </c>
      <c r="E197" s="172">
        <v>106204515</v>
      </c>
      <c r="F197" s="1690" t="s">
        <v>2567</v>
      </c>
      <c r="G197" s="1692">
        <v>1</v>
      </c>
      <c r="H197" s="1351"/>
      <c r="I197" s="11" t="s">
        <v>1140</v>
      </c>
      <c r="L197" s="11"/>
      <c r="P197" s="11"/>
      <c r="R197" s="11"/>
      <c r="S197" s="11"/>
      <c r="T197" s="11"/>
    </row>
    <row r="198" spans="1:20" ht="15.75" customHeight="1" thickBot="1" x14ac:dyDescent="0.3">
      <c r="A198" s="412"/>
      <c r="B198" s="412" t="s">
        <v>1135</v>
      </c>
      <c r="C198" s="97" t="s">
        <v>255</v>
      </c>
      <c r="D198" s="429" t="s">
        <v>1125</v>
      </c>
      <c r="E198" s="172">
        <v>106204517</v>
      </c>
      <c r="F198" s="1690" t="s">
        <v>2569</v>
      </c>
      <c r="G198" s="1692">
        <v>1</v>
      </c>
      <c r="H198" s="1351"/>
      <c r="I198" s="11" t="s">
        <v>1141</v>
      </c>
      <c r="L198" s="11"/>
      <c r="P198" s="11"/>
      <c r="R198" s="11"/>
      <c r="S198" s="11"/>
      <c r="T198" s="11"/>
    </row>
    <row r="199" spans="1:20" ht="15.75" customHeight="1" thickBot="1" x14ac:dyDescent="0.3">
      <c r="A199" s="412"/>
      <c r="B199" s="412" t="s">
        <v>1136</v>
      </c>
      <c r="C199" s="97" t="s">
        <v>255</v>
      </c>
      <c r="D199" s="429" t="s">
        <v>1127</v>
      </c>
      <c r="E199" s="172">
        <v>106204519</v>
      </c>
      <c r="F199" s="1690" t="s">
        <v>2571</v>
      </c>
      <c r="G199" s="1692">
        <v>1</v>
      </c>
      <c r="H199" s="1351"/>
      <c r="I199" s="11" t="s">
        <v>1142</v>
      </c>
      <c r="L199" s="11"/>
      <c r="P199" s="11"/>
      <c r="R199" s="11"/>
      <c r="S199" s="11"/>
      <c r="T199" s="11"/>
    </row>
    <row r="200" spans="1:20" x14ac:dyDescent="0.25">
      <c r="H200" s="1351"/>
      <c r="L200" s="11"/>
      <c r="P200" s="1307"/>
      <c r="R200" s="11"/>
      <c r="S200" s="11"/>
      <c r="T200" s="11"/>
    </row>
    <row r="201" spans="1:20" x14ac:dyDescent="0.25">
      <c r="H201" s="1351"/>
      <c r="L201" s="11"/>
      <c r="P201" s="1307"/>
      <c r="R201" s="11"/>
      <c r="S201" s="11"/>
      <c r="T201" s="11"/>
    </row>
    <row r="202" spans="1:20" ht="15.75" thickBot="1" x14ac:dyDescent="0.3">
      <c r="B202" s="556" t="s">
        <v>651</v>
      </c>
      <c r="C202" s="11" t="s">
        <v>649</v>
      </c>
      <c r="D202" s="526" t="s">
        <v>658</v>
      </c>
      <c r="E202" s="411">
        <v>106110278</v>
      </c>
      <c r="H202" s="1351"/>
      <c r="L202" s="11"/>
      <c r="P202" s="1307"/>
      <c r="R202" s="11"/>
      <c r="S202" s="11"/>
      <c r="T202" s="11"/>
    </row>
    <row r="203" spans="1:20" x14ac:dyDescent="0.25">
      <c r="B203" s="556" t="s">
        <v>650</v>
      </c>
      <c r="H203" s="1351"/>
      <c r="L203" s="11"/>
      <c r="P203" s="1307"/>
      <c r="R203" s="11"/>
      <c r="S203" s="11"/>
      <c r="T203" s="11"/>
    </row>
    <row r="204" spans="1:20" ht="15.75" thickBot="1" x14ac:dyDescent="0.3">
      <c r="B204" s="556"/>
      <c r="H204" s="1351"/>
      <c r="L204" s="11"/>
      <c r="P204" s="1307"/>
      <c r="R204" s="11"/>
      <c r="S204" s="11"/>
      <c r="T204" s="11"/>
    </row>
    <row r="205" spans="1:20" ht="15.75" thickBot="1" x14ac:dyDescent="0.3">
      <c r="H205" s="1351"/>
      <c r="I205" s="1031" t="s">
        <v>1002</v>
      </c>
      <c r="J205" s="1740"/>
      <c r="K205" s="1740"/>
      <c r="L205"/>
      <c r="M205" s="2198"/>
      <c r="N205" s="2207"/>
      <c r="P205" s="11"/>
      <c r="Q205" s="1031" t="s">
        <v>1002</v>
      </c>
      <c r="R205" s="11"/>
      <c r="S205" s="11"/>
      <c r="T205" s="11"/>
    </row>
    <row r="206" spans="1:20" ht="18" customHeight="1" thickBot="1" x14ac:dyDescent="0.3">
      <c r="A206" s="413"/>
      <c r="B206" s="413"/>
      <c r="C206" s="24"/>
      <c r="D206" s="24"/>
      <c r="E206" s="4201" t="s">
        <v>657</v>
      </c>
      <c r="F206" s="4202"/>
      <c r="G206" s="408">
        <v>3</v>
      </c>
      <c r="H206" s="2510" t="s">
        <v>552</v>
      </c>
      <c r="I206" s="984">
        <v>10</v>
      </c>
      <c r="J206" s="1741"/>
      <c r="K206" s="1741"/>
      <c r="L206"/>
      <c r="M206" s="2199"/>
      <c r="N206" s="2208"/>
      <c r="P206" s="11"/>
      <c r="Q206" s="984">
        <v>4</v>
      </c>
      <c r="R206" s="11"/>
      <c r="S206" s="11"/>
      <c r="T206" s="11"/>
    </row>
    <row r="207" spans="1:20" ht="33" customHeight="1" thickBot="1" x14ac:dyDescent="0.3">
      <c r="A207" s="455"/>
      <c r="B207" s="138" t="s">
        <v>525</v>
      </c>
      <c r="C207" s="4356" t="s">
        <v>526</v>
      </c>
      <c r="D207" s="4357"/>
      <c r="E207" s="262" t="s">
        <v>935</v>
      </c>
      <c r="F207" s="262" t="s">
        <v>525</v>
      </c>
      <c r="G207" s="262" t="s">
        <v>959</v>
      </c>
      <c r="H207" s="2530" t="s">
        <v>1007</v>
      </c>
      <c r="I207" s="132" t="s">
        <v>251</v>
      </c>
      <c r="J207" s="1742"/>
      <c r="K207" s="1742"/>
      <c r="L207"/>
      <c r="M207" s="2203"/>
      <c r="N207" s="2211"/>
      <c r="P207" s="262" t="s">
        <v>1007</v>
      </c>
      <c r="Q207" s="132" t="s">
        <v>251</v>
      </c>
      <c r="R207" s="11"/>
      <c r="S207" s="11"/>
      <c r="T207" s="11"/>
    </row>
    <row r="208" spans="1:20" ht="15.75" customHeight="1" thickBot="1" x14ac:dyDescent="0.3">
      <c r="A208" s="414"/>
      <c r="B208" s="414" t="s">
        <v>544</v>
      </c>
      <c r="C208" s="4258" t="s">
        <v>82</v>
      </c>
      <c r="D208" s="528" t="s">
        <v>83</v>
      </c>
      <c r="E208" s="544">
        <v>106104947</v>
      </c>
      <c r="F208" s="3412" t="s">
        <v>84</v>
      </c>
      <c r="G208" s="527">
        <f>$G230</f>
        <v>5</v>
      </c>
      <c r="H208" s="1034">
        <f>$H$230</f>
        <v>5</v>
      </c>
      <c r="I208" s="2303"/>
      <c r="J208" s="1744"/>
      <c r="K208" s="1744"/>
      <c r="L208"/>
      <c r="M208" s="2204"/>
      <c r="N208" s="2212"/>
      <c r="P208" s="1034">
        <v>4</v>
      </c>
      <c r="Q208" s="2303">
        <v>56.466666666666676</v>
      </c>
      <c r="R208" s="11"/>
      <c r="S208" s="11"/>
      <c r="T208" s="11"/>
    </row>
    <row r="209" spans="1:20" ht="15.75" customHeight="1" x14ac:dyDescent="0.25">
      <c r="A209" s="4354" t="s">
        <v>652</v>
      </c>
      <c r="B209" s="415" t="s">
        <v>1058</v>
      </c>
      <c r="C209" s="4254"/>
      <c r="D209" s="159" t="s">
        <v>89</v>
      </c>
      <c r="E209" s="160">
        <v>106104093</v>
      </c>
      <c r="F209" s="3413" t="s">
        <v>1057</v>
      </c>
      <c r="G209" s="521">
        <f>$G206*3</f>
        <v>9</v>
      </c>
      <c r="H209" s="1363">
        <f>$H$210</f>
        <v>4</v>
      </c>
      <c r="I209" s="2304">
        <f>H209*'Lista global'!P13</f>
        <v>244.29999999999998</v>
      </c>
      <c r="J209" s="1744"/>
      <c r="K209" s="1744"/>
      <c r="L209"/>
      <c r="M209" s="2204"/>
      <c r="N209" s="2212"/>
      <c r="P209" s="993">
        <v>7</v>
      </c>
      <c r="Q209" s="3640">
        <v>40.6</v>
      </c>
      <c r="R209" s="11"/>
      <c r="S209" s="11"/>
      <c r="T209" s="11"/>
    </row>
    <row r="210" spans="1:20" ht="15.75" customHeight="1" x14ac:dyDescent="0.25">
      <c r="A210" s="4355"/>
      <c r="B210" s="415" t="s">
        <v>545</v>
      </c>
      <c r="C210" s="4254"/>
      <c r="D210" s="161" t="s">
        <v>91</v>
      </c>
      <c r="E210" s="158">
        <v>106104223</v>
      </c>
      <c r="F210" s="3414" t="s">
        <v>92</v>
      </c>
      <c r="G210" s="521">
        <f>$G206</f>
        <v>3</v>
      </c>
      <c r="H210" s="1363">
        <f>ROUND(G210*$I$206/8,0)</f>
        <v>4</v>
      </c>
      <c r="I210" s="2304">
        <f>H210*'Lista global'!P44</f>
        <v>195.04999999999998</v>
      </c>
      <c r="J210" s="1744"/>
      <c r="K210" s="1744"/>
      <c r="L210"/>
      <c r="M210" s="2204"/>
      <c r="N210" s="2212"/>
      <c r="P210" s="993">
        <v>2</v>
      </c>
      <c r="Q210" s="3640">
        <v>288.8</v>
      </c>
      <c r="R210" s="11"/>
      <c r="S210" s="11"/>
      <c r="T210" s="11"/>
    </row>
    <row r="211" spans="1:20" ht="15.75" customHeight="1" x14ac:dyDescent="0.25">
      <c r="A211" s="4355"/>
      <c r="B211" s="415" t="s">
        <v>546</v>
      </c>
      <c r="C211" s="4254"/>
      <c r="D211" s="161" t="s">
        <v>93</v>
      </c>
      <c r="E211" s="158">
        <v>106104221</v>
      </c>
      <c r="F211" s="3414" t="s">
        <v>151</v>
      </c>
      <c r="G211" s="521">
        <f>$G206</f>
        <v>3</v>
      </c>
      <c r="H211" s="1363">
        <f>ROUND(G211*$I$206/8,0)</f>
        <v>4</v>
      </c>
      <c r="I211" s="2304">
        <f>H211*'Lista global'!P43</f>
        <v>33.65</v>
      </c>
      <c r="J211" s="1744"/>
      <c r="K211" s="1744"/>
      <c r="L211"/>
      <c r="M211" s="2204"/>
      <c r="N211" s="2212"/>
      <c r="P211" s="993">
        <v>2</v>
      </c>
      <c r="Q211" s="3640">
        <v>124.13333333333334</v>
      </c>
      <c r="R211" s="11"/>
      <c r="S211" s="11"/>
      <c r="T211" s="11"/>
    </row>
    <row r="212" spans="1:20" ht="15.75" customHeight="1" thickBot="1" x14ac:dyDescent="0.3">
      <c r="A212" s="4355"/>
      <c r="B212" s="415" t="s">
        <v>547</v>
      </c>
      <c r="C212" s="4254"/>
      <c r="D212" s="166" t="s">
        <v>95</v>
      </c>
      <c r="E212" s="165">
        <v>106104219</v>
      </c>
      <c r="F212" s="3415" t="s">
        <v>96</v>
      </c>
      <c r="G212" s="2032">
        <f>$G206</f>
        <v>3</v>
      </c>
      <c r="H212" s="2535">
        <f>ROUND(G212*$I$206/8,0)</f>
        <v>4</v>
      </c>
      <c r="I212" s="2305">
        <f>H212*'Lista global'!P42</f>
        <v>72.249999999999986</v>
      </c>
      <c r="J212" s="1744"/>
      <c r="K212" s="1744"/>
      <c r="L212"/>
      <c r="M212" s="2204"/>
      <c r="N212" s="2212"/>
      <c r="P212" s="993">
        <v>2</v>
      </c>
      <c r="Q212" s="3641">
        <v>93.566666666666677</v>
      </c>
      <c r="R212" s="11"/>
      <c r="S212" s="11"/>
      <c r="T212" s="11"/>
    </row>
    <row r="213" spans="1:20" ht="15.75" customHeight="1" x14ac:dyDescent="0.25">
      <c r="A213" s="4354" t="s">
        <v>653</v>
      </c>
      <c r="B213" s="414" t="s">
        <v>523</v>
      </c>
      <c r="C213" s="4256"/>
      <c r="D213" s="522" t="s">
        <v>97</v>
      </c>
      <c r="E213" s="263">
        <v>106104119</v>
      </c>
      <c r="F213" s="3416" t="s">
        <v>152</v>
      </c>
      <c r="G213" s="561">
        <f>$G206</f>
        <v>3</v>
      </c>
      <c r="H213" s="1016">
        <f>ROUNDDOWN(($I$206*G213/4)/10,0)</f>
        <v>0</v>
      </c>
      <c r="I213" s="2303">
        <f>H213*'Lista global'!P22</f>
        <v>0</v>
      </c>
      <c r="J213" s="1744"/>
      <c r="K213" s="1744"/>
      <c r="L213" s="11" t="s">
        <v>1077</v>
      </c>
      <c r="M213" s="2204"/>
      <c r="N213" s="2212"/>
      <c r="P213" s="1108" t="s">
        <v>1392</v>
      </c>
      <c r="Q213" s="1730">
        <v>1013.2666666666668</v>
      </c>
      <c r="R213" s="11"/>
      <c r="S213" s="11"/>
      <c r="T213" s="11"/>
    </row>
    <row r="214" spans="1:20" ht="15.75" customHeight="1" x14ac:dyDescent="0.25">
      <c r="A214" s="4355"/>
      <c r="B214" s="415" t="s">
        <v>549</v>
      </c>
      <c r="C214" s="4256"/>
      <c r="D214" s="161" t="s">
        <v>100</v>
      </c>
      <c r="E214" s="158">
        <v>106104084</v>
      </c>
      <c r="F214" s="3417" t="s">
        <v>153</v>
      </c>
      <c r="G214" s="2024">
        <f>$G206</f>
        <v>3</v>
      </c>
      <c r="H214" s="2534">
        <f>$H$213</f>
        <v>0</v>
      </c>
      <c r="I214" s="2304">
        <f>H214*'Lista global'!P9</f>
        <v>0</v>
      </c>
      <c r="J214" s="1744"/>
      <c r="K214" s="1744"/>
      <c r="L214" s="1383" t="s">
        <v>1077</v>
      </c>
      <c r="M214" s="2204"/>
      <c r="N214" s="2212"/>
      <c r="P214" s="1021" t="s">
        <v>1392</v>
      </c>
      <c r="Q214" s="3640">
        <v>161.30000000000001</v>
      </c>
      <c r="R214" s="11"/>
      <c r="S214" s="11"/>
      <c r="T214" s="11"/>
    </row>
    <row r="215" spans="1:20" ht="15.75" customHeight="1" x14ac:dyDescent="0.25">
      <c r="A215" s="4355"/>
      <c r="B215" s="415" t="s">
        <v>522</v>
      </c>
      <c r="C215" s="4256"/>
      <c r="D215" s="161" t="s">
        <v>102</v>
      </c>
      <c r="E215" s="158">
        <v>106104126</v>
      </c>
      <c r="F215" s="3417" t="s">
        <v>154</v>
      </c>
      <c r="G215" s="2024">
        <f>$G206</f>
        <v>3</v>
      </c>
      <c r="H215" s="2534">
        <f>$H$213</f>
        <v>0</v>
      </c>
      <c r="I215" s="2304">
        <f>H215*'Lista global'!P23</f>
        <v>0</v>
      </c>
      <c r="J215" s="1744"/>
      <c r="K215" s="1744"/>
      <c r="L215" s="1383" t="s">
        <v>1077</v>
      </c>
      <c r="M215" s="2204"/>
      <c r="N215" s="2212"/>
      <c r="P215" s="1021" t="s">
        <v>1392</v>
      </c>
      <c r="Q215" s="3640">
        <v>32.266666666666666</v>
      </c>
      <c r="R215" s="11"/>
      <c r="S215" s="11"/>
      <c r="T215" s="11"/>
    </row>
    <row r="216" spans="1:20" ht="15.75" customHeight="1" thickBot="1" x14ac:dyDescent="0.3">
      <c r="A216" s="4367"/>
      <c r="B216" s="523" t="s">
        <v>557</v>
      </c>
      <c r="C216" s="4256"/>
      <c r="D216" s="166" t="s">
        <v>104</v>
      </c>
      <c r="E216" s="165">
        <v>106104094</v>
      </c>
      <c r="F216" s="3418" t="s">
        <v>155</v>
      </c>
      <c r="G216" s="2518">
        <f>$G206</f>
        <v>3</v>
      </c>
      <c r="H216" s="2536">
        <f>$H$213</f>
        <v>0</v>
      </c>
      <c r="I216" s="2519">
        <f>H216*'Lista global'!P14</f>
        <v>0</v>
      </c>
      <c r="J216" s="1744"/>
      <c r="K216" s="1744"/>
      <c r="L216" s="1383" t="s">
        <v>1077</v>
      </c>
      <c r="M216" s="2204"/>
      <c r="N216" s="2212"/>
      <c r="P216" s="1021" t="s">
        <v>1392</v>
      </c>
      <c r="Q216" s="3640">
        <v>4.2333333333333334</v>
      </c>
      <c r="R216" s="11"/>
      <c r="S216" s="11"/>
      <c r="T216" s="11"/>
    </row>
    <row r="217" spans="1:20" ht="15.75" customHeight="1" x14ac:dyDescent="0.25">
      <c r="A217" s="415"/>
      <c r="B217" s="415" t="s">
        <v>558</v>
      </c>
      <c r="C217" s="4256"/>
      <c r="D217" s="522" t="s">
        <v>106</v>
      </c>
      <c r="E217" s="263">
        <v>106200539</v>
      </c>
      <c r="F217" s="3419" t="s">
        <v>107</v>
      </c>
      <c r="G217" s="565">
        <f>$G206</f>
        <v>3</v>
      </c>
      <c r="H217" s="2537">
        <f>ROUND(($I$206*G217/4)/2,0)</f>
        <v>4</v>
      </c>
      <c r="I217" s="2308" t="e">
        <f>H217*'Lista global'!#REF!</f>
        <v>#REF!</v>
      </c>
      <c r="J217" s="1744"/>
      <c r="K217" s="1744"/>
      <c r="L217"/>
      <c r="M217" s="2204"/>
      <c r="N217" s="2212"/>
      <c r="P217" s="1021">
        <v>2</v>
      </c>
      <c r="Q217" s="3640">
        <v>38.700000000000003</v>
      </c>
      <c r="R217" s="11"/>
      <c r="S217" s="11"/>
      <c r="T217" s="11"/>
    </row>
    <row r="218" spans="1:20" ht="15.75" customHeight="1" x14ac:dyDescent="0.25">
      <c r="A218" s="415"/>
      <c r="B218" s="415" t="s">
        <v>559</v>
      </c>
      <c r="C218" s="4256"/>
      <c r="D218" s="161" t="s">
        <v>108</v>
      </c>
      <c r="E218" s="158">
        <v>106104330</v>
      </c>
      <c r="F218" s="3414" t="s">
        <v>1232</v>
      </c>
      <c r="G218" s="521">
        <f>$G206</f>
        <v>3</v>
      </c>
      <c r="H218" s="2538">
        <f>ROUNDUP(($I$206*G218/4)/10,0)</f>
        <v>1</v>
      </c>
      <c r="I218" s="2304">
        <f>H218*'Lista global'!P48</f>
        <v>56.199999999999996</v>
      </c>
      <c r="J218" s="1744"/>
      <c r="K218" s="1744"/>
      <c r="L218"/>
      <c r="M218" s="2204"/>
      <c r="N218" s="2212"/>
      <c r="P218" s="1021">
        <v>1</v>
      </c>
      <c r="Q218" s="3640">
        <v>244.85</v>
      </c>
      <c r="R218" s="11"/>
      <c r="S218" s="11"/>
      <c r="T218" s="11"/>
    </row>
    <row r="219" spans="1:20" s="411" customFormat="1" ht="15.75" customHeight="1" x14ac:dyDescent="0.25">
      <c r="A219" s="605" t="s">
        <v>647</v>
      </c>
      <c r="B219" s="411" t="s">
        <v>684</v>
      </c>
      <c r="C219" s="4256"/>
      <c r="D219" s="606"/>
      <c r="E219" s="607">
        <v>106112712</v>
      </c>
      <c r="F219" s="3420" t="s">
        <v>926</v>
      </c>
      <c r="G219" s="553">
        <f>2*$G206</f>
        <v>6</v>
      </c>
      <c r="H219" s="2539">
        <f>2*H246</f>
        <v>2</v>
      </c>
      <c r="I219" s="2304">
        <f>H219*'Lista global'!P108</f>
        <v>35.099999999999994</v>
      </c>
      <c r="J219" s="1744"/>
      <c r="K219" s="1744"/>
      <c r="L219"/>
      <c r="M219" s="2204"/>
      <c r="N219" s="2212"/>
      <c r="O219" s="378"/>
      <c r="P219" s="1035">
        <v>2</v>
      </c>
      <c r="Q219" s="3640">
        <v>12.9</v>
      </c>
    </row>
    <row r="220" spans="1:20" s="379" customFormat="1" ht="15.75" customHeight="1" thickBot="1" x14ac:dyDescent="0.3">
      <c r="A220" s="415"/>
      <c r="B220" s="416" t="s">
        <v>560</v>
      </c>
      <c r="C220" s="4374"/>
      <c r="D220" s="954" t="s">
        <v>40</v>
      </c>
      <c r="E220" s="955">
        <v>106200771</v>
      </c>
      <c r="F220" s="3421" t="s">
        <v>110</v>
      </c>
      <c r="G220" s="534">
        <f>$G206</f>
        <v>3</v>
      </c>
      <c r="H220" s="2533">
        <f>ROUNDDOWN(($I$206*G220/4)/10,0)</f>
        <v>0</v>
      </c>
      <c r="I220" s="2298">
        <f>H220*'Lista global'!P144</f>
        <v>0</v>
      </c>
      <c r="J220" s="1743"/>
      <c r="K220" s="1743"/>
      <c r="L220" s="11" t="s">
        <v>1077</v>
      </c>
      <c r="M220" s="2205"/>
      <c r="N220" s="2213"/>
      <c r="O220" s="2225"/>
      <c r="P220" s="1019" t="s">
        <v>1392</v>
      </c>
      <c r="Q220" s="2298">
        <v>81.999999999999986</v>
      </c>
    </row>
    <row r="221" spans="1:20" ht="15.75" customHeight="1" x14ac:dyDescent="0.25">
      <c r="A221" s="4354" t="s">
        <v>668</v>
      </c>
      <c r="B221" s="439" t="s">
        <v>561</v>
      </c>
      <c r="C221" s="4373" t="s">
        <v>113</v>
      </c>
      <c r="D221" s="535" t="s">
        <v>114</v>
      </c>
      <c r="E221" s="545">
        <v>106104180</v>
      </c>
      <c r="F221" s="2065" t="s">
        <v>157</v>
      </c>
      <c r="G221" s="521">
        <f>$G206</f>
        <v>3</v>
      </c>
      <c r="H221" s="2524">
        <f>ROUNDDOWN(($I$206*G221/4)/10,0)</f>
        <v>0</v>
      </c>
      <c r="I221" s="2301">
        <f>H221*'Lista global'!P33</f>
        <v>0</v>
      </c>
      <c r="J221" s="1743"/>
      <c r="K221" s="1743"/>
      <c r="L221" s="11" t="s">
        <v>1077</v>
      </c>
      <c r="M221" s="2205"/>
      <c r="N221" s="2213"/>
      <c r="P221" s="1108" t="s">
        <v>1392</v>
      </c>
      <c r="Q221" s="2301">
        <v>708.81666666666672</v>
      </c>
      <c r="R221" s="11"/>
      <c r="S221" s="11"/>
      <c r="T221" s="11"/>
    </row>
    <row r="222" spans="1:20" ht="15.75" customHeight="1" x14ac:dyDescent="0.25">
      <c r="A222" s="4355"/>
      <c r="B222" s="415" t="s">
        <v>562</v>
      </c>
      <c r="C222" s="4254"/>
      <c r="D222" s="259" t="s">
        <v>117</v>
      </c>
      <c r="E222" s="260">
        <v>106104133</v>
      </c>
      <c r="F222" s="3422" t="s">
        <v>158</v>
      </c>
      <c r="G222" s="521">
        <f>$G206*4</f>
        <v>12</v>
      </c>
      <c r="H222" s="1021">
        <f>$H$221</f>
        <v>0</v>
      </c>
      <c r="I222" s="2301">
        <f>H222*'Lista global'!P28</f>
        <v>0</v>
      </c>
      <c r="J222" s="1743"/>
      <c r="K222" s="1743"/>
      <c r="L222" s="11" t="s">
        <v>1077</v>
      </c>
      <c r="M222" s="2205"/>
      <c r="N222" s="2213"/>
      <c r="P222" s="1021" t="s">
        <v>3220</v>
      </c>
      <c r="Q222" s="2301">
        <v>38</v>
      </c>
      <c r="R222" s="11"/>
      <c r="S222" s="11"/>
      <c r="T222" s="11"/>
    </row>
    <row r="223" spans="1:20" ht="15.75" customHeight="1" x14ac:dyDescent="0.25">
      <c r="A223" s="4355"/>
      <c r="B223" s="415" t="s">
        <v>563</v>
      </c>
      <c r="C223" s="4254"/>
      <c r="D223" s="259" t="s">
        <v>189</v>
      </c>
      <c r="E223" s="260">
        <v>106106241</v>
      </c>
      <c r="F223" s="3422" t="s">
        <v>190</v>
      </c>
      <c r="G223" s="525">
        <f>$G206*2</f>
        <v>6</v>
      </c>
      <c r="H223" s="1021">
        <f>$H$221</f>
        <v>0</v>
      </c>
      <c r="I223" s="2301">
        <f>H223*'Lista global'!P71</f>
        <v>0</v>
      </c>
      <c r="J223" s="1743"/>
      <c r="K223" s="1743"/>
      <c r="L223" s="11" t="s">
        <v>1077</v>
      </c>
      <c r="M223" s="2205"/>
      <c r="N223" s="2213"/>
      <c r="P223" s="1021" t="s">
        <v>1392</v>
      </c>
      <c r="Q223" s="2301">
        <v>7.2000000000000011</v>
      </c>
      <c r="R223" s="11"/>
      <c r="S223" s="11"/>
      <c r="T223" s="11"/>
    </row>
    <row r="224" spans="1:20" ht="15.75" customHeight="1" x14ac:dyDescent="0.25">
      <c r="A224" s="890" t="s">
        <v>907</v>
      </c>
      <c r="B224" s="415" t="s">
        <v>564</v>
      </c>
      <c r="C224" s="4254"/>
      <c r="D224" s="259" t="s">
        <v>178</v>
      </c>
      <c r="E224" s="260">
        <v>106104209</v>
      </c>
      <c r="F224" s="3422" t="s">
        <v>191</v>
      </c>
      <c r="G224" s="521">
        <f>$G206</f>
        <v>3</v>
      </c>
      <c r="H224" s="1021">
        <f>$H$221</f>
        <v>0</v>
      </c>
      <c r="I224" s="2301">
        <f>H224*'Lista global'!P36</f>
        <v>0</v>
      </c>
      <c r="J224" s="1743"/>
      <c r="K224" s="1743"/>
      <c r="L224" s="11" t="s">
        <v>1077</v>
      </c>
      <c r="M224" s="2205"/>
      <c r="N224" s="2213"/>
      <c r="P224" s="1021" t="s">
        <v>1392</v>
      </c>
      <c r="Q224" s="2301">
        <v>14.35</v>
      </c>
      <c r="R224" s="11"/>
      <c r="S224" s="11"/>
      <c r="T224" s="11"/>
    </row>
    <row r="225" spans="1:20" ht="15.75" customHeight="1" x14ac:dyDescent="0.25">
      <c r="A225" s="531"/>
      <c r="B225" s="415" t="s">
        <v>565</v>
      </c>
      <c r="C225" s="4254"/>
      <c r="D225" s="259" t="s">
        <v>192</v>
      </c>
      <c r="E225" s="260">
        <v>106104212</v>
      </c>
      <c r="F225" s="3422" t="s">
        <v>193</v>
      </c>
      <c r="G225" s="521">
        <f>$G206</f>
        <v>3</v>
      </c>
      <c r="H225" s="1021">
        <f>$H$221</f>
        <v>0</v>
      </c>
      <c r="I225" s="2301">
        <f>H225*'Lista global'!P38</f>
        <v>0</v>
      </c>
      <c r="J225" s="1743"/>
      <c r="K225" s="1743"/>
      <c r="L225" s="11" t="s">
        <v>1077</v>
      </c>
      <c r="M225" s="2205"/>
      <c r="N225" s="2213"/>
      <c r="P225" s="1021" t="s">
        <v>1392</v>
      </c>
      <c r="Q225" s="2301">
        <v>27.883333333333336</v>
      </c>
      <c r="R225" s="11"/>
      <c r="S225" s="11"/>
      <c r="T225" s="11"/>
    </row>
    <row r="226" spans="1:20" ht="15.75" customHeight="1" thickBot="1" x14ac:dyDescent="0.3">
      <c r="A226" s="532"/>
      <c r="B226" s="415" t="s">
        <v>566</v>
      </c>
      <c r="C226" s="4254"/>
      <c r="D226" s="162" t="s">
        <v>119</v>
      </c>
      <c r="E226" s="260">
        <v>106112169</v>
      </c>
      <c r="F226" s="3423" t="s">
        <v>120</v>
      </c>
      <c r="G226" s="525">
        <f>$G206*2</f>
        <v>6</v>
      </c>
      <c r="H226" s="1021">
        <f>2*H246</f>
        <v>2</v>
      </c>
      <c r="I226" s="2304">
        <f>H226*'Lista global'!P102</f>
        <v>185.7</v>
      </c>
      <c r="J226" s="1744"/>
      <c r="K226" s="1744"/>
      <c r="L226"/>
      <c r="M226" s="2204"/>
      <c r="N226" s="2212"/>
      <c r="P226" s="1021">
        <v>2</v>
      </c>
      <c r="Q226" s="3640">
        <v>141.56666666666666</v>
      </c>
      <c r="R226" s="11"/>
      <c r="S226" s="11"/>
      <c r="T226" s="11"/>
    </row>
    <row r="227" spans="1:20" ht="15.75" customHeight="1" thickBot="1" x14ac:dyDescent="0.3">
      <c r="A227" s="523" t="s">
        <v>722</v>
      </c>
      <c r="B227" s="416" t="s">
        <v>567</v>
      </c>
      <c r="C227" s="4254"/>
      <c r="D227" s="167" t="s">
        <v>122</v>
      </c>
      <c r="E227" s="168">
        <v>106105880</v>
      </c>
      <c r="F227" s="3424" t="s">
        <v>123</v>
      </c>
      <c r="G227" s="534">
        <f>$G206</f>
        <v>3</v>
      </c>
      <c r="H227" s="1361">
        <f>ROUND(G227*$I$206/4,0)</f>
        <v>8</v>
      </c>
      <c r="I227" s="2305">
        <f>H227*'Lista global'!P66</f>
        <v>20.299999999999997</v>
      </c>
      <c r="J227" s="1744"/>
      <c r="K227" s="1744"/>
      <c r="L227"/>
      <c r="M227" s="2204"/>
      <c r="N227" s="2212"/>
      <c r="P227" s="1361">
        <v>3</v>
      </c>
      <c r="Q227" s="3641">
        <v>785.46</v>
      </c>
      <c r="R227" s="11"/>
      <c r="S227" s="11"/>
      <c r="T227" s="11"/>
    </row>
    <row r="228" spans="1:20" ht="15.75" customHeight="1" x14ac:dyDescent="0.25">
      <c r="A228" s="415"/>
      <c r="B228" s="439" t="s">
        <v>568</v>
      </c>
      <c r="C228" s="4255" t="s">
        <v>137</v>
      </c>
      <c r="D228" s="522" t="s">
        <v>138</v>
      </c>
      <c r="E228" s="263">
        <v>106104101</v>
      </c>
      <c r="F228" s="2076" t="s">
        <v>162</v>
      </c>
      <c r="G228" s="561">
        <f>$G206</f>
        <v>3</v>
      </c>
      <c r="H228" s="1266">
        <f>H229</f>
        <v>1</v>
      </c>
      <c r="I228" s="2294">
        <f>H228*'Lista global'!P17</f>
        <v>2.2624999999999997</v>
      </c>
      <c r="J228" s="1743"/>
      <c r="K228" s="1743"/>
      <c r="L228" s="11" t="s">
        <v>1077</v>
      </c>
      <c r="M228" s="2205"/>
      <c r="N228" s="2213"/>
      <c r="P228" s="1266" t="s">
        <v>1392</v>
      </c>
      <c r="Q228" s="2294">
        <v>2.8833333333333333</v>
      </c>
      <c r="R228" s="11"/>
      <c r="S228" s="11"/>
      <c r="T228" s="11"/>
    </row>
    <row r="229" spans="1:20" ht="15.75" customHeight="1" x14ac:dyDescent="0.25">
      <c r="A229" s="415"/>
      <c r="B229" s="415" t="s">
        <v>569</v>
      </c>
      <c r="C229" s="4256"/>
      <c r="D229" s="161" t="s">
        <v>194</v>
      </c>
      <c r="E229" s="158">
        <v>106104408</v>
      </c>
      <c r="F229" s="3425" t="s">
        <v>195</v>
      </c>
      <c r="G229" s="552">
        <v>1</v>
      </c>
      <c r="H229" s="986">
        <f>ROUNDDOWN($I$206/10,0)</f>
        <v>1</v>
      </c>
      <c r="I229" s="2021">
        <f>H229*'Lista global'!P50</f>
        <v>92.85</v>
      </c>
      <c r="J229" s="1743"/>
      <c r="K229" s="1743"/>
      <c r="L229" s="11" t="s">
        <v>1077</v>
      </c>
      <c r="M229" s="2205"/>
      <c r="N229" s="2213"/>
      <c r="P229" s="1566" t="s">
        <v>1392</v>
      </c>
      <c r="Q229" s="3638">
        <v>14.566666666666668</v>
      </c>
      <c r="R229" s="11"/>
      <c r="S229" s="11"/>
      <c r="T229" s="11"/>
    </row>
    <row r="230" spans="1:20" ht="15.75" customHeight="1" x14ac:dyDescent="0.25">
      <c r="A230" s="415" t="s">
        <v>654</v>
      </c>
      <c r="B230" s="415" t="s">
        <v>570</v>
      </c>
      <c r="C230" s="4256"/>
      <c r="D230" s="161" t="s">
        <v>144</v>
      </c>
      <c r="E230" s="158">
        <v>106105850</v>
      </c>
      <c r="F230" s="3425" t="s">
        <v>145</v>
      </c>
      <c r="G230" s="554">
        <f>IF($G206=4,6,IF($G206=3,5,3))</f>
        <v>5</v>
      </c>
      <c r="H230" s="1363">
        <f>ROUND(G230*$I$206/10,0)</f>
        <v>5</v>
      </c>
      <c r="I230" s="2306"/>
      <c r="J230" s="1744"/>
      <c r="K230" s="1744"/>
      <c r="L230"/>
      <c r="M230" s="2204"/>
      <c r="N230" s="2212"/>
      <c r="P230" s="1567">
        <v>4</v>
      </c>
      <c r="Q230" s="3642">
        <v>1506.6666666666667</v>
      </c>
      <c r="R230" s="11"/>
      <c r="S230" s="11"/>
      <c r="T230" s="11"/>
    </row>
    <row r="231" spans="1:20" ht="15.75" customHeight="1" x14ac:dyDescent="0.25">
      <c r="A231" s="415"/>
      <c r="B231" s="415" t="s">
        <v>571</v>
      </c>
      <c r="C231" s="4256"/>
      <c r="D231" s="163" t="s">
        <v>196</v>
      </c>
      <c r="E231" s="158">
        <v>106201346</v>
      </c>
      <c r="F231" s="3426" t="s">
        <v>197</v>
      </c>
      <c r="G231" s="553">
        <v>1</v>
      </c>
      <c r="H231" s="1364">
        <f>ROUNDUP(I206/4,0)</f>
        <v>3</v>
      </c>
      <c r="I231" s="2306">
        <f>H231*'Lista global'!P152</f>
        <v>3.4875000000000003</v>
      </c>
      <c r="J231" s="1744"/>
      <c r="K231" s="1744"/>
      <c r="L231"/>
      <c r="M231" s="2204"/>
      <c r="N231" s="2212"/>
      <c r="P231" s="1568">
        <v>1</v>
      </c>
      <c r="Q231" s="3642">
        <v>76.25</v>
      </c>
      <c r="R231" s="11"/>
      <c r="S231" s="11"/>
      <c r="T231" s="11"/>
    </row>
    <row r="232" spans="1:20" ht="15.75" customHeight="1" x14ac:dyDescent="0.25">
      <c r="A232" s="415"/>
      <c r="B232" s="415" t="s">
        <v>572</v>
      </c>
      <c r="C232" s="4256"/>
      <c r="D232" s="163" t="s">
        <v>198</v>
      </c>
      <c r="E232" s="158">
        <v>106110895</v>
      </c>
      <c r="F232" s="3425" t="s">
        <v>199</v>
      </c>
      <c r="G232" s="553">
        <v>1</v>
      </c>
      <c r="H232" s="1364">
        <v>0</v>
      </c>
      <c r="I232" s="2306">
        <f>H232*'Lista global'!P85</f>
        <v>0</v>
      </c>
      <c r="J232" s="1744"/>
      <c r="K232" s="1744"/>
      <c r="L232"/>
      <c r="M232" s="2204"/>
      <c r="N232" s="2212"/>
      <c r="P232" s="1568">
        <v>0</v>
      </c>
      <c r="Q232" s="3642">
        <v>0</v>
      </c>
      <c r="R232" s="11"/>
      <c r="S232" s="11"/>
      <c r="T232" s="11"/>
    </row>
    <row r="233" spans="1:20" ht="15.75" customHeight="1" x14ac:dyDescent="0.25">
      <c r="A233" s="415"/>
      <c r="B233" s="415" t="s">
        <v>573</v>
      </c>
      <c r="C233" s="4256"/>
      <c r="D233" s="163" t="s">
        <v>200</v>
      </c>
      <c r="E233" s="158">
        <v>106110896</v>
      </c>
      <c r="F233" s="3425" t="s">
        <v>201</v>
      </c>
      <c r="G233" s="553">
        <v>1</v>
      </c>
      <c r="H233" s="1364">
        <v>0</v>
      </c>
      <c r="I233" s="2306">
        <f>H233*'Lista global'!P86</f>
        <v>0</v>
      </c>
      <c r="J233" s="1744"/>
      <c r="K233" s="1744"/>
      <c r="L233"/>
      <c r="M233" s="2204"/>
      <c r="N233" s="2212"/>
      <c r="P233" s="1568">
        <v>0</v>
      </c>
      <c r="Q233" s="3642">
        <v>0</v>
      </c>
      <c r="R233" s="11"/>
      <c r="S233" s="11"/>
      <c r="T233" s="11"/>
    </row>
    <row r="234" spans="1:20" ht="15.75" customHeight="1" x14ac:dyDescent="0.25">
      <c r="A234" s="415"/>
      <c r="B234" s="415" t="s">
        <v>574</v>
      </c>
      <c r="C234" s="4256"/>
      <c r="D234" s="163" t="s">
        <v>202</v>
      </c>
      <c r="E234" s="158">
        <v>106110897</v>
      </c>
      <c r="F234" s="3425" t="s">
        <v>203</v>
      </c>
      <c r="G234" s="553">
        <f>IF($G206=2,0,1)</f>
        <v>1</v>
      </c>
      <c r="H234" s="1364">
        <v>0</v>
      </c>
      <c r="I234" s="2306">
        <f>H234*'Lista global'!P87</f>
        <v>0</v>
      </c>
      <c r="J234" s="1744"/>
      <c r="K234" s="1744"/>
      <c r="L234"/>
      <c r="M234" s="2204"/>
      <c r="N234" s="2212"/>
      <c r="P234" s="1568">
        <v>0</v>
      </c>
      <c r="Q234" s="3642">
        <v>0</v>
      </c>
      <c r="R234" s="11"/>
      <c r="S234" s="11"/>
      <c r="T234" s="11"/>
    </row>
    <row r="235" spans="1:20" ht="15.75" customHeight="1" x14ac:dyDescent="0.25">
      <c r="A235" s="415"/>
      <c r="B235" s="415" t="s">
        <v>575</v>
      </c>
      <c r="C235" s="4256"/>
      <c r="D235" s="163" t="s">
        <v>204</v>
      </c>
      <c r="E235" s="158">
        <v>106110898</v>
      </c>
      <c r="F235" s="3425" t="s">
        <v>205</v>
      </c>
      <c r="G235" s="553">
        <f>IF($G206=4,1,0)</f>
        <v>0</v>
      </c>
      <c r="H235" s="1364">
        <f>IF(ROUND($G$206*$I$206/16,0)&gt;1,ROUND($G$206*$I$206/16,0),1)</f>
        <v>2</v>
      </c>
      <c r="I235" s="2306">
        <f>H235*'Lista global'!P88</f>
        <v>32.5</v>
      </c>
      <c r="J235" s="1744"/>
      <c r="K235" s="1744"/>
      <c r="L235"/>
      <c r="M235" s="2204"/>
      <c r="N235" s="2212"/>
      <c r="P235" s="1568">
        <v>4</v>
      </c>
      <c r="Q235" s="3642">
        <v>127.79999999999998</v>
      </c>
      <c r="R235" s="11"/>
      <c r="S235" s="11"/>
      <c r="T235" s="11"/>
    </row>
    <row r="236" spans="1:20" ht="15.75" customHeight="1" x14ac:dyDescent="0.25">
      <c r="A236" s="415"/>
      <c r="B236" s="415" t="s">
        <v>576</v>
      </c>
      <c r="C236" s="4256"/>
      <c r="D236" s="163" t="s">
        <v>206</v>
      </c>
      <c r="E236" s="404">
        <v>106201807</v>
      </c>
      <c r="F236" s="3427" t="s">
        <v>207</v>
      </c>
      <c r="G236" s="696">
        <v>1</v>
      </c>
      <c r="H236" s="1364">
        <f>ROUND(G236*$I$206/2,0)</f>
        <v>5</v>
      </c>
      <c r="I236" s="2306" t="e">
        <f>H236*'Lista global'!#REF!</f>
        <v>#REF!</v>
      </c>
      <c r="J236" s="1744"/>
      <c r="K236" s="1744"/>
      <c r="L236"/>
      <c r="M236" s="2204"/>
      <c r="N236" s="2212"/>
      <c r="P236" s="1568">
        <v>2</v>
      </c>
      <c r="Q236" s="3642">
        <v>299.84999999999997</v>
      </c>
      <c r="R236" s="11"/>
      <c r="S236" s="11"/>
      <c r="T236" s="11"/>
    </row>
    <row r="237" spans="1:20" ht="15.75" customHeight="1" x14ac:dyDescent="0.25">
      <c r="A237" s="415"/>
      <c r="B237" s="415" t="s">
        <v>681</v>
      </c>
      <c r="C237" s="4256"/>
      <c r="D237" s="426" t="s">
        <v>460</v>
      </c>
      <c r="E237" s="169">
        <v>106202476</v>
      </c>
      <c r="F237" s="3428" t="s">
        <v>461</v>
      </c>
      <c r="G237" s="553">
        <v>1</v>
      </c>
      <c r="H237" s="1364">
        <f>ROUNDDOWN($I$206/6,0)</f>
        <v>1</v>
      </c>
      <c r="I237" s="2306" t="e">
        <f>H237*'Lista global'!#REF!</f>
        <v>#REF!</v>
      </c>
      <c r="J237" s="1744"/>
      <c r="K237" s="1744"/>
      <c r="L237"/>
      <c r="M237" s="2204"/>
      <c r="N237" s="2212"/>
      <c r="P237" s="1568">
        <v>1</v>
      </c>
      <c r="Q237" s="3642">
        <v>36.474999999999994</v>
      </c>
      <c r="R237" s="11"/>
      <c r="S237" s="11"/>
      <c r="T237" s="11"/>
    </row>
    <row r="238" spans="1:20" s="411" customFormat="1" ht="15.75" thickBot="1" x14ac:dyDescent="0.3">
      <c r="A238" s="440"/>
      <c r="B238" s="440" t="s">
        <v>584</v>
      </c>
      <c r="C238" s="4257"/>
      <c r="D238" s="293" t="s">
        <v>354</v>
      </c>
      <c r="E238" s="427">
        <v>106200941</v>
      </c>
      <c r="F238" s="3429" t="s">
        <v>353</v>
      </c>
      <c r="G238" s="563">
        <v>1</v>
      </c>
      <c r="H238" s="1365">
        <v>1</v>
      </c>
      <c r="I238" s="2307" t="e">
        <f>H238*'Lista global'!#REF!</f>
        <v>#REF!</v>
      </c>
      <c r="J238" s="1744"/>
      <c r="K238" s="1744"/>
      <c r="L238"/>
      <c r="M238" s="2204"/>
      <c r="N238" s="2212"/>
      <c r="O238" s="378"/>
      <c r="P238" s="1365">
        <v>1</v>
      </c>
      <c r="Q238" s="3643">
        <v>84.824999999999989</v>
      </c>
    </row>
    <row r="239" spans="1:20" ht="15.75" customHeight="1" x14ac:dyDescent="0.25">
      <c r="A239" s="419"/>
      <c r="B239" s="539" t="s">
        <v>577</v>
      </c>
      <c r="C239" s="4370" t="s">
        <v>124</v>
      </c>
      <c r="D239" s="170" t="s">
        <v>208</v>
      </c>
      <c r="E239" s="160">
        <v>106105422</v>
      </c>
      <c r="F239" s="3430" t="s">
        <v>209</v>
      </c>
      <c r="G239" s="542">
        <f>$G206*3</f>
        <v>9</v>
      </c>
      <c r="H239" s="1362">
        <f>3*H246</f>
        <v>3</v>
      </c>
      <c r="I239" s="2308">
        <f>H239*'Lista global'!P60</f>
        <v>202.5</v>
      </c>
      <c r="J239" s="1744"/>
      <c r="K239" s="1744"/>
      <c r="L239"/>
      <c r="M239" s="2204"/>
      <c r="N239" s="2212"/>
      <c r="P239" s="1362">
        <v>3</v>
      </c>
      <c r="Q239" s="2308">
        <v>5.75</v>
      </c>
      <c r="R239" s="11"/>
      <c r="S239" s="11"/>
      <c r="T239" s="11"/>
    </row>
    <row r="240" spans="1:20" ht="15.75" customHeight="1" thickBot="1" x14ac:dyDescent="0.3">
      <c r="A240" s="559" t="s">
        <v>672</v>
      </c>
      <c r="B240" s="537" t="s">
        <v>548</v>
      </c>
      <c r="C240" s="4371"/>
      <c r="D240" s="517" t="s">
        <v>127</v>
      </c>
      <c r="E240" s="404">
        <v>106104229</v>
      </c>
      <c r="F240" s="3431" t="s">
        <v>94</v>
      </c>
      <c r="G240" s="516">
        <v>1</v>
      </c>
      <c r="H240" s="1035">
        <f>ROUNDUP(G240*$I$206/8,0)</f>
        <v>2</v>
      </c>
      <c r="I240" s="2304">
        <f>H240*'Lista global'!P45</f>
        <v>44.424999999999997</v>
      </c>
      <c r="J240" s="1744"/>
      <c r="K240" s="1744"/>
      <c r="L240"/>
      <c r="M240" s="2204"/>
      <c r="N240" s="2212"/>
      <c r="P240" s="1035">
        <v>1</v>
      </c>
      <c r="Q240" s="3640">
        <v>67.300000000000011</v>
      </c>
      <c r="R240" s="11"/>
      <c r="S240" s="11"/>
      <c r="T240" s="11"/>
    </row>
    <row r="241" spans="1:20" ht="15.75" customHeight="1" x14ac:dyDescent="0.25">
      <c r="A241" s="4368" t="s">
        <v>655</v>
      </c>
      <c r="B241" s="541" t="s">
        <v>1093</v>
      </c>
      <c r="C241" s="4371"/>
      <c r="D241" s="170" t="s">
        <v>159</v>
      </c>
      <c r="E241" s="160">
        <v>106110473</v>
      </c>
      <c r="F241" s="3430" t="s">
        <v>648</v>
      </c>
      <c r="G241" s="516">
        <f>$G206</f>
        <v>3</v>
      </c>
      <c r="H241" s="1021">
        <f>$H$221</f>
        <v>0</v>
      </c>
      <c r="I241" s="2301">
        <f>H241*'Lista global'!P84</f>
        <v>0</v>
      </c>
      <c r="J241" s="1743"/>
      <c r="K241" s="1743"/>
      <c r="L241" s="11" t="s">
        <v>1077</v>
      </c>
      <c r="M241" s="2205"/>
      <c r="N241" s="2213"/>
      <c r="P241" s="1021" t="s">
        <v>1392</v>
      </c>
      <c r="Q241" s="2301">
        <v>1313.2166666666667</v>
      </c>
      <c r="R241" s="11"/>
      <c r="S241" s="11"/>
      <c r="T241" s="11"/>
    </row>
    <row r="242" spans="1:20" ht="15.75" customHeight="1" thickBot="1" x14ac:dyDescent="0.3">
      <c r="A242" s="4369"/>
      <c r="B242" s="541" t="s">
        <v>578</v>
      </c>
      <c r="C242" s="4371"/>
      <c r="D242" s="164" t="s">
        <v>132</v>
      </c>
      <c r="E242" s="165">
        <v>106104092</v>
      </c>
      <c r="F242" s="3432" t="s">
        <v>161</v>
      </c>
      <c r="G242" s="516">
        <f>$G206</f>
        <v>3</v>
      </c>
      <c r="H242" s="1021">
        <f>$H$221</f>
        <v>0</v>
      </c>
      <c r="I242" s="2301">
        <f>H242*'Lista global'!P12</f>
        <v>0</v>
      </c>
      <c r="J242" s="1743"/>
      <c r="K242" s="1743"/>
      <c r="L242" s="11" t="s">
        <v>1077</v>
      </c>
      <c r="M242" s="2205"/>
      <c r="N242" s="2213"/>
      <c r="P242" s="1021" t="s">
        <v>1392</v>
      </c>
      <c r="Q242" s="2301">
        <v>19.516666666666669</v>
      </c>
      <c r="R242" s="11"/>
      <c r="S242" s="11"/>
      <c r="T242" s="11"/>
    </row>
    <row r="243" spans="1:20" ht="15.75" customHeight="1" thickBot="1" x14ac:dyDescent="0.3">
      <c r="A243" s="421" t="s">
        <v>656</v>
      </c>
      <c r="B243" s="540" t="s">
        <v>579</v>
      </c>
      <c r="C243" s="4372"/>
      <c r="D243" s="518" t="s">
        <v>134</v>
      </c>
      <c r="E243" s="519">
        <v>106104397</v>
      </c>
      <c r="F243" s="3433" t="s">
        <v>135</v>
      </c>
      <c r="G243" s="543">
        <f>$G206</f>
        <v>3</v>
      </c>
      <c r="H243" s="1021">
        <f>ROUND(G243*$I$206/4,0)</f>
        <v>8</v>
      </c>
      <c r="I243" s="2305">
        <f>H243*'Lista global'!P49</f>
        <v>498.69999999999993</v>
      </c>
      <c r="J243" s="1744"/>
      <c r="K243" s="1744"/>
      <c r="L243"/>
      <c r="M243" s="2204"/>
      <c r="N243" s="2212"/>
      <c r="P243" s="1021">
        <v>3</v>
      </c>
      <c r="Q243" s="3641">
        <v>856.17</v>
      </c>
      <c r="R243" s="11"/>
      <c r="S243" s="11"/>
      <c r="T243" s="11"/>
    </row>
    <row r="244" spans="1:20" s="983" customFormat="1" ht="38.25" x14ac:dyDescent="0.25">
      <c r="A244" s="520"/>
      <c r="B244" s="419" t="s">
        <v>955</v>
      </c>
      <c r="C244" s="4251" t="s">
        <v>11</v>
      </c>
      <c r="D244" s="509"/>
      <c r="E244" s="620">
        <v>106112878</v>
      </c>
      <c r="F244" s="2085" t="s">
        <v>689</v>
      </c>
      <c r="G244" s="622">
        <f>5*$G206</f>
        <v>15</v>
      </c>
      <c r="H244" s="1036">
        <f>5*$H$246</f>
        <v>5</v>
      </c>
      <c r="I244" s="2303">
        <f>H244*'Lista global'!P109</f>
        <v>325.5</v>
      </c>
      <c r="J244" s="1744"/>
      <c r="K244" s="1744"/>
      <c r="L244"/>
      <c r="M244" s="2204"/>
      <c r="N244" s="2212"/>
      <c r="O244" s="2215"/>
      <c r="P244" s="1036">
        <v>5</v>
      </c>
      <c r="Q244" s="2303">
        <v>7.9166666666666661</v>
      </c>
    </row>
    <row r="245" spans="1:20" s="983" customFormat="1" ht="15.75" thickBot="1" x14ac:dyDescent="0.3">
      <c r="A245" s="982"/>
      <c r="B245" s="440" t="s">
        <v>1278</v>
      </c>
      <c r="C245" s="4252"/>
      <c r="D245" s="418"/>
      <c r="E245" s="618">
        <v>106107580</v>
      </c>
      <c r="F245" s="1545" t="s">
        <v>1277</v>
      </c>
      <c r="G245" s="553">
        <f>3*$G206</f>
        <v>9</v>
      </c>
      <c r="H245" s="1035">
        <f>3*$H$246</f>
        <v>3</v>
      </c>
      <c r="I245" s="2304">
        <f>H245*'Lista global'!P73</f>
        <v>13.725000000000001</v>
      </c>
      <c r="J245" s="1744"/>
      <c r="K245" s="1744"/>
      <c r="L245"/>
      <c r="M245" s="2204"/>
      <c r="N245" s="2212"/>
      <c r="O245" s="2215"/>
      <c r="P245" s="1035">
        <v>3</v>
      </c>
      <c r="Q245" s="3640">
        <v>6.4500000000000011</v>
      </c>
    </row>
    <row r="246" spans="1:20" ht="15.75" customHeight="1" thickBot="1" x14ac:dyDescent="0.3">
      <c r="A246" s="441"/>
      <c r="B246" s="558" t="str">
        <f>IF($H206=$I248,B248,IF($H206=$I249,B249,IF($H206=$I250,B250,IF($H206=$I251,B251))))</f>
        <v>Electronic Block  Dig 3Phase 156kW MS</v>
      </c>
      <c r="C246" s="441" t="str">
        <f>IF($H206=$I248,C248,IF($H206=$I249,C249,IF($H206=$I250,C250,IF($H206=$I251,C251))))</f>
        <v>MS</v>
      </c>
      <c r="D246" s="441" t="str">
        <f>IF($H206=$I248,D248,IF($H206=$I249,D249,IF($H206=$I250,D250,IF($H206=$I251,D251))))</f>
        <v>AAV7104</v>
      </c>
      <c r="E246" s="529">
        <f>IF($H206=$I248,E248,IF($H206=$I249,E249,IF($H206=$I250,E250,IF($H206=$I251,E251))))</f>
        <v>106202628</v>
      </c>
      <c r="F246" s="441" t="str">
        <f>IF($H206=$I248,F248,IF($H206=$I249,F249,IF($H206=$I250,F250,IF($H206=$I251,F251))))</f>
        <v>VARIADOR DIG INGCONSUN TRIF 156kW MS</v>
      </c>
      <c r="G246" s="560">
        <f>$G206</f>
        <v>3</v>
      </c>
      <c r="H246" s="1037">
        <f>ROUNDUP(I206*G206*3/100,0)</f>
        <v>1</v>
      </c>
      <c r="I246" s="2309">
        <f>H246*(IF($H206=$I248,'Lista global'!#REF!,IF($H206=$I249,'Lista global'!P155,IF($H206=$I250,'Lista global'!P92,IF($H206=$I251,'Lista global'!P156)))))</f>
        <v>1086.7624999999998</v>
      </c>
      <c r="J246" s="1744"/>
      <c r="K246" s="1744"/>
      <c r="L246"/>
      <c r="M246" s="2204"/>
      <c r="N246" s="2212"/>
      <c r="P246" s="1037">
        <v>1</v>
      </c>
      <c r="Q246" s="2309">
        <v>7712.0560000000005</v>
      </c>
      <c r="R246" s="11"/>
      <c r="S246" s="11"/>
      <c r="T246" s="11"/>
    </row>
    <row r="247" spans="1:20" ht="15.75" thickBot="1" x14ac:dyDescent="0.3">
      <c r="H247" s="1310" t="s">
        <v>941</v>
      </c>
      <c r="I247" s="1311" t="e">
        <f>SUM(I208:I246)</f>
        <v>#REF!</v>
      </c>
      <c r="J247" s="1745"/>
      <c r="K247" s="1745"/>
      <c r="L247"/>
      <c r="M247" s="2206"/>
      <c r="N247" s="2214"/>
      <c r="P247" s="1310" t="s">
        <v>941</v>
      </c>
      <c r="Q247" s="2300">
        <f>SUM(Q208:Q246)</f>
        <v>16054.052666666668</v>
      </c>
      <c r="R247" s="11"/>
      <c r="S247" s="11"/>
      <c r="T247" s="11"/>
    </row>
    <row r="248" spans="1:20" ht="15.75" customHeight="1" thickBot="1" x14ac:dyDescent="0.3">
      <c r="A248" s="412"/>
      <c r="B248" s="412" t="s">
        <v>580</v>
      </c>
      <c r="C248" s="380" t="s">
        <v>0</v>
      </c>
      <c r="D248" s="428" t="s">
        <v>187</v>
      </c>
      <c r="E248" s="381">
        <v>106201457</v>
      </c>
      <c r="F248" s="1689" t="s">
        <v>188</v>
      </c>
      <c r="G248" s="1691">
        <v>1</v>
      </c>
      <c r="H248" s="11">
        <v>2</v>
      </c>
      <c r="I248" s="11" t="s">
        <v>542</v>
      </c>
      <c r="L248"/>
      <c r="P248" s="11"/>
      <c r="R248" s="11"/>
      <c r="S248" s="11"/>
      <c r="T248" s="11"/>
    </row>
    <row r="249" spans="1:20" ht="15.75" customHeight="1" thickBot="1" x14ac:dyDescent="0.3">
      <c r="A249" s="412"/>
      <c r="B249" s="412" t="s">
        <v>581</v>
      </c>
      <c r="C249" s="380" t="s">
        <v>0</v>
      </c>
      <c r="D249" s="429" t="s">
        <v>240</v>
      </c>
      <c r="E249" s="171">
        <v>106202625</v>
      </c>
      <c r="F249" s="1690" t="s">
        <v>241</v>
      </c>
      <c r="G249" s="1692">
        <v>1</v>
      </c>
      <c r="H249" s="48">
        <v>3</v>
      </c>
      <c r="I249" s="11" t="s">
        <v>543</v>
      </c>
      <c r="L249"/>
      <c r="P249" s="11"/>
      <c r="R249" s="11"/>
      <c r="S249" s="11"/>
      <c r="T249" s="11"/>
    </row>
    <row r="250" spans="1:20" ht="15.75" thickBot="1" x14ac:dyDescent="0.3">
      <c r="A250" s="412"/>
      <c r="B250" s="412" t="s">
        <v>582</v>
      </c>
      <c r="C250" s="97" t="s">
        <v>255</v>
      </c>
      <c r="D250" s="429" t="s">
        <v>440</v>
      </c>
      <c r="E250" s="172">
        <v>106111457</v>
      </c>
      <c r="F250" s="1690" t="s">
        <v>441</v>
      </c>
      <c r="G250" s="1692">
        <v>1</v>
      </c>
      <c r="H250" s="48">
        <v>4</v>
      </c>
      <c r="I250" s="11" t="s">
        <v>553</v>
      </c>
      <c r="L250"/>
      <c r="P250" s="11"/>
      <c r="R250" s="11"/>
      <c r="S250" s="11"/>
      <c r="T250" s="11"/>
    </row>
    <row r="251" spans="1:20" ht="15.75" thickBot="1" x14ac:dyDescent="0.3">
      <c r="A251" s="412"/>
      <c r="B251" s="412" t="s">
        <v>583</v>
      </c>
      <c r="C251" s="97" t="s">
        <v>255</v>
      </c>
      <c r="D251" s="429" t="s">
        <v>239</v>
      </c>
      <c r="E251" s="172">
        <v>106202628</v>
      </c>
      <c r="F251" s="1690" t="s">
        <v>254</v>
      </c>
      <c r="G251" s="1692">
        <v>1</v>
      </c>
      <c r="I251" s="11" t="s">
        <v>552</v>
      </c>
      <c r="L251"/>
      <c r="P251" s="11"/>
      <c r="R251" s="11"/>
      <c r="S251" s="11"/>
      <c r="T251" s="11"/>
    </row>
    <row r="254" spans="1:20" ht="15.75" thickBot="1" x14ac:dyDescent="0.3">
      <c r="B254" s="75" t="s">
        <v>651</v>
      </c>
      <c r="C254" s="11" t="s">
        <v>649</v>
      </c>
      <c r="D254" s="526" t="s">
        <v>658</v>
      </c>
      <c r="E254" s="411">
        <v>106110278</v>
      </c>
    </row>
    <row r="255" spans="1:20" x14ac:dyDescent="0.25">
      <c r="B255" s="75" t="s">
        <v>650</v>
      </c>
    </row>
    <row r="258" spans="6:17" x14ac:dyDescent="0.25">
      <c r="G258" s="411"/>
      <c r="P258" s="11"/>
      <c r="Q258" s="39"/>
    </row>
    <row r="259" spans="6:17" x14ac:dyDescent="0.25">
      <c r="F259" s="11"/>
      <c r="G259" s="411"/>
      <c r="P259" s="11"/>
      <c r="Q259" s="39"/>
    </row>
  </sheetData>
  <mergeCells count="69">
    <mergeCell ref="C70:J70"/>
    <mergeCell ref="C71:J71"/>
    <mergeCell ref="C72:J72"/>
    <mergeCell ref="C64:J64"/>
    <mergeCell ref="C65:J65"/>
    <mergeCell ref="C66:J66"/>
    <mergeCell ref="C67:J67"/>
    <mergeCell ref="C68:J68"/>
    <mergeCell ref="C50:C59"/>
    <mergeCell ref="C62:J62"/>
    <mergeCell ref="C63:J63"/>
    <mergeCell ref="C46:C49"/>
    <mergeCell ref="C69:J69"/>
    <mergeCell ref="C20:C22"/>
    <mergeCell ref="C23:C36"/>
    <mergeCell ref="D23:D36"/>
    <mergeCell ref="C37:C45"/>
    <mergeCell ref="C2:J2"/>
    <mergeCell ref="F3:G3"/>
    <mergeCell ref="C4:C19"/>
    <mergeCell ref="D10:D11"/>
    <mergeCell ref="D12:D13"/>
    <mergeCell ref="D20:D21"/>
    <mergeCell ref="C95:C102"/>
    <mergeCell ref="D95:D100"/>
    <mergeCell ref="K89:K90"/>
    <mergeCell ref="C75:J75"/>
    <mergeCell ref="F76:G76"/>
    <mergeCell ref="D85:D86"/>
    <mergeCell ref="C77:C94"/>
    <mergeCell ref="D83:D84"/>
    <mergeCell ref="C146:J146"/>
    <mergeCell ref="C148:J148"/>
    <mergeCell ref="C149:J149"/>
    <mergeCell ref="C145:J145"/>
    <mergeCell ref="C126:C127"/>
    <mergeCell ref="C128:C137"/>
    <mergeCell ref="C140:J140"/>
    <mergeCell ref="C244:C245"/>
    <mergeCell ref="A241:A242"/>
    <mergeCell ref="A209:A212"/>
    <mergeCell ref="A213:A216"/>
    <mergeCell ref="C239:C243"/>
    <mergeCell ref="A221:A223"/>
    <mergeCell ref="C221:C227"/>
    <mergeCell ref="C228:C238"/>
    <mergeCell ref="C208:C220"/>
    <mergeCell ref="E206:F206"/>
    <mergeCell ref="C207:D207"/>
    <mergeCell ref="C186:C187"/>
    <mergeCell ref="A168:A173"/>
    <mergeCell ref="C168:C174"/>
    <mergeCell ref="C175:C184"/>
    <mergeCell ref="V76:W76"/>
    <mergeCell ref="X76:Y76"/>
    <mergeCell ref="Z76:AA76"/>
    <mergeCell ref="AB76:AC76"/>
    <mergeCell ref="A156:A159"/>
    <mergeCell ref="C155:C167"/>
    <mergeCell ref="C154:D154"/>
    <mergeCell ref="C150:J150"/>
    <mergeCell ref="C103:C116"/>
    <mergeCell ref="D103:D116"/>
    <mergeCell ref="C117:C125"/>
    <mergeCell ref="C147:J147"/>
    <mergeCell ref="C141:J141"/>
    <mergeCell ref="C142:J142"/>
    <mergeCell ref="C143:J143"/>
    <mergeCell ref="C144:J144"/>
  </mergeCells>
  <dataValidations count="8">
    <dataValidation type="list" allowBlank="1" showInputMessage="1" showErrorMessage="1" sqref="G206">
      <formula1>$H248:$H250</formula1>
    </dataValidation>
    <dataValidation type="list" allowBlank="1" showInputMessage="1" showErrorMessage="1" sqref="H206">
      <formula1>$I248:$I251</formula1>
    </dataValidation>
    <dataValidation type="list" allowBlank="1" showInputMessage="1" showErrorMessage="1" sqref="P153 H153">
      <formula1>$I$190:$I$199</formula1>
    </dataValidation>
    <dataValidation type="whole" allowBlank="1" showInputMessage="1" showErrorMessage="1" promptTitle="Nº de módulos" prompt="Introduzca un valor entre 2 y 4" sqref="P75 P2">
      <formula1>2</formula1>
      <formula2>4</formula2>
    </dataValidation>
    <dataValidation type="list" allowBlank="1" showInputMessage="1" showErrorMessage="1" sqref="R75 L2 R2 L75">
      <formula1>$T$80:$T$81</formula1>
    </dataValidation>
    <dataValidation type="list" allowBlank="1" showInputMessage="1" showErrorMessage="1" sqref="G153">
      <formula1>$H$190:$H$192</formula1>
    </dataValidation>
    <dataValidation type="list" allowBlank="1" showInputMessage="1" showErrorMessage="1" sqref="O75 O2">
      <formula1>$T$77:$T$78</formula1>
    </dataValidation>
    <dataValidation type="list" allowBlank="1" showInputMessage="1" showErrorMessage="1" sqref="M75 M2">
      <formula1>$U$77:$U$81</formula1>
    </dataValidation>
  </dataValidations>
  <pageMargins left="0.70866141732283472" right="0.70866141732283472" top="0.74803149606299213" bottom="0.74803149606299213" header="0.31496062992125984" footer="0.31496062992125984"/>
  <pageSetup paperSize="9" scale="49" orientation="portrait" horizontalDpi="96" verticalDpi="96" r:id="rId1"/>
  <ignoredErrors>
    <ignoredError sqref="G246 G188 P94 P103 O129 Q84 H158 P19 Q11 P8 Q22" formula="1"/>
    <ignoredError sqref="P83" evalError="1"/>
  </ignoredErrors>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53"/>
  <sheetViews>
    <sheetView topLeftCell="C65" zoomScale="80" zoomScaleNormal="80" workbookViewId="0">
      <selection activeCell="E92" sqref="E92"/>
    </sheetView>
  </sheetViews>
  <sheetFormatPr baseColWidth="10" defaultRowHeight="15" x14ac:dyDescent="0.25"/>
  <cols>
    <col min="1" max="1" width="18" style="75" customWidth="1"/>
    <col min="2" max="2" width="50.28515625" style="75" customWidth="1"/>
    <col min="3" max="3" width="5.140625" style="1383" customWidth="1"/>
    <col min="4" max="4" width="15.85546875" style="1383" customWidth="1"/>
    <col min="5" max="5" width="13.85546875" style="1383" bestFit="1" customWidth="1"/>
    <col min="6" max="6" width="57.140625" style="411" bestFit="1" customWidth="1"/>
    <col min="7" max="7" width="11.42578125" style="1383" customWidth="1"/>
    <col min="8" max="8" width="17.42578125" style="1383" customWidth="1"/>
    <col min="9" max="9" width="14" style="1383" customWidth="1"/>
    <col min="10" max="10" width="15.42578125" style="1383" customWidth="1"/>
    <col min="11" max="11" width="14.7109375" style="1383" customWidth="1"/>
    <col min="12" max="12" width="11.42578125" style="1383" customWidth="1"/>
    <col min="13" max="13" width="11.42578125" style="1777" customWidth="1"/>
    <col min="14" max="14" width="17.85546875" style="1383" customWidth="1"/>
    <col min="15" max="15" width="16" style="1383" customWidth="1"/>
    <col min="16" max="16" width="11.42578125" style="1777" customWidth="1"/>
    <col min="17" max="17" width="15.85546875" style="1383" customWidth="1"/>
    <col min="18" max="18" width="14.140625" style="1383" customWidth="1"/>
    <col min="19" max="19" width="13.42578125" style="1383" customWidth="1"/>
    <col min="20" max="20" width="11.42578125" style="1383"/>
    <col min="21" max="21" width="15.85546875" style="1383" bestFit="1" customWidth="1"/>
    <col min="22" max="22" width="16.28515625" style="1383" customWidth="1"/>
    <col min="23" max="24" width="13.7109375" style="1383" bestFit="1" customWidth="1"/>
    <col min="25" max="16384" width="11.42578125" style="1383"/>
  </cols>
  <sheetData>
    <row r="1" spans="1:16" ht="15.75" thickBot="1" x14ac:dyDescent="0.3">
      <c r="I1" s="1031" t="s">
        <v>1008</v>
      </c>
      <c r="J1" s="1740"/>
      <c r="K1" s="1740"/>
      <c r="M1" s="1383"/>
      <c r="P1" s="1383"/>
    </row>
    <row r="2" spans="1:16" ht="18" customHeight="1" thickBot="1" x14ac:dyDescent="0.3">
      <c r="A2" s="413"/>
      <c r="B2" s="413"/>
      <c r="C2" s="24"/>
      <c r="D2" s="24"/>
      <c r="E2" s="4201" t="s">
        <v>1063</v>
      </c>
      <c r="F2" s="4202"/>
      <c r="G2" s="1773">
        <v>4</v>
      </c>
      <c r="H2" s="1772" t="s">
        <v>1137</v>
      </c>
      <c r="I2" s="984">
        <v>100</v>
      </c>
      <c r="J2" s="1741"/>
      <c r="K2" s="1741"/>
      <c r="L2" s="4393" t="s">
        <v>1066</v>
      </c>
      <c r="M2" s="4393"/>
      <c r="P2" s="1383"/>
    </row>
    <row r="3" spans="1:16" ht="33" customHeight="1" thickBot="1" x14ac:dyDescent="0.3">
      <c r="A3" s="1775"/>
      <c r="B3" s="138" t="s">
        <v>525</v>
      </c>
      <c r="C3" s="4356" t="s">
        <v>526</v>
      </c>
      <c r="D3" s="4357"/>
      <c r="E3" s="262" t="s">
        <v>935</v>
      </c>
      <c r="F3" s="262" t="s">
        <v>525</v>
      </c>
      <c r="G3" s="262" t="s">
        <v>959</v>
      </c>
      <c r="H3" s="262" t="s">
        <v>1007</v>
      </c>
      <c r="I3" s="132" t="s">
        <v>251</v>
      </c>
      <c r="J3" s="1742"/>
      <c r="K3" s="1742"/>
      <c r="M3" s="1383"/>
      <c r="P3" s="1383"/>
    </row>
    <row r="4" spans="1:16" ht="15.75" customHeight="1" thickBot="1" x14ac:dyDescent="0.3">
      <c r="A4" s="414"/>
      <c r="B4" s="608" t="s">
        <v>544</v>
      </c>
      <c r="C4" s="4255" t="s">
        <v>82</v>
      </c>
      <c r="D4" s="1723" t="s">
        <v>83</v>
      </c>
      <c r="E4" s="1808">
        <v>106104947</v>
      </c>
      <c r="F4" s="1809" t="s">
        <v>84</v>
      </c>
      <c r="G4" s="551">
        <f>$G26</f>
        <v>6</v>
      </c>
      <c r="H4" s="985">
        <f>H26</f>
        <v>60</v>
      </c>
      <c r="I4" s="1730" t="e">
        <f>H4*'Lista global'!#REF!</f>
        <v>#REF!</v>
      </c>
      <c r="J4" s="1743"/>
      <c r="K4" s="1743"/>
      <c r="M4" s="1383"/>
      <c r="P4" s="1383"/>
    </row>
    <row r="5" spans="1:16" ht="15.75" customHeight="1" x14ac:dyDescent="0.25">
      <c r="A5" s="4354" t="s">
        <v>660</v>
      </c>
      <c r="B5" s="609" t="s">
        <v>545</v>
      </c>
      <c r="C5" s="4256"/>
      <c r="D5" s="1810" t="s">
        <v>91</v>
      </c>
      <c r="E5" s="1696">
        <v>106202886</v>
      </c>
      <c r="F5" s="1707" t="s">
        <v>664</v>
      </c>
      <c r="G5" s="1540">
        <f>$G2</f>
        <v>4</v>
      </c>
      <c r="H5" s="986">
        <f>ROUND(G5*$I$2/8,0)</f>
        <v>50</v>
      </c>
      <c r="I5" s="2022">
        <f>H5*'Lista global'!P219</f>
        <v>2922.5</v>
      </c>
      <c r="J5" s="1743"/>
      <c r="K5" s="1743"/>
      <c r="M5" s="1383"/>
      <c r="P5" s="1383"/>
    </row>
    <row r="6" spans="1:16" ht="15.75" customHeight="1" x14ac:dyDescent="0.25">
      <c r="A6" s="4355"/>
      <c r="B6" s="609" t="s">
        <v>546</v>
      </c>
      <c r="C6" s="4256"/>
      <c r="D6" s="1810" t="s">
        <v>93</v>
      </c>
      <c r="E6" s="1696">
        <v>106202884</v>
      </c>
      <c r="F6" s="1707" t="s">
        <v>665</v>
      </c>
      <c r="G6" s="1540">
        <f>$G2</f>
        <v>4</v>
      </c>
      <c r="H6" s="986">
        <f>ROUND(G6*$I$2/8,0)</f>
        <v>50</v>
      </c>
      <c r="I6" s="2022">
        <f>H6*'Lista global'!P166</f>
        <v>9201.2499999999982</v>
      </c>
      <c r="J6" s="1743"/>
      <c r="K6" s="1743"/>
      <c r="M6" s="1383"/>
      <c r="P6" s="1383"/>
    </row>
    <row r="7" spans="1:16" ht="15.75" customHeight="1" x14ac:dyDescent="0.25">
      <c r="A7" s="4355"/>
      <c r="B7" s="609" t="s">
        <v>548</v>
      </c>
      <c r="C7" s="4256"/>
      <c r="D7" s="1724" t="s">
        <v>127</v>
      </c>
      <c r="E7" s="1811">
        <v>106114372</v>
      </c>
      <c r="F7" s="547" t="s">
        <v>666</v>
      </c>
      <c r="G7" s="1541">
        <v>1</v>
      </c>
      <c r="H7" s="986">
        <f>ROUNDUP(G7*$I$2/8,0)</f>
        <v>13</v>
      </c>
      <c r="I7" s="2022">
        <f>H7*'Lista global'!P126</f>
        <v>28.925000000000001</v>
      </c>
      <c r="J7" s="1743"/>
      <c r="K7" s="1743"/>
      <c r="M7" s="1383"/>
      <c r="P7" s="1383"/>
    </row>
    <row r="8" spans="1:16" ht="15.75" customHeight="1" thickBot="1" x14ac:dyDescent="0.3">
      <c r="A8" s="4355"/>
      <c r="B8" s="609" t="s">
        <v>547</v>
      </c>
      <c r="C8" s="4256"/>
      <c r="D8" s="1698" t="s">
        <v>95</v>
      </c>
      <c r="E8" s="165">
        <v>106202883</v>
      </c>
      <c r="F8" s="548" t="s">
        <v>667</v>
      </c>
      <c r="G8" s="1812">
        <f>$G2</f>
        <v>4</v>
      </c>
      <c r="H8" s="988">
        <f>ROUND(G8*$I$2/8,0)</f>
        <v>50</v>
      </c>
      <c r="I8" s="2293">
        <f>H8*'Lista global'!P165</f>
        <v>2532.5</v>
      </c>
      <c r="J8" s="1743"/>
      <c r="K8" s="1743"/>
      <c r="M8" s="1383"/>
      <c r="P8" s="1383"/>
    </row>
    <row r="9" spans="1:16" ht="23.25" customHeight="1" x14ac:dyDescent="0.25">
      <c r="A9" s="1103" t="s">
        <v>661</v>
      </c>
      <c r="B9" s="414" t="s">
        <v>523</v>
      </c>
      <c r="C9" s="4256"/>
      <c r="D9" s="159" t="s">
        <v>97</v>
      </c>
      <c r="E9" s="160">
        <v>106113580</v>
      </c>
      <c r="F9" s="549" t="s">
        <v>1479</v>
      </c>
      <c r="G9" s="1715">
        <f>$G2</f>
        <v>4</v>
      </c>
      <c r="H9" s="1034">
        <f>ROUNDDOWN(($I$2*G9/4)/10,0)</f>
        <v>10</v>
      </c>
      <c r="I9" s="2294">
        <f>H9*'Lista global'!P111</f>
        <v>499.74999999999994</v>
      </c>
      <c r="J9" s="1743"/>
      <c r="K9" s="1743"/>
      <c r="L9" s="1383" t="s">
        <v>1077</v>
      </c>
      <c r="M9" s="1383"/>
      <c r="P9" s="1383"/>
    </row>
    <row r="10" spans="1:16" ht="15.75" customHeight="1" x14ac:dyDescent="0.25">
      <c r="A10" s="1104"/>
      <c r="B10" s="415" t="s">
        <v>558</v>
      </c>
      <c r="C10" s="4256"/>
      <c r="D10" s="1100" t="s">
        <v>106</v>
      </c>
      <c r="E10" s="1696">
        <v>106200539</v>
      </c>
      <c r="F10" s="1707" t="s">
        <v>107</v>
      </c>
      <c r="G10" s="1704">
        <f>$G2</f>
        <v>4</v>
      </c>
      <c r="H10" s="989">
        <f>ROUND(($I$2*G10/4)/2,0)</f>
        <v>50</v>
      </c>
      <c r="I10" s="2021" t="e">
        <f>H10*'Lista global'!#REF!</f>
        <v>#REF!</v>
      </c>
      <c r="J10" s="1743"/>
      <c r="K10" s="1743"/>
      <c r="M10" s="1383"/>
      <c r="P10" s="1383"/>
    </row>
    <row r="11" spans="1:16" ht="27.75" customHeight="1" x14ac:dyDescent="0.25">
      <c r="A11" s="1104" t="s">
        <v>649</v>
      </c>
      <c r="B11" s="2629" t="s">
        <v>2019</v>
      </c>
      <c r="C11" s="4256"/>
      <c r="D11" s="1100" t="s">
        <v>1632</v>
      </c>
      <c r="E11" s="1696">
        <v>106205458</v>
      </c>
      <c r="F11" s="1707" t="s">
        <v>2018</v>
      </c>
      <c r="G11" s="1704">
        <f>$G2</f>
        <v>4</v>
      </c>
      <c r="H11" s="989">
        <f>ROUNDUP(($I$2*G11/4)/10,0)</f>
        <v>10</v>
      </c>
      <c r="I11" s="2021" t="e">
        <f>H11*#REF!</f>
        <v>#REF!</v>
      </c>
      <c r="J11" s="1743"/>
      <c r="K11" s="1743"/>
      <c r="M11" s="1383"/>
      <c r="P11" s="1383"/>
    </row>
    <row r="12" spans="1:16" s="1351" customFormat="1" ht="30" x14ac:dyDescent="0.25">
      <c r="A12" s="1351" t="s">
        <v>649</v>
      </c>
      <c r="B12" s="1376" t="s">
        <v>1049</v>
      </c>
      <c r="C12" s="4256"/>
      <c r="D12" s="370" t="s">
        <v>1067</v>
      </c>
      <c r="E12" s="1377">
        <v>106203799</v>
      </c>
      <c r="F12" s="1708" t="s">
        <v>1068</v>
      </c>
      <c r="G12" s="1716">
        <f>$G2</f>
        <v>4</v>
      </c>
      <c r="H12" s="989">
        <f>ROUNDUP(($I$2*G12/4)/10,0)</f>
        <v>10</v>
      </c>
      <c r="I12" s="2021" t="e">
        <f>H12*#REF!</f>
        <v>#REF!</v>
      </c>
      <c r="J12" s="1778"/>
      <c r="K12" s="1778"/>
    </row>
    <row r="13" spans="1:16" ht="15.75" customHeight="1" x14ac:dyDescent="0.25">
      <c r="A13" s="512"/>
      <c r="B13" s="420" t="s">
        <v>577</v>
      </c>
      <c r="C13" s="4256"/>
      <c r="D13" s="1102" t="s">
        <v>208</v>
      </c>
      <c r="E13" s="1696">
        <v>106105422</v>
      </c>
      <c r="F13" s="1709" t="s">
        <v>209</v>
      </c>
      <c r="G13" s="1705">
        <f>$G2*3</f>
        <v>12</v>
      </c>
      <c r="H13" s="2520">
        <f>3*H37</f>
        <v>36</v>
      </c>
      <c r="I13" s="2021">
        <f>H13*'Lista global'!P60</f>
        <v>2430</v>
      </c>
      <c r="J13" s="1743"/>
      <c r="K13" s="1743"/>
      <c r="M13" s="1383"/>
      <c r="P13" s="1383"/>
    </row>
    <row r="14" spans="1:16" ht="21" customHeight="1" x14ac:dyDescent="0.25">
      <c r="A14" s="512" t="s">
        <v>656</v>
      </c>
      <c r="B14" s="420" t="s">
        <v>579</v>
      </c>
      <c r="C14" s="4256"/>
      <c r="D14" s="1102" t="s">
        <v>134</v>
      </c>
      <c r="E14" s="1779">
        <v>106104397</v>
      </c>
      <c r="F14" s="1709" t="s">
        <v>135</v>
      </c>
      <c r="G14" s="1705">
        <f>$G2</f>
        <v>4</v>
      </c>
      <c r="H14" s="989">
        <f>ROUND(G14*$I$2/4,0)</f>
        <v>100</v>
      </c>
      <c r="I14" s="2021">
        <f>H14*'Lista global'!P49</f>
        <v>6233.7499999999991</v>
      </c>
      <c r="J14" s="1743"/>
      <c r="K14" s="1743"/>
      <c r="M14" s="1383"/>
      <c r="P14" s="1383"/>
    </row>
    <row r="15" spans="1:16" s="176" customFormat="1" ht="15.75" customHeight="1" x14ac:dyDescent="0.2">
      <c r="A15" s="1112" t="s">
        <v>1651</v>
      </c>
      <c r="B15" s="1113" t="s">
        <v>1073</v>
      </c>
      <c r="C15" s="4256"/>
      <c r="D15" s="1114" t="s">
        <v>1069</v>
      </c>
      <c r="E15" s="1780">
        <v>106116005</v>
      </c>
      <c r="F15" s="1710" t="s">
        <v>1071</v>
      </c>
      <c r="G15" s="1717">
        <f>2*$G2</f>
        <v>8</v>
      </c>
      <c r="H15" s="989">
        <f>2*H37</f>
        <v>24</v>
      </c>
      <c r="I15" s="2021">
        <f>H15*'Lista global'!P133</f>
        <v>263.09999999999997</v>
      </c>
      <c r="J15" s="1778"/>
      <c r="K15" s="1778"/>
    </row>
    <row r="16" spans="1:16" s="1115" customFormat="1" ht="15.75" customHeight="1" x14ac:dyDescent="0.25">
      <c r="A16" s="1112" t="s">
        <v>1653</v>
      </c>
      <c r="B16" s="1113" t="s">
        <v>1074</v>
      </c>
      <c r="C16" s="4256"/>
      <c r="D16" s="1781" t="s">
        <v>1070</v>
      </c>
      <c r="E16" s="3558">
        <v>106126857</v>
      </c>
      <c r="F16" s="2724" t="s">
        <v>1896</v>
      </c>
      <c r="G16" s="1718">
        <f>2*$G2</f>
        <v>8</v>
      </c>
      <c r="H16" s="2521">
        <f>2*H37</f>
        <v>24</v>
      </c>
      <c r="I16" s="2295">
        <f>H16*'Lista global'!P103</f>
        <v>5897.0999999999995</v>
      </c>
      <c r="J16" s="1778"/>
      <c r="K16" s="1778"/>
    </row>
    <row r="17" spans="1:16" s="1115" customFormat="1" ht="15.75" customHeight="1" thickBot="1" x14ac:dyDescent="0.3">
      <c r="A17" s="270" t="s">
        <v>647</v>
      </c>
      <c r="B17" s="1116"/>
      <c r="C17" s="4257"/>
      <c r="D17" s="1783" t="s">
        <v>1075</v>
      </c>
      <c r="E17" s="663">
        <v>106204234</v>
      </c>
      <c r="F17" s="1784" t="s">
        <v>1076</v>
      </c>
      <c r="G17" s="1785">
        <v>12</v>
      </c>
      <c r="H17" s="1786" t="s">
        <v>1006</v>
      </c>
      <c r="I17" s="2296" t="e">
        <f>1*#REF!</f>
        <v>#REF!</v>
      </c>
      <c r="J17" s="1778"/>
      <c r="K17" s="1778"/>
      <c r="L17" s="144" t="s">
        <v>1077</v>
      </c>
    </row>
    <row r="18" spans="1:16" ht="15.75" customHeight="1" x14ac:dyDescent="0.25">
      <c r="A18" s="4354" t="s">
        <v>668</v>
      </c>
      <c r="B18" s="415" t="s">
        <v>561</v>
      </c>
      <c r="C18" s="4254" t="s">
        <v>113</v>
      </c>
      <c r="D18" s="1106" t="s">
        <v>114</v>
      </c>
      <c r="E18" s="1107">
        <v>106104180</v>
      </c>
      <c r="F18" s="1711" t="s">
        <v>157</v>
      </c>
      <c r="G18" s="1719">
        <f>$G2</f>
        <v>4</v>
      </c>
      <c r="H18" s="2522">
        <f>ROUNDDOWN(($I$2*G18/4)/10,0)</f>
        <v>10</v>
      </c>
      <c r="I18" s="2297">
        <f>H18*'Lista global'!P33</f>
        <v>13.625</v>
      </c>
      <c r="J18" s="1743"/>
      <c r="K18" s="1743"/>
      <c r="L18" s="1383" t="s">
        <v>1077</v>
      </c>
      <c r="M18" s="1383"/>
      <c r="P18" s="1383"/>
    </row>
    <row r="19" spans="1:16" ht="15.75" customHeight="1" x14ac:dyDescent="0.25">
      <c r="A19" s="4355"/>
      <c r="B19" s="415" t="s">
        <v>562</v>
      </c>
      <c r="C19" s="4254"/>
      <c r="D19" s="1813" t="s">
        <v>117</v>
      </c>
      <c r="E19" s="1814">
        <v>106104133</v>
      </c>
      <c r="F19" s="1712" t="s">
        <v>158</v>
      </c>
      <c r="G19" s="1704">
        <f>$G2*4</f>
        <v>16</v>
      </c>
      <c r="H19" s="1363">
        <f>ROUNDDOWN($I$2/10,0)</f>
        <v>10</v>
      </c>
      <c r="I19" s="2021">
        <f>H19*'Lista global'!P28</f>
        <v>46.625</v>
      </c>
      <c r="J19" s="1743"/>
      <c r="K19" s="1743"/>
      <c r="L19" s="1383" t="s">
        <v>1077</v>
      </c>
      <c r="M19" s="1383"/>
      <c r="P19" s="1383"/>
    </row>
    <row r="20" spans="1:16" ht="15.75" customHeight="1" x14ac:dyDescent="0.25">
      <c r="A20" s="4355"/>
      <c r="B20" s="415" t="s">
        <v>563</v>
      </c>
      <c r="C20" s="4254"/>
      <c r="D20" s="1813" t="s">
        <v>189</v>
      </c>
      <c r="E20" s="1814">
        <v>106106241</v>
      </c>
      <c r="F20" s="1712" t="s">
        <v>190</v>
      </c>
      <c r="G20" s="1720">
        <f>$G2*2</f>
        <v>8</v>
      </c>
      <c r="H20" s="1363">
        <f>ROUNDDOWN($I$2/10,0)</f>
        <v>10</v>
      </c>
      <c r="I20" s="2021">
        <f>H20*'Lista global'!P71</f>
        <v>1.25</v>
      </c>
      <c r="J20" s="1743"/>
      <c r="K20" s="1743"/>
      <c r="L20" s="1383" t="s">
        <v>1077</v>
      </c>
      <c r="M20" s="1383"/>
      <c r="P20" s="1383"/>
    </row>
    <row r="21" spans="1:16" ht="15.75" customHeight="1" x14ac:dyDescent="0.25">
      <c r="A21" s="890" t="s">
        <v>907</v>
      </c>
      <c r="B21" s="415" t="s">
        <v>564</v>
      </c>
      <c r="C21" s="4254"/>
      <c r="D21" s="1813" t="s">
        <v>178</v>
      </c>
      <c r="E21" s="1814">
        <v>106104209</v>
      </c>
      <c r="F21" s="1712" t="s">
        <v>191</v>
      </c>
      <c r="G21" s="1704">
        <f>$G2</f>
        <v>4</v>
      </c>
      <c r="H21" s="1363">
        <f>ROUNDDOWN($I$2/10,0)</f>
        <v>10</v>
      </c>
      <c r="I21" s="2021">
        <f>H21*'Lista global'!P36</f>
        <v>2347.5</v>
      </c>
      <c r="J21" s="1743"/>
      <c r="K21" s="1743"/>
      <c r="L21" s="1383" t="s">
        <v>1077</v>
      </c>
      <c r="M21" s="1383"/>
      <c r="P21" s="1383"/>
    </row>
    <row r="22" spans="1:16" ht="15.75" customHeight="1" x14ac:dyDescent="0.25">
      <c r="A22" s="531"/>
      <c r="B22" s="415" t="s">
        <v>565</v>
      </c>
      <c r="C22" s="4254"/>
      <c r="D22" s="1813" t="s">
        <v>192</v>
      </c>
      <c r="E22" s="1814">
        <v>106104212</v>
      </c>
      <c r="F22" s="1712" t="s">
        <v>193</v>
      </c>
      <c r="G22" s="1704">
        <f>$G2</f>
        <v>4</v>
      </c>
      <c r="H22" s="1363">
        <f>ROUNDDOWN($I$2/10,0)</f>
        <v>10</v>
      </c>
      <c r="I22" s="2021">
        <f>H22*'Lista global'!P38</f>
        <v>2938.625</v>
      </c>
      <c r="J22" s="1743"/>
      <c r="K22" s="1743"/>
      <c r="L22" s="1383" t="s">
        <v>1077</v>
      </c>
      <c r="M22" s="1383"/>
      <c r="P22" s="1383"/>
    </row>
    <row r="23" spans="1:16" ht="15.75" customHeight="1" thickBot="1" x14ac:dyDescent="0.3">
      <c r="A23" s="532"/>
      <c r="B23" s="415" t="s">
        <v>566</v>
      </c>
      <c r="C23" s="4254"/>
      <c r="D23" s="1727" t="s">
        <v>119</v>
      </c>
      <c r="E23" s="1814">
        <v>106112169</v>
      </c>
      <c r="F23" s="1713" t="s">
        <v>120</v>
      </c>
      <c r="G23" s="1720">
        <f>$G2*2</f>
        <v>8</v>
      </c>
      <c r="H23" s="989">
        <f>2*H37</f>
        <v>24</v>
      </c>
      <c r="I23" s="2021">
        <f>H23*'Lista global'!P102</f>
        <v>2228.3999999999996</v>
      </c>
      <c r="J23" s="1743"/>
      <c r="K23" s="1743"/>
      <c r="M23" s="1383"/>
      <c r="P23" s="1383"/>
    </row>
    <row r="24" spans="1:16" ht="15.75" customHeight="1" thickBot="1" x14ac:dyDescent="0.3">
      <c r="A24" s="523"/>
      <c r="B24" s="416" t="s">
        <v>567</v>
      </c>
      <c r="C24" s="4254"/>
      <c r="D24" s="1815" t="s">
        <v>122</v>
      </c>
      <c r="E24" s="165">
        <v>106114701</v>
      </c>
      <c r="F24" s="1714" t="s">
        <v>123</v>
      </c>
      <c r="G24" s="1706">
        <f>$G2</f>
        <v>4</v>
      </c>
      <c r="H24" s="2523">
        <f>ROUND(G24*$I$2/4,0)</f>
        <v>100</v>
      </c>
      <c r="I24" s="2295">
        <f>H24*'Lista global'!P129</f>
        <v>89145</v>
      </c>
      <c r="J24" s="1743"/>
      <c r="K24" s="1743"/>
      <c r="M24" s="1383"/>
      <c r="P24" s="1383"/>
    </row>
    <row r="25" spans="1:16" ht="15.75" customHeight="1" x14ac:dyDescent="0.25">
      <c r="A25" s="415" t="s">
        <v>654</v>
      </c>
      <c r="B25" s="439" t="s">
        <v>568</v>
      </c>
      <c r="C25" s="4255" t="s">
        <v>137</v>
      </c>
      <c r="D25" s="425" t="s">
        <v>138</v>
      </c>
      <c r="E25" s="378">
        <v>106202973</v>
      </c>
      <c r="F25" s="550" t="s">
        <v>142</v>
      </c>
      <c r="G25" s="561">
        <v>1</v>
      </c>
      <c r="H25" s="2524">
        <f>ROUNDDOWN($I$2/10,0)</f>
        <v>10</v>
      </c>
      <c r="I25" s="1730">
        <f>H25*'Lista global'!P171</f>
        <v>2497.25</v>
      </c>
      <c r="J25" s="1743"/>
      <c r="K25" s="1743"/>
      <c r="L25" s="1383" t="s">
        <v>1077</v>
      </c>
      <c r="M25" s="1383"/>
      <c r="P25" s="1383"/>
    </row>
    <row r="26" spans="1:16" ht="15.75" customHeight="1" x14ac:dyDescent="0.25">
      <c r="A26" s="415"/>
      <c r="B26" s="415" t="s">
        <v>570</v>
      </c>
      <c r="C26" s="4256"/>
      <c r="D26" s="1810" t="s">
        <v>144</v>
      </c>
      <c r="E26" s="1696">
        <v>106105850</v>
      </c>
      <c r="F26" s="1707" t="s">
        <v>145</v>
      </c>
      <c r="G26" s="1816">
        <f>IF($G2=4,6,IF($G2=3,5,3))</f>
        <v>6</v>
      </c>
      <c r="H26" s="1023">
        <f>ROUND(G26*$I$2/10,0)</f>
        <v>60</v>
      </c>
      <c r="I26" s="2022"/>
      <c r="J26" s="1743"/>
      <c r="K26" s="1743"/>
      <c r="M26" s="1383"/>
      <c r="P26" s="1383"/>
    </row>
    <row r="27" spans="1:16" ht="15.75" customHeight="1" x14ac:dyDescent="0.25">
      <c r="A27" s="415"/>
      <c r="B27" s="415" t="s">
        <v>571</v>
      </c>
      <c r="C27" s="4256"/>
      <c r="D27" s="1817" t="s">
        <v>196</v>
      </c>
      <c r="E27" s="1696">
        <v>106201346</v>
      </c>
      <c r="F27" s="1731" t="s">
        <v>197</v>
      </c>
      <c r="G27" s="1541">
        <v>1</v>
      </c>
      <c r="H27" s="2525">
        <f>ROUNDUP(I2/4,0)</f>
        <v>25</v>
      </c>
      <c r="I27" s="2022">
        <f>H27*'Lista global'!P152</f>
        <v>29.062500000000004</v>
      </c>
      <c r="J27" s="1743"/>
      <c r="K27" s="1743"/>
      <c r="M27" s="1383"/>
      <c r="P27" s="1383"/>
    </row>
    <row r="28" spans="1:16" ht="15.75" customHeight="1" x14ac:dyDescent="0.25">
      <c r="A28" s="415"/>
      <c r="B28" s="415" t="s">
        <v>572</v>
      </c>
      <c r="C28" s="4256"/>
      <c r="D28" s="1817" t="s">
        <v>198</v>
      </c>
      <c r="E28" s="1696">
        <v>106110895</v>
      </c>
      <c r="F28" s="1707" t="s">
        <v>199</v>
      </c>
      <c r="G28" s="1541">
        <v>1</v>
      </c>
      <c r="H28" s="2525">
        <v>0</v>
      </c>
      <c r="I28" s="2022">
        <f>H28*'Lista global'!P85</f>
        <v>0</v>
      </c>
      <c r="J28" s="1743"/>
      <c r="K28" s="1743"/>
      <c r="M28" s="1383"/>
      <c r="P28" s="1383"/>
    </row>
    <row r="29" spans="1:16" ht="15.75" customHeight="1" x14ac:dyDescent="0.25">
      <c r="A29" s="415"/>
      <c r="B29" s="415" t="s">
        <v>573</v>
      </c>
      <c r="C29" s="4256"/>
      <c r="D29" s="1817" t="s">
        <v>200</v>
      </c>
      <c r="E29" s="1696">
        <v>106110896</v>
      </c>
      <c r="F29" s="1707" t="s">
        <v>201</v>
      </c>
      <c r="G29" s="1541">
        <v>1</v>
      </c>
      <c r="H29" s="2525">
        <v>0</v>
      </c>
      <c r="I29" s="2022">
        <f>H29*'Lista global'!P86</f>
        <v>0</v>
      </c>
      <c r="J29" s="1743"/>
      <c r="K29" s="1743"/>
      <c r="M29" s="1383"/>
      <c r="P29" s="1383"/>
    </row>
    <row r="30" spans="1:16" ht="15.75" customHeight="1" x14ac:dyDescent="0.25">
      <c r="A30" s="415"/>
      <c r="B30" s="415" t="s">
        <v>574</v>
      </c>
      <c r="C30" s="4256"/>
      <c r="D30" s="1817" t="s">
        <v>202</v>
      </c>
      <c r="E30" s="1696">
        <v>106110897</v>
      </c>
      <c r="F30" s="1707" t="s">
        <v>203</v>
      </c>
      <c r="G30" s="1541">
        <f>IF($G2=2,0,1)</f>
        <v>1</v>
      </c>
      <c r="H30" s="2525">
        <v>0</v>
      </c>
      <c r="I30" s="2022">
        <f>H30*'Lista global'!P87</f>
        <v>0</v>
      </c>
      <c r="J30" s="1743"/>
      <c r="K30" s="1743"/>
      <c r="M30" s="1383"/>
      <c r="P30" s="1383"/>
    </row>
    <row r="31" spans="1:16" ht="15.75" customHeight="1" x14ac:dyDescent="0.25">
      <c r="A31" s="415"/>
      <c r="B31" s="415" t="s">
        <v>575</v>
      </c>
      <c r="C31" s="4256"/>
      <c r="D31" s="1817" t="s">
        <v>204</v>
      </c>
      <c r="E31" s="1696">
        <v>106110898</v>
      </c>
      <c r="F31" s="1707" t="s">
        <v>205</v>
      </c>
      <c r="G31" s="1541">
        <f>IF($G2=4,1,0)</f>
        <v>1</v>
      </c>
      <c r="H31" s="2525">
        <f>IF(ROUND($G$2*$I$2/16,0)&gt;1,ROUND($G$2*$I$2/16,0),1)</f>
        <v>25</v>
      </c>
      <c r="I31" s="2022">
        <f>H31*'Lista global'!P88</f>
        <v>406.25</v>
      </c>
      <c r="J31" s="1743"/>
      <c r="K31" s="1743"/>
      <c r="M31" s="1383"/>
      <c r="P31" s="1383"/>
    </row>
    <row r="32" spans="1:16" ht="15.75" customHeight="1" x14ac:dyDescent="0.25">
      <c r="A32" s="415"/>
      <c r="B32" s="415" t="s">
        <v>576</v>
      </c>
      <c r="C32" s="4256"/>
      <c r="D32" s="1817" t="s">
        <v>206</v>
      </c>
      <c r="E32" s="1811">
        <v>106201807</v>
      </c>
      <c r="F32" s="1709" t="s">
        <v>207</v>
      </c>
      <c r="G32" s="1541">
        <v>1</v>
      </c>
      <c r="H32" s="2525">
        <f>ROUND(G32*$I$2/2,0)</f>
        <v>50</v>
      </c>
      <c r="I32" s="2022" t="e">
        <f>H32*'Lista global'!#REF!</f>
        <v>#REF!</v>
      </c>
      <c r="J32" s="1743"/>
      <c r="K32" s="1743"/>
      <c r="M32" s="1383"/>
      <c r="P32" s="1383"/>
    </row>
    <row r="33" spans="1:16" ht="15.75" customHeight="1" x14ac:dyDescent="0.25">
      <c r="A33" s="415"/>
      <c r="B33" s="415" t="s">
        <v>681</v>
      </c>
      <c r="C33" s="4256"/>
      <c r="D33" s="1817" t="s">
        <v>460</v>
      </c>
      <c r="E33" s="1811">
        <v>106202476</v>
      </c>
      <c r="F33" s="1732" t="s">
        <v>461</v>
      </c>
      <c r="G33" s="1541">
        <v>1</v>
      </c>
      <c r="H33" s="2525">
        <f>ROUNDDOWN($I$2/6,0)</f>
        <v>16</v>
      </c>
      <c r="I33" s="2022" t="e">
        <f>H33*'Lista global'!#REF!</f>
        <v>#REF!</v>
      </c>
      <c r="J33" s="1743"/>
      <c r="K33" s="1743"/>
      <c r="M33" s="1383"/>
      <c r="P33" s="1383"/>
    </row>
    <row r="34" spans="1:16" s="411" customFormat="1" ht="13.5" thickBot="1" x14ac:dyDescent="0.25">
      <c r="A34" s="440"/>
      <c r="B34" s="440" t="s">
        <v>584</v>
      </c>
      <c r="C34" s="4256"/>
      <c r="D34" s="411" t="s">
        <v>354</v>
      </c>
      <c r="E34" s="1818">
        <v>106200941</v>
      </c>
      <c r="F34" s="411" t="s">
        <v>353</v>
      </c>
      <c r="G34" s="1819">
        <v>1</v>
      </c>
      <c r="H34" s="2526">
        <v>1</v>
      </c>
      <c r="I34" s="2298" t="e">
        <f>H34*'Lista global'!#REF!</f>
        <v>#REF!</v>
      </c>
      <c r="J34" s="1743"/>
      <c r="K34" s="1743"/>
    </row>
    <row r="35" spans="1:16" s="1776" customFormat="1" ht="15" customHeight="1" x14ac:dyDescent="0.2">
      <c r="A35" s="957"/>
      <c r="B35" s="419" t="s">
        <v>955</v>
      </c>
      <c r="C35" s="4390" t="s">
        <v>11</v>
      </c>
      <c r="D35" s="509"/>
      <c r="E35" s="1820">
        <v>106112878</v>
      </c>
      <c r="F35" s="615" t="s">
        <v>689</v>
      </c>
      <c r="G35" s="622">
        <f>5*$G2</f>
        <v>20</v>
      </c>
      <c r="H35" s="2527">
        <f>5*$H$37</f>
        <v>60</v>
      </c>
      <c r="I35" s="1730">
        <f>H35*'Lista global'!P109</f>
        <v>3905.9999999999995</v>
      </c>
      <c r="J35" s="1743"/>
      <c r="K35" s="1743"/>
    </row>
    <row r="36" spans="1:16" s="1776" customFormat="1" ht="15.75" thickBot="1" x14ac:dyDescent="0.3">
      <c r="A36" s="958"/>
      <c r="B36" s="440" t="s">
        <v>1278</v>
      </c>
      <c r="C36" s="4391"/>
      <c r="D36" s="418"/>
      <c r="E36" s="1782">
        <v>106107580</v>
      </c>
      <c r="F36" s="349" t="s">
        <v>1277</v>
      </c>
      <c r="G36" s="1541">
        <f>3*$G2</f>
        <v>12</v>
      </c>
      <c r="H36" s="2525">
        <f>3*$H$37</f>
        <v>36</v>
      </c>
      <c r="I36" s="2022">
        <f>H36*'Lista global'!P73</f>
        <v>164.70000000000002</v>
      </c>
      <c r="J36" s="1743"/>
      <c r="K36" s="1743"/>
    </row>
    <row r="37" spans="1:16" ht="15.75" customHeight="1" thickBot="1" x14ac:dyDescent="0.3">
      <c r="A37" s="412"/>
      <c r="B37" s="441" t="str">
        <f>IF($H2=$I39,B39,IF($H2=$I40,B40,IF($H2=$I41,B41,IF($H2=$I42,B42,IF($H2=$I43,B43)))))</f>
        <v>Electronic Block  Dig 3Phase 182,5kW</v>
      </c>
      <c r="C37" s="441" t="str">
        <f>IF($H2=$I39,C39,IF($H2=$I40,C40,IF($H2=$I41,C41,IF($H2=$I42,C42,IF($H2=$I43,C43)))))</f>
        <v>-</v>
      </c>
      <c r="D37" s="441" t="str">
        <f>IF($H2=$I39,D39,IF($H2=$I40,D40,IF($H2=$I41,D41,IF($H2=$I42,D42,IF($H2=$I43,D43)))))</f>
        <v>AAV7105</v>
      </c>
      <c r="E37" s="529">
        <f>IF($H2=$I39,E39,IF($H2=$I40,E40,IF($H2=$I41,E41,IF($H2=$I42,E42,IF($H2=$I43,E43)))))</f>
        <v>106204514</v>
      </c>
      <c r="F37" s="441" t="str">
        <f>IF($H2=$I39,F39,IF($H2=$I40,F40,IF($H2=$I41,F41,IF($H2=$I42,F42,IF($H2=$I43,F43)))))</f>
        <v>VARIADOR  DIG INGCONSUN TRIF 182,5kW</v>
      </c>
      <c r="G37" s="564">
        <f>$G2</f>
        <v>4</v>
      </c>
      <c r="H37" s="2528">
        <f>ROUNDUP(I2*G2*3/100,0)</f>
        <v>12</v>
      </c>
      <c r="I37" s="2299">
        <f>H37*(IF($H2=$I39,'Lista global'!#REF!,IF($H2=$I40,'Lista global'!P155,IF($H2=$I41,'Lista global'!P183,IF($H2=$I42,'Lista global'!P185,IF($H2=$I43,'Lista global'!P187,))))))</f>
        <v>590.4</v>
      </c>
      <c r="J37" s="1743"/>
      <c r="K37" s="1743"/>
      <c r="M37" s="1383"/>
      <c r="P37" s="1383"/>
    </row>
    <row r="38" spans="1:16" ht="15.75" thickBot="1" x14ac:dyDescent="0.3">
      <c r="H38" s="2529" t="s">
        <v>941</v>
      </c>
      <c r="I38" s="2300" t="e">
        <f>SUM(I4:I37)</f>
        <v>#REF!</v>
      </c>
      <c r="J38" s="1745"/>
      <c r="K38" s="1745"/>
      <c r="N38" s="410"/>
      <c r="O38" s="410"/>
    </row>
    <row r="39" spans="1:16" ht="15.75" customHeight="1" thickBot="1" x14ac:dyDescent="0.3">
      <c r="A39" s="412"/>
      <c r="B39" s="412" t="s">
        <v>580</v>
      </c>
      <c r="C39" s="380" t="s">
        <v>0</v>
      </c>
      <c r="D39" s="428" t="s">
        <v>187</v>
      </c>
      <c r="E39" s="1821">
        <v>106201457</v>
      </c>
      <c r="F39" s="1689" t="s">
        <v>188</v>
      </c>
      <c r="G39" s="1691">
        <v>1</v>
      </c>
      <c r="H39" s="1351">
        <v>2</v>
      </c>
      <c r="I39" s="1383" t="s">
        <v>542</v>
      </c>
      <c r="M39" s="1383"/>
      <c r="P39" s="1383"/>
    </row>
    <row r="40" spans="1:16" ht="15.75" customHeight="1" thickBot="1" x14ac:dyDescent="0.3">
      <c r="A40" s="412"/>
      <c r="B40" s="412" t="s">
        <v>581</v>
      </c>
      <c r="C40" s="380" t="s">
        <v>0</v>
      </c>
      <c r="D40" s="429" t="s">
        <v>240</v>
      </c>
      <c r="E40" s="1822">
        <v>106202625</v>
      </c>
      <c r="F40" s="1690" t="s">
        <v>241</v>
      </c>
      <c r="G40" s="1692">
        <v>1</v>
      </c>
      <c r="H40" s="2197">
        <v>3</v>
      </c>
      <c r="I40" s="1383" t="s">
        <v>543</v>
      </c>
      <c r="M40" s="1383"/>
      <c r="P40" s="1383"/>
    </row>
    <row r="41" spans="1:16" ht="15.75" customHeight="1" thickBot="1" x14ac:dyDescent="0.3">
      <c r="A41" s="412"/>
      <c r="B41" s="412" t="s">
        <v>1128</v>
      </c>
      <c r="C41" s="380" t="s">
        <v>0</v>
      </c>
      <c r="D41" s="429" t="s">
        <v>1122</v>
      </c>
      <c r="E41" s="1822">
        <v>106204514</v>
      </c>
      <c r="F41" s="1690" t="s">
        <v>1131</v>
      </c>
      <c r="G41" s="1692">
        <v>1</v>
      </c>
      <c r="H41" s="2197">
        <v>4</v>
      </c>
      <c r="I41" s="1383" t="s">
        <v>1137</v>
      </c>
      <c r="M41" s="1383"/>
      <c r="P41" s="1383"/>
    </row>
    <row r="42" spans="1:16" ht="15.75" customHeight="1" thickBot="1" x14ac:dyDescent="0.3">
      <c r="A42" s="412"/>
      <c r="B42" s="412" t="s">
        <v>1129</v>
      </c>
      <c r="C42" s="380" t="s">
        <v>0</v>
      </c>
      <c r="D42" s="429" t="s">
        <v>1124</v>
      </c>
      <c r="E42" s="1822">
        <v>106204516</v>
      </c>
      <c r="F42" s="1690" t="s">
        <v>1132</v>
      </c>
      <c r="G42" s="1692">
        <v>1</v>
      </c>
      <c r="H42" s="1351"/>
      <c r="I42" s="1383" t="s">
        <v>1138</v>
      </c>
      <c r="M42" s="1383"/>
      <c r="P42" s="1383"/>
    </row>
    <row r="43" spans="1:16" ht="15.75" customHeight="1" thickBot="1" x14ac:dyDescent="0.3">
      <c r="A43" s="412"/>
      <c r="B43" s="412" t="s">
        <v>1130</v>
      </c>
      <c r="C43" s="380" t="s">
        <v>0</v>
      </c>
      <c r="D43" s="429" t="s">
        <v>1126</v>
      </c>
      <c r="E43" s="1822">
        <v>106204518</v>
      </c>
      <c r="F43" s="1690" t="s">
        <v>1133</v>
      </c>
      <c r="G43" s="1692">
        <v>1</v>
      </c>
      <c r="H43" s="1351"/>
      <c r="I43" s="1383" t="s">
        <v>1139</v>
      </c>
      <c r="M43" s="1383"/>
      <c r="P43" s="1383"/>
    </row>
    <row r="44" spans="1:16" x14ac:dyDescent="0.25">
      <c r="H44" s="2197"/>
    </row>
    <row r="45" spans="1:16" x14ac:dyDescent="0.25">
      <c r="H45" s="1351"/>
    </row>
    <row r="46" spans="1:16" ht="15.75" thickBot="1" x14ac:dyDescent="0.3">
      <c r="B46" s="556" t="s">
        <v>651</v>
      </c>
      <c r="C46" s="1383" t="s">
        <v>649</v>
      </c>
      <c r="D46" s="526" t="s">
        <v>658</v>
      </c>
      <c r="E46" s="411">
        <v>106110278</v>
      </c>
      <c r="H46" s="1351"/>
    </row>
    <row r="47" spans="1:16" ht="15.75" thickBot="1" x14ac:dyDescent="0.3">
      <c r="B47" s="556" t="s">
        <v>650</v>
      </c>
      <c r="H47" s="1351"/>
    </row>
    <row r="48" spans="1:16" ht="15.75" thickBot="1" x14ac:dyDescent="0.3">
      <c r="H48" s="1351"/>
      <c r="I48" s="1031" t="s">
        <v>1008</v>
      </c>
      <c r="J48" s="1740"/>
      <c r="K48" s="1740"/>
      <c r="M48" s="1383"/>
      <c r="P48" s="1031" t="s">
        <v>1008</v>
      </c>
    </row>
    <row r="49" spans="1:16" ht="18" customHeight="1" thickBot="1" x14ac:dyDescent="0.3">
      <c r="A49" s="413"/>
      <c r="B49" s="1735" t="s">
        <v>1645</v>
      </c>
      <c r="C49" s="1725"/>
      <c r="D49" s="731"/>
      <c r="E49" s="1734"/>
      <c r="F49" s="1734" t="s">
        <v>670</v>
      </c>
      <c r="G49" s="1773">
        <v>3</v>
      </c>
      <c r="H49" s="1117" t="s">
        <v>1065</v>
      </c>
      <c r="I49" s="984">
        <v>4</v>
      </c>
      <c r="J49" s="1741"/>
      <c r="K49" s="1741"/>
      <c r="M49" s="2199" t="s">
        <v>2449</v>
      </c>
      <c r="P49" s="984">
        <v>6</v>
      </c>
    </row>
    <row r="50" spans="1:16" ht="33" customHeight="1" thickBot="1" x14ac:dyDescent="0.3">
      <c r="A50" s="1775"/>
      <c r="B50" s="138" t="s">
        <v>525</v>
      </c>
      <c r="C50" s="4356" t="s">
        <v>526</v>
      </c>
      <c r="D50" s="4357"/>
      <c r="E50" s="262" t="s">
        <v>935</v>
      </c>
      <c r="F50" s="262" t="s">
        <v>525</v>
      </c>
      <c r="G50" s="262" t="s">
        <v>959</v>
      </c>
      <c r="H50" s="2530" t="s">
        <v>1007</v>
      </c>
      <c r="I50" s="132" t="s">
        <v>251</v>
      </c>
      <c r="J50" s="132" t="s">
        <v>1649</v>
      </c>
      <c r="K50" s="1746" t="s">
        <v>1619</v>
      </c>
      <c r="M50" s="1383"/>
      <c r="O50" s="262" t="s">
        <v>1007</v>
      </c>
      <c r="P50" s="132" t="s">
        <v>251</v>
      </c>
    </row>
    <row r="51" spans="1:16" ht="15.75" customHeight="1" thickBot="1" x14ac:dyDescent="0.3">
      <c r="A51" s="414"/>
      <c r="B51" s="608" t="s">
        <v>544</v>
      </c>
      <c r="C51" s="4255" t="s">
        <v>82</v>
      </c>
      <c r="D51" s="528" t="s">
        <v>83</v>
      </c>
      <c r="E51" s="1808">
        <v>106104947</v>
      </c>
      <c r="F51" s="1809" t="s">
        <v>84</v>
      </c>
      <c r="G51" s="551">
        <f>$G72</f>
        <v>5</v>
      </c>
      <c r="H51" s="1016">
        <f>$H$72</f>
        <v>2</v>
      </c>
      <c r="I51" s="1027" t="e">
        <f>$H51*'Lista global'!#REF!</f>
        <v>#REF!</v>
      </c>
      <c r="J51" s="1027" t="e">
        <f>$H51*'Lista global'!#REF!</f>
        <v>#REF!</v>
      </c>
      <c r="K51" s="1747" t="e">
        <f>$H51*'Lista global'!#REF!</f>
        <v>#REF!</v>
      </c>
      <c r="M51" s="1383">
        <v>1</v>
      </c>
      <c r="O51" s="1016">
        <v>7</v>
      </c>
      <c r="P51" s="1027">
        <v>98.816666666666677</v>
      </c>
    </row>
    <row r="52" spans="1:16" ht="15.75" customHeight="1" x14ac:dyDescent="0.25">
      <c r="A52" s="4354" t="s">
        <v>660</v>
      </c>
      <c r="B52" s="609" t="s">
        <v>545</v>
      </c>
      <c r="C52" s="4256"/>
      <c r="D52" s="1100" t="s">
        <v>91</v>
      </c>
      <c r="E52" s="1696">
        <v>106202886</v>
      </c>
      <c r="F52" s="1707" t="s">
        <v>664</v>
      </c>
      <c r="G52" s="1540">
        <f>$G49</f>
        <v>3</v>
      </c>
      <c r="H52" s="1023">
        <f>ROUND(G52*$I$49/8,0)</f>
        <v>2</v>
      </c>
      <c r="I52" s="2012">
        <f>$H52*'Lista global'!P219</f>
        <v>116.89999999999999</v>
      </c>
      <c r="J52" s="2012">
        <f>$H52*'Lista global'!Q219</f>
        <v>98.442105263157899</v>
      </c>
      <c r="K52" s="2014">
        <f>$H52*'Lista global'!M219</f>
        <v>93.52</v>
      </c>
      <c r="M52" s="1383">
        <v>2</v>
      </c>
      <c r="O52" s="1017">
        <v>3</v>
      </c>
      <c r="P52" s="1028">
        <v>424.65000000000003</v>
      </c>
    </row>
    <row r="53" spans="1:16" ht="15.75" customHeight="1" x14ac:dyDescent="0.25">
      <c r="A53" s="4355"/>
      <c r="B53" s="609" t="s">
        <v>546</v>
      </c>
      <c r="C53" s="4256"/>
      <c r="D53" s="1100" t="s">
        <v>93</v>
      </c>
      <c r="E53" s="1696">
        <v>106202884</v>
      </c>
      <c r="F53" s="1707" t="s">
        <v>665</v>
      </c>
      <c r="G53" s="1540">
        <f>$G49</f>
        <v>3</v>
      </c>
      <c r="H53" s="1023">
        <f>ROUND(G53*$I$49/8,0)</f>
        <v>2</v>
      </c>
      <c r="I53" s="2012">
        <f>$H53*'Lista global'!P218</f>
        <v>68.2</v>
      </c>
      <c r="J53" s="2012">
        <f>$H53*'Lista global'!Q218</f>
        <v>57.431578947368429</v>
      </c>
      <c r="K53" s="2014">
        <f>$H53*'Lista global'!M218</f>
        <v>54.56</v>
      </c>
      <c r="M53" s="1383">
        <v>1</v>
      </c>
      <c r="O53" s="1017">
        <v>3</v>
      </c>
      <c r="P53" s="1028">
        <v>182.5</v>
      </c>
    </row>
    <row r="54" spans="1:16" ht="15.75" customHeight="1" x14ac:dyDescent="0.25">
      <c r="A54" s="4355"/>
      <c r="B54" s="609" t="s">
        <v>548</v>
      </c>
      <c r="C54" s="4256"/>
      <c r="D54" s="1823" t="s">
        <v>127</v>
      </c>
      <c r="E54" s="1811">
        <v>106114372</v>
      </c>
      <c r="F54" s="547" t="s">
        <v>666</v>
      </c>
      <c r="G54" s="1541">
        <v>1</v>
      </c>
      <c r="H54" s="1023">
        <f>ROUNDUP(G54*$I$49/8,0)</f>
        <v>1</v>
      </c>
      <c r="I54" s="2012">
        <f>$H54*'Lista global'!P143</f>
        <v>62.337499999999991</v>
      </c>
      <c r="J54" s="2012">
        <f>$H54*'Lista global'!Q143</f>
        <v>52.494736842105262</v>
      </c>
      <c r="K54" s="2014">
        <f>$H54*'Lista global'!M143</f>
        <v>49.87</v>
      </c>
      <c r="M54" s="1383">
        <v>1</v>
      </c>
      <c r="O54" s="1018">
        <v>1</v>
      </c>
      <c r="P54" s="1028">
        <v>67.300000000000011</v>
      </c>
    </row>
    <row r="55" spans="1:16" ht="15.75" customHeight="1" thickBot="1" x14ac:dyDescent="0.3">
      <c r="A55" s="4355"/>
      <c r="B55" s="609" t="s">
        <v>547</v>
      </c>
      <c r="C55" s="4256"/>
      <c r="D55" s="1653" t="s">
        <v>95</v>
      </c>
      <c r="E55" s="165">
        <v>106202883</v>
      </c>
      <c r="F55" s="548" t="s">
        <v>667</v>
      </c>
      <c r="G55" s="1812">
        <f>$G49</f>
        <v>3</v>
      </c>
      <c r="H55" s="1023">
        <f>ROUND(G55*$I$49/8,0)</f>
        <v>2</v>
      </c>
      <c r="I55" s="2013">
        <f>$H55*'Lista global'!P217</f>
        <v>54.949999999999996</v>
      </c>
      <c r="J55" s="2013">
        <f>$H55*'Lista global'!Q217</f>
        <v>46.273684210526319</v>
      </c>
      <c r="K55" s="2015">
        <f>$H55*'Lista global'!M217</f>
        <v>43.96</v>
      </c>
      <c r="M55" s="1383">
        <v>1</v>
      </c>
      <c r="O55" s="1032">
        <v>3</v>
      </c>
      <c r="P55" s="1752">
        <v>149.94999999999999</v>
      </c>
    </row>
    <row r="56" spans="1:16" ht="23.25" customHeight="1" x14ac:dyDescent="0.25">
      <c r="A56" s="530" t="s">
        <v>661</v>
      </c>
      <c r="B56" s="608" t="s">
        <v>523</v>
      </c>
      <c r="C56" s="4256"/>
      <c r="D56" s="159" t="s">
        <v>97</v>
      </c>
      <c r="E56" s="160">
        <v>106113580</v>
      </c>
      <c r="F56" s="549" t="s">
        <v>1479</v>
      </c>
      <c r="G56" s="561">
        <f>$G49</f>
        <v>3</v>
      </c>
      <c r="H56" s="1016">
        <f>ROUNDDOWN(($I$49*G56/4)/10,0)</f>
        <v>0</v>
      </c>
      <c r="I56" s="1027">
        <f>$H56*'Lista global'!P122</f>
        <v>0</v>
      </c>
      <c r="J56" s="1027">
        <f>$H56*'Lista global'!Q122</f>
        <v>0</v>
      </c>
      <c r="K56" s="1747">
        <f>$H56*'Lista global'!M122</f>
        <v>0</v>
      </c>
      <c r="L56" s="1383" t="s">
        <v>1077</v>
      </c>
      <c r="M56" s="1383">
        <v>1</v>
      </c>
      <c r="O56" s="1108">
        <v>1</v>
      </c>
      <c r="P56" s="1027">
        <v>1186.4666666666667</v>
      </c>
    </row>
    <row r="57" spans="1:16" ht="15.75" customHeight="1" x14ac:dyDescent="0.25">
      <c r="A57" s="531"/>
      <c r="B57" s="609" t="s">
        <v>558</v>
      </c>
      <c r="C57" s="4256"/>
      <c r="D57" s="1100" t="s">
        <v>106</v>
      </c>
      <c r="E57" s="1696">
        <v>106200539</v>
      </c>
      <c r="F57" s="1707" t="s">
        <v>107</v>
      </c>
      <c r="G57" s="1540">
        <f>$G49</f>
        <v>3</v>
      </c>
      <c r="H57" s="1023">
        <f>ROUND(($I$49*G57/4)/2,0)</f>
        <v>2</v>
      </c>
      <c r="I57" s="2012">
        <f>$H57*'Lista global'!P178</f>
        <v>66.399999999999991</v>
      </c>
      <c r="J57" s="2012">
        <f>$H57*'Lista global'!Q178</f>
        <v>44.266666666666666</v>
      </c>
      <c r="K57" s="2014">
        <f>$H57*'Lista global'!M178</f>
        <v>26.56</v>
      </c>
      <c r="M57" s="1383">
        <v>1</v>
      </c>
      <c r="O57" s="1017">
        <v>3</v>
      </c>
      <c r="P57" s="1028">
        <v>88.574999999999989</v>
      </c>
    </row>
    <row r="58" spans="1:16" ht="17.25" customHeight="1" x14ac:dyDescent="0.25">
      <c r="A58" s="531" t="s">
        <v>649</v>
      </c>
      <c r="B58" s="2629" t="s">
        <v>2019</v>
      </c>
      <c r="C58" s="4256"/>
      <c r="D58" s="1100" t="s">
        <v>1632</v>
      </c>
      <c r="E58" s="1696">
        <v>106205458</v>
      </c>
      <c r="F58" s="1707" t="s">
        <v>2018</v>
      </c>
      <c r="G58" s="1540">
        <f>$G49</f>
        <v>3</v>
      </c>
      <c r="H58" s="1023">
        <f>ROUNDUP(($I$49*G58/4)/10,0)</f>
        <v>1</v>
      </c>
      <c r="I58" s="2012">
        <f>$H58*'Lista global'!P259</f>
        <v>191.70000000000002</v>
      </c>
      <c r="J58" s="2012">
        <f>$H58*'Lista global'!Q259</f>
        <v>127.80000000000001</v>
      </c>
      <c r="K58" s="2014">
        <f>$H58*'Lista global'!M259</f>
        <v>67.91</v>
      </c>
      <c r="M58" s="1383">
        <v>1</v>
      </c>
      <c r="O58" s="1017">
        <v>1</v>
      </c>
      <c r="P58" s="1028">
        <v>224.02499999999998</v>
      </c>
    </row>
    <row r="59" spans="1:16" ht="30" x14ac:dyDescent="0.25">
      <c r="A59" s="1383" t="s">
        <v>649</v>
      </c>
      <c r="B59" s="386" t="s">
        <v>1049</v>
      </c>
      <c r="C59" s="4256"/>
      <c r="D59" s="351" t="s">
        <v>1055</v>
      </c>
      <c r="E59" s="1101">
        <v>106204289</v>
      </c>
      <c r="F59" s="1824" t="s">
        <v>1056</v>
      </c>
      <c r="G59" s="1540">
        <f>$G49</f>
        <v>3</v>
      </c>
      <c r="H59" s="1023">
        <f>ROUNDUP(($I$49*G59/4)/10,0)</f>
        <v>1</v>
      </c>
      <c r="I59" s="2012">
        <f>$H59*'Lista global'!P232</f>
        <v>52.4</v>
      </c>
      <c r="J59" s="2012">
        <f>$H59*'Lista global'!Q232</f>
        <v>34.933333333333337</v>
      </c>
      <c r="K59" s="2014">
        <f>$H59*'Lista global'!M232</f>
        <v>20.96</v>
      </c>
      <c r="M59" s="1383">
        <v>1</v>
      </c>
      <c r="O59" s="1017">
        <v>1</v>
      </c>
      <c r="P59" s="1028">
        <v>39.824999999999996</v>
      </c>
    </row>
    <row r="60" spans="1:16" ht="15.75" customHeight="1" x14ac:dyDescent="0.25">
      <c r="A60" s="420"/>
      <c r="B60" s="610" t="s">
        <v>577</v>
      </c>
      <c r="C60" s="4256"/>
      <c r="D60" s="1102" t="s">
        <v>208</v>
      </c>
      <c r="E60" s="1696">
        <v>106105422</v>
      </c>
      <c r="F60" s="1709" t="s">
        <v>209</v>
      </c>
      <c r="G60" s="1541">
        <f>$G49*3</f>
        <v>9</v>
      </c>
      <c r="H60" s="2525">
        <f>3*H83</f>
        <v>3</v>
      </c>
      <c r="I60" s="2012">
        <f>$H60*'Lista global'!P65</f>
        <v>4.0875000000000004</v>
      </c>
      <c r="J60" s="2012">
        <f>$H60*'Lista global'!Q65</f>
        <v>3.4421052631578952</v>
      </c>
      <c r="K60" s="2014">
        <f>$H60*'Lista global'!M65</f>
        <v>3.2700000000000005</v>
      </c>
      <c r="M60" s="1383">
        <v>5</v>
      </c>
      <c r="O60" s="1018">
        <v>6</v>
      </c>
      <c r="P60" s="1028">
        <v>4.8000000000000007</v>
      </c>
    </row>
    <row r="61" spans="1:16" ht="21" customHeight="1" x14ac:dyDescent="0.25">
      <c r="A61" s="420" t="s">
        <v>656</v>
      </c>
      <c r="B61" s="610" t="s">
        <v>579</v>
      </c>
      <c r="C61" s="4256"/>
      <c r="D61" s="1102" t="s">
        <v>134</v>
      </c>
      <c r="E61" s="1779">
        <v>106104397</v>
      </c>
      <c r="F61" s="1709" t="s">
        <v>135</v>
      </c>
      <c r="G61" s="1541">
        <f>$G49</f>
        <v>3</v>
      </c>
      <c r="H61" s="1023">
        <f>ROUND(G61*$I$49/4,0)</f>
        <v>3</v>
      </c>
      <c r="I61" s="2012">
        <f>$H61*'Lista global'!P52</f>
        <v>283.27499999999998</v>
      </c>
      <c r="J61" s="2012">
        <f>$H61*'Lista global'!Q52</f>
        <v>238.54736842105268</v>
      </c>
      <c r="K61" s="2014">
        <f>$H61*'Lista global'!M52</f>
        <v>226.62</v>
      </c>
      <c r="M61" s="1383">
        <v>1</v>
      </c>
      <c r="O61" s="1017">
        <v>6</v>
      </c>
      <c r="P61" s="1028">
        <v>954.4</v>
      </c>
    </row>
    <row r="62" spans="1:16" s="176" customFormat="1" ht="15.75" customHeight="1" x14ac:dyDescent="0.2">
      <c r="A62" s="1112" t="s">
        <v>1651</v>
      </c>
      <c r="B62" s="1113" t="s">
        <v>1073</v>
      </c>
      <c r="C62" s="4256"/>
      <c r="D62" s="1114" t="s">
        <v>1069</v>
      </c>
      <c r="E62" s="1825">
        <v>106116005</v>
      </c>
      <c r="F62" s="1826" t="s">
        <v>1071</v>
      </c>
      <c r="G62" s="1541">
        <f>2*$G49</f>
        <v>6</v>
      </c>
      <c r="H62" s="1023">
        <f>2*H83</f>
        <v>2</v>
      </c>
      <c r="I62" s="2016">
        <f>$H62*'Lista global'!P150</f>
        <v>7.7749999999999995</v>
      </c>
      <c r="J62" s="2016">
        <f>$H62*'Lista global'!Q150</f>
        <v>6.5473684210526315</v>
      </c>
      <c r="K62" s="2017">
        <f>$H62*'Lista global'!M150</f>
        <v>6.22</v>
      </c>
      <c r="M62" s="176">
        <v>5</v>
      </c>
      <c r="O62" s="1017">
        <v>4</v>
      </c>
      <c r="P62" s="1028">
        <v>20.733333333333334</v>
      </c>
    </row>
    <row r="63" spans="1:16" s="2257" customFormat="1" ht="15.75" customHeight="1" thickBot="1" x14ac:dyDescent="0.3">
      <c r="A63" s="1112" t="s">
        <v>1653</v>
      </c>
      <c r="B63" s="2253" t="s">
        <v>1074</v>
      </c>
      <c r="C63" s="4257"/>
      <c r="D63" s="2310" t="s">
        <v>1070</v>
      </c>
      <c r="E63" s="3558">
        <v>106126857</v>
      </c>
      <c r="F63" s="2724" t="s">
        <v>1896</v>
      </c>
      <c r="G63" s="2311">
        <f>2*$G49</f>
        <v>6</v>
      </c>
      <c r="H63" s="2531">
        <f>2*H83</f>
        <v>2</v>
      </c>
      <c r="I63" s="1737">
        <f>$H63*'Lista global'!P363</f>
        <v>13.899999999999999</v>
      </c>
      <c r="J63" s="1737">
        <f>$H63*'Lista global'!Q363</f>
        <v>11.705263157894736</v>
      </c>
      <c r="K63" s="2312">
        <f>$H63*'Lista global'!M363</f>
        <v>11.12</v>
      </c>
      <c r="M63" s="2257">
        <v>5</v>
      </c>
      <c r="O63" s="1729">
        <v>4</v>
      </c>
      <c r="P63" s="2269">
        <v>16.266666666666666</v>
      </c>
    </row>
    <row r="64" spans="1:16" ht="15.75" customHeight="1" x14ac:dyDescent="0.25">
      <c r="A64" s="4354" t="s">
        <v>668</v>
      </c>
      <c r="B64" s="415" t="s">
        <v>561</v>
      </c>
      <c r="C64" s="4254" t="s">
        <v>113</v>
      </c>
      <c r="D64" s="535" t="s">
        <v>114</v>
      </c>
      <c r="E64" s="545">
        <v>106104180</v>
      </c>
      <c r="F64" s="546" t="s">
        <v>157</v>
      </c>
      <c r="G64" s="565">
        <f>$G49</f>
        <v>3</v>
      </c>
      <c r="H64" s="1016">
        <f>ROUNDDOWN(($I$49*G64/4)/10,0)</f>
        <v>0</v>
      </c>
      <c r="I64" s="1030">
        <f>$H64*'Lista global'!P37</f>
        <v>0</v>
      </c>
      <c r="J64" s="1030">
        <f>$H64*'Lista global'!Q37</f>
        <v>0</v>
      </c>
      <c r="K64" s="1748">
        <f>$H64*'Lista global'!M37</f>
        <v>0</v>
      </c>
      <c r="L64" s="1383" t="s">
        <v>1077</v>
      </c>
      <c r="M64" s="1383">
        <v>1</v>
      </c>
      <c r="O64" s="1108">
        <v>1</v>
      </c>
      <c r="P64" s="1030">
        <v>606.38333333333333</v>
      </c>
    </row>
    <row r="65" spans="1:16" ht="15.75" customHeight="1" x14ac:dyDescent="0.25">
      <c r="A65" s="4355"/>
      <c r="B65" s="415" t="s">
        <v>562</v>
      </c>
      <c r="C65" s="4254"/>
      <c r="D65" s="1813" t="s">
        <v>117</v>
      </c>
      <c r="E65" s="1814">
        <v>106104133</v>
      </c>
      <c r="F65" s="1827" t="s">
        <v>158</v>
      </c>
      <c r="G65" s="1828">
        <f>$G49*4</f>
        <v>12</v>
      </c>
      <c r="H65" s="1017">
        <f>$H$64</f>
        <v>0</v>
      </c>
      <c r="I65" s="2012">
        <f>$H65*'Lista global'!P32</f>
        <v>0</v>
      </c>
      <c r="J65" s="2012">
        <f>$H65*'Lista global'!Q32</f>
        <v>0</v>
      </c>
      <c r="K65" s="2014">
        <f>$H65*'Lista global'!M32</f>
        <v>0</v>
      </c>
      <c r="L65" s="1383" t="s">
        <v>1077</v>
      </c>
      <c r="M65" s="1383">
        <v>1</v>
      </c>
      <c r="O65" s="1017">
        <v>4</v>
      </c>
      <c r="P65" s="1028">
        <v>38</v>
      </c>
    </row>
    <row r="66" spans="1:16" ht="15.75" customHeight="1" x14ac:dyDescent="0.25">
      <c r="A66" s="4355"/>
      <c r="B66" s="415" t="s">
        <v>563</v>
      </c>
      <c r="C66" s="4254"/>
      <c r="D66" s="1813" t="s">
        <v>189</v>
      </c>
      <c r="E66" s="1814">
        <v>106106241</v>
      </c>
      <c r="F66" s="1827" t="s">
        <v>190</v>
      </c>
      <c r="G66" s="1829">
        <f>$G49*2</f>
        <v>6</v>
      </c>
      <c r="H66" s="1017">
        <f>$H$64</f>
        <v>0</v>
      </c>
      <c r="I66" s="2012">
        <f>$H66*'Lista global'!P76</f>
        <v>0</v>
      </c>
      <c r="J66" s="2012">
        <f>$H66*'Lista global'!Q76</f>
        <v>0</v>
      </c>
      <c r="K66" s="2014">
        <f>$H66*'Lista global'!M76</f>
        <v>0</v>
      </c>
      <c r="L66" s="1383" t="s">
        <v>1077</v>
      </c>
      <c r="M66" s="1383">
        <v>1</v>
      </c>
      <c r="O66" s="1017">
        <v>1</v>
      </c>
      <c r="P66" s="1028">
        <v>7.5</v>
      </c>
    </row>
    <row r="67" spans="1:16" ht="15.75" customHeight="1" x14ac:dyDescent="0.25">
      <c r="A67" s="890" t="s">
        <v>907</v>
      </c>
      <c r="B67" s="415" t="s">
        <v>564</v>
      </c>
      <c r="C67" s="4254"/>
      <c r="D67" s="1813" t="s">
        <v>178</v>
      </c>
      <c r="E67" s="1814">
        <v>106104209</v>
      </c>
      <c r="F67" s="1827" t="s">
        <v>191</v>
      </c>
      <c r="G67" s="1828">
        <f>$G49</f>
        <v>3</v>
      </c>
      <c r="H67" s="1017">
        <f>$H$64</f>
        <v>0</v>
      </c>
      <c r="I67" s="2012">
        <f>$H67*'Lista global'!P40</f>
        <v>0</v>
      </c>
      <c r="J67" s="2012">
        <f>$H67*'Lista global'!Q40</f>
        <v>0</v>
      </c>
      <c r="K67" s="2014">
        <f>$H67*'Lista global'!M40</f>
        <v>0</v>
      </c>
      <c r="L67" s="1383" t="s">
        <v>1077</v>
      </c>
      <c r="M67" s="1383">
        <v>1</v>
      </c>
      <c r="O67" s="1017">
        <v>1</v>
      </c>
      <c r="P67" s="1028">
        <v>11.683333333333334</v>
      </c>
    </row>
    <row r="68" spans="1:16" ht="15.75" customHeight="1" x14ac:dyDescent="0.25">
      <c r="A68" s="531"/>
      <c r="B68" s="415" t="s">
        <v>565</v>
      </c>
      <c r="C68" s="4254"/>
      <c r="D68" s="1813" t="s">
        <v>192</v>
      </c>
      <c r="E68" s="1814">
        <v>106104212</v>
      </c>
      <c r="F68" s="1827" t="s">
        <v>193</v>
      </c>
      <c r="G68" s="1828">
        <f>$G49</f>
        <v>3</v>
      </c>
      <c r="H68" s="1017">
        <f>$H$64</f>
        <v>0</v>
      </c>
      <c r="I68" s="2012">
        <f>$H68*'Lista global'!P42</f>
        <v>0</v>
      </c>
      <c r="J68" s="2012">
        <f>$H68*'Lista global'!Q42</f>
        <v>0</v>
      </c>
      <c r="K68" s="2014">
        <f>$H68*'Lista global'!M42</f>
        <v>0</v>
      </c>
      <c r="L68" s="1383" t="s">
        <v>1077</v>
      </c>
      <c r="M68" s="1383">
        <v>1</v>
      </c>
      <c r="O68" s="1017">
        <v>1</v>
      </c>
      <c r="P68" s="1028">
        <v>24.1</v>
      </c>
    </row>
    <row r="69" spans="1:16" ht="15.75" customHeight="1" thickBot="1" x14ac:dyDescent="0.3">
      <c r="A69" s="532"/>
      <c r="B69" s="415" t="s">
        <v>566</v>
      </c>
      <c r="C69" s="4254"/>
      <c r="D69" s="1727" t="s">
        <v>119</v>
      </c>
      <c r="E69" s="1814">
        <v>106112169</v>
      </c>
      <c r="F69" s="1830" t="s">
        <v>120</v>
      </c>
      <c r="G69" s="1829">
        <f>$G49*2</f>
        <v>6</v>
      </c>
      <c r="H69" s="1017">
        <f>2*H83</f>
        <v>2</v>
      </c>
      <c r="I69" s="2012">
        <f>$H69*'Lista global'!P111</f>
        <v>99.949999999999989</v>
      </c>
      <c r="J69" s="2012">
        <f>$H69*'Lista global'!Q111</f>
        <v>84.168421052631572</v>
      </c>
      <c r="K69" s="2014">
        <f>$H69*'Lista global'!M111</f>
        <v>79.959999999999994</v>
      </c>
      <c r="M69" s="1383">
        <v>2</v>
      </c>
      <c r="O69" s="1017">
        <v>4</v>
      </c>
      <c r="P69" s="1028">
        <v>266.5333333333333</v>
      </c>
    </row>
    <row r="70" spans="1:16" ht="15.75" customHeight="1" thickBot="1" x14ac:dyDescent="0.3">
      <c r="A70" s="523"/>
      <c r="B70" s="416" t="s">
        <v>567</v>
      </c>
      <c r="C70" s="4254"/>
      <c r="D70" s="1815" t="s">
        <v>122</v>
      </c>
      <c r="E70" s="165">
        <v>106114701</v>
      </c>
      <c r="F70" s="1831" t="s">
        <v>123</v>
      </c>
      <c r="G70" s="918">
        <f>$G49</f>
        <v>3</v>
      </c>
      <c r="H70" s="1019">
        <f>ROUND(G70*$I$49/4,0)</f>
        <v>3</v>
      </c>
      <c r="I70" s="1029">
        <f>$H70*'Lista global'!P146</f>
        <v>278.54999999999995</v>
      </c>
      <c r="J70" s="1029">
        <f>$H70*'Lista global'!Q146</f>
        <v>234.56842105263158</v>
      </c>
      <c r="K70" s="1749">
        <f>$H70*'Lista global'!M146</f>
        <v>222.84</v>
      </c>
      <c r="M70" s="1383">
        <v>1</v>
      </c>
      <c r="O70" s="1019">
        <v>6</v>
      </c>
      <c r="P70" s="1752">
        <v>954.4</v>
      </c>
    </row>
    <row r="71" spans="1:16" ht="15.75" customHeight="1" x14ac:dyDescent="0.25">
      <c r="A71" s="415" t="s">
        <v>654</v>
      </c>
      <c r="B71" s="439" t="s">
        <v>568</v>
      </c>
      <c r="C71" s="4255" t="s">
        <v>137</v>
      </c>
      <c r="D71" s="425" t="s">
        <v>138</v>
      </c>
      <c r="E71" s="378">
        <v>106202973</v>
      </c>
      <c r="F71" s="550" t="s">
        <v>142</v>
      </c>
      <c r="G71" s="561">
        <v>1</v>
      </c>
      <c r="H71" s="1108">
        <f>ROUNDDOWN($I$49/10,0)</f>
        <v>0</v>
      </c>
      <c r="I71" s="1030">
        <f>$H71*'Lista global'!P222</f>
        <v>0</v>
      </c>
      <c r="J71" s="1030">
        <f>$H71*'Lista global'!Q222</f>
        <v>0</v>
      </c>
      <c r="K71" s="1748">
        <f>$H71*'Lista global'!M222</f>
        <v>0</v>
      </c>
      <c r="L71" s="1383" t="s">
        <v>1077</v>
      </c>
      <c r="M71" s="1383">
        <v>1</v>
      </c>
      <c r="O71" s="1108">
        <v>1</v>
      </c>
      <c r="P71" s="1027">
        <v>28.216666666666669</v>
      </c>
    </row>
    <row r="72" spans="1:16" ht="15.75" customHeight="1" x14ac:dyDescent="0.25">
      <c r="A72" s="415"/>
      <c r="B72" s="415" t="s">
        <v>570</v>
      </c>
      <c r="C72" s="4256"/>
      <c r="D72" s="1810" t="s">
        <v>144</v>
      </c>
      <c r="E72" s="1696">
        <v>106105850</v>
      </c>
      <c r="F72" s="1707" t="s">
        <v>145</v>
      </c>
      <c r="G72" s="1816">
        <f>IF($G49=4,6,IF($G49=3,5,3))</f>
        <v>5</v>
      </c>
      <c r="H72" s="1023">
        <f>ROUND(G72*$I$49/10,0)</f>
        <v>2</v>
      </c>
      <c r="I72" s="2012"/>
      <c r="J72" s="2012"/>
      <c r="K72" s="2014"/>
      <c r="M72" s="1383">
        <v>1</v>
      </c>
      <c r="O72" s="1023">
        <v>7</v>
      </c>
      <c r="P72" s="1028">
        <v>2363.7833333333338</v>
      </c>
    </row>
    <row r="73" spans="1:16" ht="15.75" customHeight="1" x14ac:dyDescent="0.25">
      <c r="A73" s="415"/>
      <c r="B73" s="415" t="s">
        <v>571</v>
      </c>
      <c r="C73" s="4256"/>
      <c r="D73" s="1817" t="s">
        <v>196</v>
      </c>
      <c r="E73" s="1696">
        <v>106201346</v>
      </c>
      <c r="F73" s="1731" t="s">
        <v>197</v>
      </c>
      <c r="G73" s="1541">
        <v>1</v>
      </c>
      <c r="H73" s="1018">
        <f>ROUNDUP(I49/4,0)</f>
        <v>1</v>
      </c>
      <c r="I73" s="2012">
        <f>$H73*'Lista global'!P199</f>
        <v>73.724999999999994</v>
      </c>
      <c r="J73" s="2012">
        <f>$H73*'Lista global'!Q199</f>
        <v>49.15</v>
      </c>
      <c r="K73" s="2014">
        <f>$H73*'Lista global'!M199</f>
        <v>29.49</v>
      </c>
      <c r="M73" s="1383">
        <v>1</v>
      </c>
      <c r="O73" s="1018">
        <v>2</v>
      </c>
      <c r="P73" s="1028">
        <v>156.35</v>
      </c>
    </row>
    <row r="74" spans="1:16" ht="15.75" customHeight="1" x14ac:dyDescent="0.25">
      <c r="A74" s="415"/>
      <c r="B74" s="415" t="s">
        <v>572</v>
      </c>
      <c r="C74" s="4256"/>
      <c r="D74" s="1817" t="s">
        <v>198</v>
      </c>
      <c r="E74" s="1696">
        <v>106110895</v>
      </c>
      <c r="F74" s="1707" t="s">
        <v>199</v>
      </c>
      <c r="G74" s="1541">
        <v>1</v>
      </c>
      <c r="H74" s="1018">
        <v>0</v>
      </c>
      <c r="I74" s="2012">
        <f>$H74*'Lista global'!P90</f>
        <v>0</v>
      </c>
      <c r="J74" s="2012">
        <f>$H74*'Lista global'!Q90</f>
        <v>0</v>
      </c>
      <c r="K74" s="2014">
        <f>$H74*'Lista global'!M90</f>
        <v>0</v>
      </c>
      <c r="M74" s="1383">
        <v>0</v>
      </c>
      <c r="O74" s="1018">
        <v>0</v>
      </c>
      <c r="P74" s="1028">
        <v>0</v>
      </c>
    </row>
    <row r="75" spans="1:16" ht="15.75" customHeight="1" x14ac:dyDescent="0.25">
      <c r="A75" s="415"/>
      <c r="B75" s="415" t="s">
        <v>573</v>
      </c>
      <c r="C75" s="4256"/>
      <c r="D75" s="1817" t="s">
        <v>200</v>
      </c>
      <c r="E75" s="1696">
        <v>106110896</v>
      </c>
      <c r="F75" s="1707" t="s">
        <v>201</v>
      </c>
      <c r="G75" s="1541">
        <v>1</v>
      </c>
      <c r="H75" s="1018">
        <v>0</v>
      </c>
      <c r="I75" s="2012">
        <f>$H75*'Lista global'!P91</f>
        <v>0</v>
      </c>
      <c r="J75" s="2012">
        <f>$H75*'Lista global'!Q91</f>
        <v>0</v>
      </c>
      <c r="K75" s="2014">
        <f>$H75*'Lista global'!M91</f>
        <v>0</v>
      </c>
      <c r="M75" s="1383">
        <v>0</v>
      </c>
      <c r="O75" s="1018">
        <v>0</v>
      </c>
      <c r="P75" s="1028">
        <v>0</v>
      </c>
    </row>
    <row r="76" spans="1:16" ht="15.75" customHeight="1" x14ac:dyDescent="0.25">
      <c r="A76" s="415"/>
      <c r="B76" s="415" t="s">
        <v>574</v>
      </c>
      <c r="C76" s="4256"/>
      <c r="D76" s="1817" t="s">
        <v>202</v>
      </c>
      <c r="E76" s="1696">
        <v>106110897</v>
      </c>
      <c r="F76" s="1707" t="s">
        <v>203</v>
      </c>
      <c r="G76" s="1541">
        <f>IF($G49=2,0,1)</f>
        <v>1</v>
      </c>
      <c r="H76" s="1018">
        <v>0</v>
      </c>
      <c r="I76" s="2012">
        <f>$H76*'Lista global'!P92</f>
        <v>0</v>
      </c>
      <c r="J76" s="2012">
        <f>$H76*'Lista global'!Q92</f>
        <v>0</v>
      </c>
      <c r="K76" s="2014">
        <f>$H76*'Lista global'!M92</f>
        <v>0</v>
      </c>
      <c r="M76" s="1383">
        <v>0</v>
      </c>
      <c r="O76" s="1018">
        <v>0</v>
      </c>
      <c r="P76" s="1028">
        <v>0</v>
      </c>
    </row>
    <row r="77" spans="1:16" ht="15.75" customHeight="1" x14ac:dyDescent="0.25">
      <c r="A77" s="415"/>
      <c r="B77" s="415" t="s">
        <v>575</v>
      </c>
      <c r="C77" s="4256"/>
      <c r="D77" s="1817" t="s">
        <v>204</v>
      </c>
      <c r="E77" s="1696">
        <v>106110898</v>
      </c>
      <c r="F77" s="1707" t="s">
        <v>205</v>
      </c>
      <c r="G77" s="1541">
        <f>IF($G49=4,1,0)</f>
        <v>0</v>
      </c>
      <c r="H77" s="1018">
        <f>IF(ROUND($G$49*$I$49/16,0)&gt;1,ROUND($G$49*$I$49/16,0),1)</f>
        <v>1</v>
      </c>
      <c r="I77" s="2012">
        <f>$H77*'Lista global'!P93</f>
        <v>23.116666666666667</v>
      </c>
      <c r="J77" s="2012">
        <f>$H77*'Lista global'!Q93</f>
        <v>17.337499999999999</v>
      </c>
      <c r="K77" s="2014">
        <f>$H77*'Lista global'!M93</f>
        <v>13.87</v>
      </c>
      <c r="M77" s="1383">
        <v>1</v>
      </c>
      <c r="O77" s="1018">
        <v>6</v>
      </c>
      <c r="P77" s="1028">
        <v>196.34999999999997</v>
      </c>
    </row>
    <row r="78" spans="1:16" ht="15.75" customHeight="1" x14ac:dyDescent="0.25">
      <c r="A78" s="415"/>
      <c r="B78" s="415" t="s">
        <v>576</v>
      </c>
      <c r="C78" s="4256"/>
      <c r="D78" s="1817" t="s">
        <v>206</v>
      </c>
      <c r="E78" s="1811">
        <v>106201807</v>
      </c>
      <c r="F78" s="1709" t="s">
        <v>207</v>
      </c>
      <c r="G78" s="1541">
        <v>1</v>
      </c>
      <c r="H78" s="1018">
        <f>ROUND(G78*$I$49/2,0)</f>
        <v>2</v>
      </c>
      <c r="I78" s="2012">
        <f>$H78*'Lista global'!P204</f>
        <v>335.3</v>
      </c>
      <c r="J78" s="2012">
        <f>$H78*'Lista global'!Q204</f>
        <v>223.53333333333336</v>
      </c>
      <c r="K78" s="2014">
        <f>$H78*'Lista global'!M204</f>
        <v>134.12</v>
      </c>
      <c r="M78" s="1383">
        <v>1</v>
      </c>
      <c r="O78" s="1018">
        <v>3</v>
      </c>
      <c r="P78" s="1028">
        <v>458.77499999999998</v>
      </c>
    </row>
    <row r="79" spans="1:16" ht="15.75" customHeight="1" x14ac:dyDescent="0.25">
      <c r="A79" s="415"/>
      <c r="B79" s="415" t="s">
        <v>681</v>
      </c>
      <c r="C79" s="4256"/>
      <c r="D79" s="1817" t="s">
        <v>460</v>
      </c>
      <c r="E79" s="1811">
        <v>106202476</v>
      </c>
      <c r="F79" s="1732" t="s">
        <v>461</v>
      </c>
      <c r="G79" s="1541">
        <v>1</v>
      </c>
      <c r="H79" s="1018">
        <f>ROUNDDOWN($I$49/6,0)</f>
        <v>0</v>
      </c>
      <c r="I79" s="2012">
        <f>$H79*'Lista global'!P205</f>
        <v>0</v>
      </c>
      <c r="J79" s="2012">
        <f>$H79*'Lista global'!Q205</f>
        <v>0</v>
      </c>
      <c r="K79" s="2014">
        <f>$H79*'Lista global'!M205</f>
        <v>0</v>
      </c>
      <c r="M79" s="1383">
        <v>1</v>
      </c>
      <c r="O79" s="1018">
        <v>2</v>
      </c>
      <c r="P79" s="1028">
        <v>72.949999999999989</v>
      </c>
    </row>
    <row r="80" spans="1:16" s="411" customFormat="1" ht="13.5" thickBot="1" x14ac:dyDescent="0.25">
      <c r="A80" s="440"/>
      <c r="B80" s="440" t="s">
        <v>584</v>
      </c>
      <c r="C80" s="4256"/>
      <c r="D80" s="411" t="s">
        <v>354</v>
      </c>
      <c r="E80" s="1818">
        <v>106200941</v>
      </c>
      <c r="F80" s="411" t="s">
        <v>353</v>
      </c>
      <c r="G80" s="1819">
        <v>1</v>
      </c>
      <c r="H80" s="1024">
        <v>1</v>
      </c>
      <c r="I80" s="1029">
        <f>$H80*'Lista global'!P198</f>
        <v>56.85</v>
      </c>
      <c r="J80" s="1029">
        <f>$H80*'Lista global'!Q198</f>
        <v>42.637499999999996</v>
      </c>
      <c r="K80" s="1749">
        <f>$H80*'Lista global'!M198</f>
        <v>34.11</v>
      </c>
      <c r="M80" s="411">
        <v>0</v>
      </c>
      <c r="O80" s="1761">
        <v>1</v>
      </c>
      <c r="P80" s="1752">
        <v>49.774999999999999</v>
      </c>
    </row>
    <row r="81" spans="1:16" s="1776" customFormat="1" ht="15" customHeight="1" x14ac:dyDescent="0.2">
      <c r="A81" s="957"/>
      <c r="B81" s="419" t="s">
        <v>955</v>
      </c>
      <c r="C81" s="4390" t="s">
        <v>11</v>
      </c>
      <c r="D81" s="509"/>
      <c r="E81" s="1820">
        <v>106112878</v>
      </c>
      <c r="F81" s="615" t="s">
        <v>689</v>
      </c>
      <c r="G81" s="622">
        <f>5*$G49</f>
        <v>15</v>
      </c>
      <c r="H81" s="1025">
        <f>5*$H$83</f>
        <v>5</v>
      </c>
      <c r="I81" s="1027">
        <f>$H81*'Lista global'!P120</f>
        <v>12.125</v>
      </c>
      <c r="J81" s="1027">
        <f>$H81*'Lista global'!Q120</f>
        <v>10.210526315789474</v>
      </c>
      <c r="K81" s="1747">
        <f>$H81*'Lista global'!M120</f>
        <v>9.6999999999999993</v>
      </c>
      <c r="M81" s="2279">
        <v>5</v>
      </c>
      <c r="O81" s="1552">
        <v>10</v>
      </c>
      <c r="P81" s="1367">
        <v>14.833333333333334</v>
      </c>
    </row>
    <row r="82" spans="1:16" s="1776" customFormat="1" ht="15.75" thickBot="1" x14ac:dyDescent="0.3">
      <c r="A82" s="958"/>
      <c r="B82" s="440" t="s">
        <v>1278</v>
      </c>
      <c r="C82" s="4391"/>
      <c r="D82" s="418"/>
      <c r="E82" s="2313">
        <v>106107580</v>
      </c>
      <c r="F82" s="349" t="s">
        <v>1277</v>
      </c>
      <c r="G82" s="2023">
        <f>3*$G49</f>
        <v>9</v>
      </c>
      <c r="H82" s="2314">
        <f>3*$H$83</f>
        <v>3</v>
      </c>
      <c r="I82" s="2013">
        <f>$H82*'Lista global'!P78</f>
        <v>3.2624999999999997</v>
      </c>
      <c r="J82" s="2013">
        <f>$H82*'Lista global'!Q78</f>
        <v>2.7473684210526317</v>
      </c>
      <c r="K82" s="2015">
        <f>$H82*'Lista global'!M78</f>
        <v>2.61</v>
      </c>
      <c r="M82" s="2279">
        <v>3</v>
      </c>
      <c r="O82" s="1371">
        <v>6</v>
      </c>
      <c r="P82" s="1369">
        <v>6.8999999999999995</v>
      </c>
    </row>
    <row r="83" spans="1:16" ht="15.75" customHeight="1" thickBot="1" x14ac:dyDescent="0.3">
      <c r="A83" s="412"/>
      <c r="B83" s="441" t="str">
        <f>IF($H49=$I85,B85,IF($H49=$I86,B86,IF($H49=$I87,B87,IF($H49=$I88,B88,IF($H49=$I89,B89,IF($H49=$I90,B90,IF($H49=$I91,B91,IF($H49=$I92,B92,IF($H49=$I93,B93,IF($H49=$I94,B94))))))))))</f>
        <v>Electronic Block  Dig 3Phase 156kW MS</v>
      </c>
      <c r="C83" s="441" t="str">
        <f>IF($H49=$I85,C85,IF($H49=$I86,C86,IF($H49=$I87,C87,IF($H49=$I88,C88,IF($H49=$I89,C89,IF($H49=$I90,C90,IF($H49=$I91,C91,IF($H49=$I92,C92,IF($H49=$I93,C93,IF($H49=$I94,C94))))))))))</f>
        <v>MS</v>
      </c>
      <c r="D83" s="441" t="str">
        <f>IF($H49=$I85,D85,IF($H49=$I86,D86,IF($H49=$I87,D87,IF($H49=$I88,D88,IF($H49=$I89,D89,IF($H49=$I90,D90,IF($H49=$I91,D91,IF($H49=$I92,D92,IF($H49=$I93,D93,IF($H49=$I94,D94))))))))))</f>
        <v>AAV7104</v>
      </c>
      <c r="E83" s="2825">
        <f>IF($H49=$I85,E85,IF($H49=$I86,E86,IF($H49=$I87,E87,IF($H49=$I88,E88,IF($H49=$I89,E89,IF($H49=$I90,E90,IF($H49=$I91,E91,IF($H49=$I92,E92,IF($H49=$I93,E93,IF($H49=$I94,E94))))))))))</f>
        <v>106202628</v>
      </c>
      <c r="F83" s="441" t="str">
        <f>IF($H49=$I85,F85,IF($H49=$I86,F86,IF($H49=$I87,F87,IF($H49=$I88,F88,IF($H49=$I89,F89,IF($H49=$I90,F90,IF($H49=$I91,F91,IF($H49=$I92,F92,IF($H49=$I93,F93,IF($H49=$I94,F94))))))))))</f>
        <v>VARIADOR DIG INGCONSUN TRIF 275V MS</v>
      </c>
      <c r="G83" s="564">
        <f>$G49</f>
        <v>3</v>
      </c>
      <c r="H83" s="2315">
        <f>ROUNDUP(I49*G49*3/100,0)</f>
        <v>1</v>
      </c>
      <c r="I83" s="1033">
        <f>$H83*(IF($H49=$I85,'Lista global'!P201,IF($H49=$I86,'Lista global'!P207,IF($H49=$I87,'Lista global'!P233,IF($H49=$I88,'Lista global'!P235,IF($H49=$I89,'Lista global'!P237,IF($H49=$I90,'Lista global'!P97,IF($H49=$I91,'Lista global'!P208,IF($H49=$I92,'Lista global'!P234,IF($H49=$I93,'Lista global'!P236,IF($H49=$I94,'Lista global'!P238)))))))))))</f>
        <v>7712.0560000000005</v>
      </c>
      <c r="J83" s="1033">
        <f>$H83*(IF($H49=$I85,'Lista global'!Q201,IF($H49=$I86,'Lista global'!Q207,IF($H49=$I87,'Lista global'!Q233,IF($H49=$I88,'Lista global'!Q235,IF($H49=$I89,'Lista global'!Q237,IF($H49=$I90,'Lista global'!Q97,IF($H49=$I91,'Lista global'!Q208,IF($H49=$I92,'Lista global'!Q234,IF($H49=$I93,'Lista global'!Q236,IF($H49=$I94,'Lista global'!Q238)))))))))))</f>
        <v>4415.8344999999999</v>
      </c>
      <c r="K83" s="2316">
        <f>$H83*(IF($H49=$I85,'Lista global'!M201,IF($H49=$I86,'Lista global'!M207,IF($H49=$I87,'Lista global'!M233,IF($H49=$I88,'Lista global'!M235,IF($H49=$I89,'Lista global'!M237,IF($H49=$I90,'Lista global'!M97,IF($H49=$I91,'Lista global'!M208,IF($H49=$I92,'Lista global'!M234,IF($H49=$I93,'Lista global'!M236,IF($H49=$I94,'Lista global'!M238)))))))))))</f>
        <v>2089.67</v>
      </c>
      <c r="M83" s="1383">
        <v>1</v>
      </c>
      <c r="O83" s="1372">
        <v>2</v>
      </c>
      <c r="P83" s="1373">
        <v>17737.72</v>
      </c>
    </row>
    <row r="84" spans="1:16" ht="15.75" thickBot="1" x14ac:dyDescent="0.3">
      <c r="H84" s="1310" t="s">
        <v>941</v>
      </c>
      <c r="I84" s="1311" t="e">
        <f>SUM(I51:I83)</f>
        <v>#REF!</v>
      </c>
      <c r="J84" s="1311" t="e">
        <f>SUM(J51:J83)</f>
        <v>#REF!</v>
      </c>
      <c r="K84" s="1311" t="e">
        <f>SUM(K51:K83)</f>
        <v>#REF!</v>
      </c>
      <c r="M84" s="1383"/>
      <c r="O84" s="1516" t="s">
        <v>941</v>
      </c>
      <c r="P84" s="1517">
        <f>SUM(P51:P83)</f>
        <v>26452.561666666668</v>
      </c>
    </row>
    <row r="85" spans="1:16" ht="15.75" customHeight="1" thickBot="1" x14ac:dyDescent="0.3">
      <c r="A85" s="412"/>
      <c r="B85" s="412" t="s">
        <v>580</v>
      </c>
      <c r="C85" s="380" t="s">
        <v>0</v>
      </c>
      <c r="D85" s="428" t="s">
        <v>187</v>
      </c>
      <c r="E85" s="1821">
        <v>106201457</v>
      </c>
      <c r="F85" s="1689" t="s">
        <v>2562</v>
      </c>
      <c r="G85" s="1691">
        <v>1</v>
      </c>
      <c r="H85" s="1383">
        <v>2</v>
      </c>
      <c r="I85" s="1383" t="s">
        <v>542</v>
      </c>
      <c r="M85" s="1383"/>
      <c r="P85" s="1383"/>
    </row>
    <row r="86" spans="1:16" ht="15.75" customHeight="1" thickBot="1" x14ac:dyDescent="0.3">
      <c r="A86" s="412"/>
      <c r="B86" s="412" t="s">
        <v>581</v>
      </c>
      <c r="C86" s="380" t="s">
        <v>0</v>
      </c>
      <c r="D86" s="429" t="s">
        <v>240</v>
      </c>
      <c r="E86" s="1822">
        <v>106202625</v>
      </c>
      <c r="F86" s="1690" t="s">
        <v>2564</v>
      </c>
      <c r="G86" s="1692">
        <v>1</v>
      </c>
      <c r="H86" s="48">
        <v>3</v>
      </c>
      <c r="I86" s="1383" t="s">
        <v>543</v>
      </c>
      <c r="M86" s="1383"/>
      <c r="P86" s="1383"/>
    </row>
    <row r="87" spans="1:16" ht="15.75" customHeight="1" thickBot="1" x14ac:dyDescent="0.3">
      <c r="A87" s="412"/>
      <c r="B87" s="412" t="s">
        <v>1128</v>
      </c>
      <c r="C87" s="380" t="s">
        <v>0</v>
      </c>
      <c r="D87" s="429" t="s">
        <v>1122</v>
      </c>
      <c r="E87" s="1822">
        <v>106204514</v>
      </c>
      <c r="F87" s="1690" t="s">
        <v>2566</v>
      </c>
      <c r="G87" s="1692">
        <v>1</v>
      </c>
      <c r="H87" s="48">
        <v>4</v>
      </c>
      <c r="I87" s="1383" t="s">
        <v>1137</v>
      </c>
      <c r="M87" s="1383"/>
      <c r="P87" s="1383"/>
    </row>
    <row r="88" spans="1:16" ht="15.75" customHeight="1" thickBot="1" x14ac:dyDescent="0.3">
      <c r="A88" s="412"/>
      <c r="B88" s="412" t="s">
        <v>1129</v>
      </c>
      <c r="C88" s="380" t="s">
        <v>0</v>
      </c>
      <c r="D88" s="429" t="s">
        <v>1124</v>
      </c>
      <c r="E88" s="1822">
        <v>106204516</v>
      </c>
      <c r="F88" s="1690" t="s">
        <v>2568</v>
      </c>
      <c r="G88" s="1692">
        <v>1</v>
      </c>
      <c r="I88" s="1383" t="s">
        <v>1138</v>
      </c>
      <c r="M88" s="1383"/>
      <c r="P88" s="1383"/>
    </row>
    <row r="89" spans="1:16" ht="15.75" customHeight="1" thickBot="1" x14ac:dyDescent="0.3">
      <c r="A89" s="412"/>
      <c r="B89" s="412" t="s">
        <v>1130</v>
      </c>
      <c r="C89" s="380" t="s">
        <v>0</v>
      </c>
      <c r="D89" s="429" t="s">
        <v>1126</v>
      </c>
      <c r="E89" s="1822">
        <v>106204518</v>
      </c>
      <c r="F89" s="1690" t="s">
        <v>2570</v>
      </c>
      <c r="G89" s="1692">
        <v>1</v>
      </c>
      <c r="I89" s="1383" t="s">
        <v>1139</v>
      </c>
      <c r="M89" s="1383"/>
      <c r="P89" s="1383"/>
    </row>
    <row r="90" spans="1:16" ht="15.75" thickBot="1" x14ac:dyDescent="0.3">
      <c r="A90" s="412"/>
      <c r="B90" s="412" t="s">
        <v>582</v>
      </c>
      <c r="C90" s="97" t="s">
        <v>255</v>
      </c>
      <c r="D90" s="429" t="s">
        <v>440</v>
      </c>
      <c r="E90" s="1832">
        <v>106111457</v>
      </c>
      <c r="F90" s="1690" t="s">
        <v>2563</v>
      </c>
      <c r="G90" s="1692">
        <v>1</v>
      </c>
      <c r="I90" s="1383" t="s">
        <v>1064</v>
      </c>
      <c r="M90" s="1383"/>
      <c r="P90" s="1383"/>
    </row>
    <row r="91" spans="1:16" ht="15.75" thickBot="1" x14ac:dyDescent="0.3">
      <c r="A91" s="412"/>
      <c r="B91" s="412" t="s">
        <v>583</v>
      </c>
      <c r="C91" s="97" t="s">
        <v>255</v>
      </c>
      <c r="D91" s="429" t="s">
        <v>239</v>
      </c>
      <c r="E91" s="1832">
        <v>106202628</v>
      </c>
      <c r="F91" s="1690" t="s">
        <v>2565</v>
      </c>
      <c r="G91" s="1692">
        <v>1</v>
      </c>
      <c r="I91" s="1383" t="s">
        <v>1065</v>
      </c>
      <c r="M91" s="1383"/>
      <c r="P91" s="1383"/>
    </row>
    <row r="92" spans="1:16" ht="15.75" customHeight="1" thickBot="1" x14ac:dyDescent="0.3">
      <c r="A92" s="412"/>
      <c r="B92" s="412" t="s">
        <v>1134</v>
      </c>
      <c r="C92" s="97" t="s">
        <v>255</v>
      </c>
      <c r="D92" s="429" t="s">
        <v>1123</v>
      </c>
      <c r="E92" s="1832">
        <v>106204515</v>
      </c>
      <c r="F92" s="1690" t="s">
        <v>2567</v>
      </c>
      <c r="G92" s="1692">
        <v>1</v>
      </c>
      <c r="I92" s="1383" t="s">
        <v>1140</v>
      </c>
      <c r="M92" s="1383"/>
      <c r="P92" s="1383"/>
    </row>
    <row r="93" spans="1:16" ht="15.75" customHeight="1" thickBot="1" x14ac:dyDescent="0.3">
      <c r="A93" s="412"/>
      <c r="B93" s="412" t="s">
        <v>1135</v>
      </c>
      <c r="C93" s="97" t="s">
        <v>255</v>
      </c>
      <c r="D93" s="429" t="s">
        <v>1125</v>
      </c>
      <c r="E93" s="1832">
        <v>106204517</v>
      </c>
      <c r="F93" s="1690" t="s">
        <v>2569</v>
      </c>
      <c r="G93" s="1692">
        <v>1</v>
      </c>
      <c r="I93" s="1383" t="s">
        <v>1141</v>
      </c>
      <c r="M93" s="1383"/>
      <c r="P93" s="1383"/>
    </row>
    <row r="94" spans="1:16" ht="15.75" customHeight="1" thickBot="1" x14ac:dyDescent="0.3">
      <c r="A94" s="412"/>
      <c r="B94" s="412" t="s">
        <v>1136</v>
      </c>
      <c r="C94" s="97" t="s">
        <v>255</v>
      </c>
      <c r="D94" s="429" t="s">
        <v>1127</v>
      </c>
      <c r="E94" s="1832">
        <v>106204519</v>
      </c>
      <c r="F94" s="1690" t="s">
        <v>2571</v>
      </c>
      <c r="G94" s="1692">
        <v>1</v>
      </c>
      <c r="I94" s="1383" t="s">
        <v>1142</v>
      </c>
      <c r="M94" s="1383"/>
      <c r="P94" s="1383"/>
    </row>
    <row r="95" spans="1:16" ht="15.75" thickBot="1" x14ac:dyDescent="0.3"/>
    <row r="96" spans="1:16" ht="15.75" thickBot="1" x14ac:dyDescent="0.3">
      <c r="B96" s="2628" t="s">
        <v>2596</v>
      </c>
      <c r="C96" s="2513" t="s">
        <v>0</v>
      </c>
      <c r="D96" s="1507" t="s">
        <v>2498</v>
      </c>
      <c r="E96" s="2549">
        <v>106205976</v>
      </c>
      <c r="F96" s="2514" t="s">
        <v>2499</v>
      </c>
      <c r="I96" s="1529">
        <v>9495.01</v>
      </c>
    </row>
    <row r="97" spans="1:16" ht="15.75" thickBot="1" x14ac:dyDescent="0.3">
      <c r="B97" s="556" t="s">
        <v>651</v>
      </c>
      <c r="C97" s="1383" t="s">
        <v>649</v>
      </c>
      <c r="D97" s="526" t="s">
        <v>658</v>
      </c>
      <c r="E97" s="411">
        <v>106110278</v>
      </c>
    </row>
    <row r="98" spans="1:16" x14ac:dyDescent="0.25">
      <c r="B98" s="556" t="s">
        <v>650</v>
      </c>
    </row>
    <row r="99" spans="1:16" ht="15.75" thickBot="1" x14ac:dyDescent="0.3">
      <c r="B99" s="556"/>
    </row>
    <row r="100" spans="1:16" ht="15.75" thickBot="1" x14ac:dyDescent="0.3">
      <c r="I100" s="1031" t="s">
        <v>1008</v>
      </c>
      <c r="J100" s="1740"/>
      <c r="K100" s="1740"/>
      <c r="M100" s="1383"/>
      <c r="P100" s="1383"/>
    </row>
    <row r="101" spans="1:16" ht="18" customHeight="1" thickBot="1" x14ac:dyDescent="0.3">
      <c r="A101" s="413"/>
      <c r="B101" s="413"/>
      <c r="C101" s="24"/>
      <c r="D101" s="24"/>
      <c r="E101" s="4201" t="s">
        <v>671</v>
      </c>
      <c r="F101" s="4202"/>
      <c r="G101" s="1773">
        <v>4</v>
      </c>
      <c r="H101" s="1774" t="s">
        <v>552</v>
      </c>
      <c r="I101" s="984">
        <v>5</v>
      </c>
      <c r="J101" s="1741"/>
      <c r="K101" s="1741"/>
      <c r="M101" s="1383"/>
      <c r="P101" s="984">
        <v>2</v>
      </c>
    </row>
    <row r="102" spans="1:16" ht="33" customHeight="1" thickBot="1" x14ac:dyDescent="0.3">
      <c r="A102" s="1775"/>
      <c r="B102" s="138" t="s">
        <v>525</v>
      </c>
      <c r="C102" s="4356" t="s">
        <v>526</v>
      </c>
      <c r="D102" s="4357"/>
      <c r="E102" s="262" t="s">
        <v>935</v>
      </c>
      <c r="F102" s="262" t="s">
        <v>525</v>
      </c>
      <c r="G102" s="262" t="s">
        <v>959</v>
      </c>
      <c r="H102" s="262" t="s">
        <v>1007</v>
      </c>
      <c r="I102" s="132" t="s">
        <v>251</v>
      </c>
      <c r="J102" s="1742"/>
      <c r="K102" s="1742"/>
      <c r="M102" s="1383"/>
      <c r="O102" s="262" t="s">
        <v>1007</v>
      </c>
      <c r="P102" s="132" t="s">
        <v>251</v>
      </c>
    </row>
    <row r="103" spans="1:16" ht="15.75" customHeight="1" thickBot="1" x14ac:dyDescent="0.3">
      <c r="A103" s="414"/>
      <c r="B103" s="414" t="s">
        <v>544</v>
      </c>
      <c r="C103" s="4258" t="s">
        <v>82</v>
      </c>
      <c r="D103" s="159" t="s">
        <v>83</v>
      </c>
      <c r="E103" s="1699">
        <v>106104947</v>
      </c>
      <c r="F103" s="1701" t="s">
        <v>84</v>
      </c>
      <c r="G103" s="1703">
        <f>$G128</f>
        <v>6</v>
      </c>
      <c r="H103" s="1693">
        <f>$H$128</f>
        <v>3</v>
      </c>
      <c r="I103" s="2294"/>
      <c r="J103" s="1743"/>
      <c r="K103" s="1743"/>
      <c r="M103" s="1383"/>
      <c r="O103" s="985">
        <v>2</v>
      </c>
      <c r="P103" s="1111">
        <v>28.233333333333338</v>
      </c>
    </row>
    <row r="104" spans="1:16" ht="15.75" customHeight="1" x14ac:dyDescent="0.25">
      <c r="A104" s="4354" t="s">
        <v>652</v>
      </c>
      <c r="B104" s="415" t="s">
        <v>1058</v>
      </c>
      <c r="C104" s="4254"/>
      <c r="D104" s="1100" t="s">
        <v>89</v>
      </c>
      <c r="E104" s="1697">
        <v>106104093</v>
      </c>
      <c r="F104" s="1833" t="s">
        <v>1057</v>
      </c>
      <c r="G104" s="1704">
        <f>$G101</f>
        <v>4</v>
      </c>
      <c r="H104" s="1694">
        <f>$H$105+$H$106+$H$107+$H$108</f>
        <v>10</v>
      </c>
      <c r="I104" s="2021">
        <f>H104*'Lista global'!P13</f>
        <v>610.75</v>
      </c>
      <c r="J104" s="1743"/>
      <c r="K104" s="1743"/>
      <c r="M104" s="1383"/>
      <c r="O104" s="986">
        <v>4</v>
      </c>
      <c r="P104" s="1109">
        <v>23.2</v>
      </c>
    </row>
    <row r="105" spans="1:16" ht="15.75" customHeight="1" x14ac:dyDescent="0.25">
      <c r="A105" s="4355"/>
      <c r="B105" s="415" t="s">
        <v>545</v>
      </c>
      <c r="C105" s="4254"/>
      <c r="D105" s="1100" t="s">
        <v>91</v>
      </c>
      <c r="E105" s="1697">
        <v>106104223</v>
      </c>
      <c r="F105" s="1833" t="s">
        <v>92</v>
      </c>
      <c r="G105" s="1704">
        <f>$G101</f>
        <v>4</v>
      </c>
      <c r="H105" s="1694">
        <f>ROUND(G105*$I$101/8,0)</f>
        <v>3</v>
      </c>
      <c r="I105" s="2021">
        <f>H105*'Lista global'!P44</f>
        <v>146.28749999999999</v>
      </c>
      <c r="J105" s="1743"/>
      <c r="K105" s="1743"/>
      <c r="M105" s="1383"/>
      <c r="O105" s="986">
        <v>1</v>
      </c>
      <c r="P105" s="1109">
        <v>144.4</v>
      </c>
    </row>
    <row r="106" spans="1:16" ht="15.75" customHeight="1" x14ac:dyDescent="0.25">
      <c r="A106" s="4355"/>
      <c r="B106" s="415" t="s">
        <v>546</v>
      </c>
      <c r="C106" s="4254"/>
      <c r="D106" s="1100" t="s">
        <v>93</v>
      </c>
      <c r="E106" s="1697">
        <v>106104221</v>
      </c>
      <c r="F106" s="1833" t="s">
        <v>151</v>
      </c>
      <c r="G106" s="1704">
        <f>$G101</f>
        <v>4</v>
      </c>
      <c r="H106" s="1694">
        <f>ROUND(G106*$I$101/8,0)</f>
        <v>3</v>
      </c>
      <c r="I106" s="2021">
        <f>H106*'Lista global'!P43</f>
        <v>25.237499999999997</v>
      </c>
      <c r="J106" s="1743"/>
      <c r="K106" s="1743"/>
      <c r="M106" s="1383"/>
      <c r="O106" s="986">
        <v>1</v>
      </c>
      <c r="P106" s="1109">
        <v>62.06666666666667</v>
      </c>
    </row>
    <row r="107" spans="1:16" ht="15.75" customHeight="1" x14ac:dyDescent="0.25">
      <c r="A107" s="4355"/>
      <c r="B107" s="415" t="s">
        <v>548</v>
      </c>
      <c r="C107" s="4254"/>
      <c r="D107" s="1102" t="s">
        <v>127</v>
      </c>
      <c r="E107" s="1697">
        <v>106104229</v>
      </c>
      <c r="F107" s="1834" t="s">
        <v>94</v>
      </c>
      <c r="G107" s="1705">
        <v>1</v>
      </c>
      <c r="H107" s="1694">
        <f>ROUNDUP(G107*$I$101/8,0)</f>
        <v>1</v>
      </c>
      <c r="I107" s="2021">
        <f>H107*'Lista global'!P45</f>
        <v>22.212499999999999</v>
      </c>
      <c r="J107" s="1743"/>
      <c r="K107" s="1743"/>
      <c r="M107" s="1383"/>
      <c r="O107" s="987">
        <v>1</v>
      </c>
      <c r="P107" s="1109">
        <v>67.300000000000011</v>
      </c>
    </row>
    <row r="108" spans="1:16" ht="15.75" customHeight="1" thickBot="1" x14ac:dyDescent="0.3">
      <c r="A108" s="4367"/>
      <c r="B108" s="415" t="s">
        <v>547</v>
      </c>
      <c r="C108" s="4254"/>
      <c r="D108" s="1653" t="s">
        <v>95</v>
      </c>
      <c r="E108" s="1700">
        <v>106104219</v>
      </c>
      <c r="F108" s="1702" t="s">
        <v>96</v>
      </c>
      <c r="G108" s="1706">
        <f>$G101</f>
        <v>4</v>
      </c>
      <c r="H108" s="1695">
        <f>ROUND(G108*$I$101/8,0)</f>
        <v>3</v>
      </c>
      <c r="I108" s="2296">
        <f>H108*'Lista global'!P42</f>
        <v>54.187499999999986</v>
      </c>
      <c r="J108" s="1743"/>
      <c r="K108" s="1743"/>
      <c r="M108" s="1383"/>
      <c r="O108" s="988">
        <v>1</v>
      </c>
      <c r="P108" s="1110">
        <v>46.783333333333339</v>
      </c>
    </row>
    <row r="109" spans="1:16" ht="15.75" customHeight="1" x14ac:dyDescent="0.25">
      <c r="A109" s="4354" t="s">
        <v>653</v>
      </c>
      <c r="B109" s="414" t="s">
        <v>523</v>
      </c>
      <c r="C109" s="4256"/>
      <c r="D109" s="522" t="s">
        <v>97</v>
      </c>
      <c r="E109" s="995">
        <v>106104119</v>
      </c>
      <c r="F109" s="1004" t="s">
        <v>152</v>
      </c>
      <c r="G109" s="565">
        <f>$G101</f>
        <v>4</v>
      </c>
      <c r="H109" s="2532">
        <f>ROUNDDOWN(($I$101*G109/4)/10,0)</f>
        <v>0</v>
      </c>
      <c r="I109" s="1730">
        <f>H109*'Lista global'!P22</f>
        <v>0</v>
      </c>
      <c r="J109" s="1743"/>
      <c r="K109" s="1743"/>
      <c r="L109" s="1383" t="s">
        <v>1077</v>
      </c>
      <c r="M109" s="1383"/>
      <c r="O109" s="1266" t="s">
        <v>1006</v>
      </c>
      <c r="P109" s="1027">
        <v>1013.2666666666668</v>
      </c>
    </row>
    <row r="110" spans="1:16" ht="15.75" customHeight="1" x14ac:dyDescent="0.25">
      <c r="A110" s="4355"/>
      <c r="B110" s="415" t="s">
        <v>549</v>
      </c>
      <c r="C110" s="4256"/>
      <c r="D110" s="1100" t="s">
        <v>100</v>
      </c>
      <c r="E110" s="1835">
        <v>106104084</v>
      </c>
      <c r="F110" s="1005" t="s">
        <v>153</v>
      </c>
      <c r="G110" s="1828">
        <f>$G101</f>
        <v>4</v>
      </c>
      <c r="H110" s="989">
        <f>H109</f>
        <v>0</v>
      </c>
      <c r="I110" s="2022">
        <f>H110*'Lista global'!P9</f>
        <v>0</v>
      </c>
      <c r="J110" s="1743"/>
      <c r="K110" s="1743"/>
      <c r="L110" s="1383" t="s">
        <v>1077</v>
      </c>
      <c r="M110" s="1383"/>
      <c r="O110" s="986" t="s">
        <v>1006</v>
      </c>
      <c r="P110" s="1028">
        <v>161.30000000000001</v>
      </c>
    </row>
    <row r="111" spans="1:16" ht="15.75" customHeight="1" x14ac:dyDescent="0.25">
      <c r="A111" s="4355"/>
      <c r="B111" s="415" t="s">
        <v>522</v>
      </c>
      <c r="C111" s="4256"/>
      <c r="D111" s="1100" t="s">
        <v>102</v>
      </c>
      <c r="E111" s="1835">
        <v>106104126</v>
      </c>
      <c r="F111" s="1005" t="s">
        <v>154</v>
      </c>
      <c r="G111" s="1828">
        <f>$G101</f>
        <v>4</v>
      </c>
      <c r="H111" s="989">
        <f>H109</f>
        <v>0</v>
      </c>
      <c r="I111" s="2022">
        <f>H111*'Lista global'!P23</f>
        <v>0</v>
      </c>
      <c r="J111" s="1743"/>
      <c r="K111" s="1743"/>
      <c r="L111" s="1383" t="s">
        <v>1077</v>
      </c>
      <c r="M111" s="1383"/>
      <c r="O111" s="986" t="s">
        <v>1006</v>
      </c>
      <c r="P111" s="1028">
        <v>32.266666666666666</v>
      </c>
    </row>
    <row r="112" spans="1:16" ht="15.75" customHeight="1" thickBot="1" x14ac:dyDescent="0.3">
      <c r="A112" s="4367"/>
      <c r="B112" s="523" t="s">
        <v>557</v>
      </c>
      <c r="C112" s="4256"/>
      <c r="D112" s="1836" t="s">
        <v>104</v>
      </c>
      <c r="E112" s="1837">
        <v>106104094</v>
      </c>
      <c r="F112" s="1838" t="s">
        <v>155</v>
      </c>
      <c r="G112" s="918">
        <f>$G101</f>
        <v>4</v>
      </c>
      <c r="H112" s="2523">
        <f>H109</f>
        <v>0</v>
      </c>
      <c r="I112" s="2298">
        <f>H112*'Lista global'!P14</f>
        <v>0</v>
      </c>
      <c r="J112" s="1743"/>
      <c r="K112" s="1743"/>
      <c r="L112" s="1383" t="s">
        <v>1077</v>
      </c>
      <c r="M112" s="1383"/>
      <c r="O112" s="988" t="s">
        <v>1006</v>
      </c>
      <c r="P112" s="1029">
        <v>4.2333333333333334</v>
      </c>
    </row>
    <row r="113" spans="1:16" ht="15.75" customHeight="1" x14ac:dyDescent="0.25">
      <c r="A113" s="415"/>
      <c r="B113" s="415" t="s">
        <v>558</v>
      </c>
      <c r="C113" s="4256"/>
      <c r="D113" s="159" t="s">
        <v>106</v>
      </c>
      <c r="E113" s="994">
        <v>106200539</v>
      </c>
      <c r="F113" s="1001" t="s">
        <v>107</v>
      </c>
      <c r="G113" s="566">
        <f>$G101</f>
        <v>4</v>
      </c>
      <c r="H113" s="2524">
        <f>ROUND(($I$101*G113/4)/2,0)</f>
        <v>3</v>
      </c>
      <c r="I113" s="2301" t="e">
        <f>H113*'Lista global'!#REF!</f>
        <v>#REF!</v>
      </c>
      <c r="J113" s="1743"/>
      <c r="K113" s="1743"/>
      <c r="M113" s="1383"/>
      <c r="O113" s="1022">
        <v>1</v>
      </c>
      <c r="P113" s="1030">
        <v>19.350000000000001</v>
      </c>
    </row>
    <row r="114" spans="1:16" ht="15.75" customHeight="1" x14ac:dyDescent="0.25">
      <c r="A114" s="415"/>
      <c r="B114" s="415" t="s">
        <v>559</v>
      </c>
      <c r="C114" s="4256"/>
      <c r="D114" s="1100" t="s">
        <v>108</v>
      </c>
      <c r="E114" s="1835">
        <v>106104330</v>
      </c>
      <c r="F114" s="1002" t="s">
        <v>156</v>
      </c>
      <c r="G114" s="1828">
        <f>$G101</f>
        <v>4</v>
      </c>
      <c r="H114" s="1023">
        <f>ROUNDUP(($I$101*G114/4)/10,0)</f>
        <v>1</v>
      </c>
      <c r="I114" s="2022">
        <f>H114*'Lista global'!P48</f>
        <v>56.199999999999996</v>
      </c>
      <c r="J114" s="1743"/>
      <c r="K114" s="1743"/>
      <c r="M114" s="1383"/>
      <c r="O114" s="1017">
        <v>1</v>
      </c>
      <c r="P114" s="1028">
        <v>244.85</v>
      </c>
    </row>
    <row r="115" spans="1:16" ht="15.75" customHeight="1" x14ac:dyDescent="0.25">
      <c r="A115" s="420"/>
      <c r="B115" s="610" t="s">
        <v>577</v>
      </c>
      <c r="C115" s="4256"/>
      <c r="D115" s="1102" t="s">
        <v>208</v>
      </c>
      <c r="E115" s="1835">
        <v>106105422</v>
      </c>
      <c r="F115" s="1012" t="s">
        <v>209</v>
      </c>
      <c r="G115" s="1541">
        <f>$G101*3</f>
        <v>12</v>
      </c>
      <c r="H115" s="2525">
        <f>3*H140</f>
        <v>3</v>
      </c>
      <c r="I115" s="2022">
        <f>H115*'Lista global'!P60</f>
        <v>202.5</v>
      </c>
      <c r="J115" s="1743"/>
      <c r="K115" s="1743"/>
      <c r="M115" s="1383"/>
      <c r="O115" s="1018">
        <v>9</v>
      </c>
      <c r="P115" s="1028">
        <v>17.25</v>
      </c>
    </row>
    <row r="116" spans="1:16" ht="21" customHeight="1" x14ac:dyDescent="0.25">
      <c r="A116" s="420" t="s">
        <v>656</v>
      </c>
      <c r="B116" s="610" t="s">
        <v>579</v>
      </c>
      <c r="C116" s="4256"/>
      <c r="D116" s="1102" t="s">
        <v>134</v>
      </c>
      <c r="E116" s="1839">
        <v>106104397</v>
      </c>
      <c r="F116" s="1012" t="s">
        <v>135</v>
      </c>
      <c r="G116" s="1541">
        <f>$G101</f>
        <v>4</v>
      </c>
      <c r="H116" s="1023">
        <f>ROUND(G116*$I$101/4,0)</f>
        <v>5</v>
      </c>
      <c r="I116" s="2022">
        <f>H116*'Lista global'!P49</f>
        <v>311.68749999999994</v>
      </c>
      <c r="J116" s="1743"/>
      <c r="K116" s="1743"/>
      <c r="M116" s="1383"/>
      <c r="O116" s="1017">
        <v>2</v>
      </c>
      <c r="P116" s="1028">
        <v>570.78</v>
      </c>
    </row>
    <row r="117" spans="1:16" s="411" customFormat="1" ht="15.75" customHeight="1" x14ac:dyDescent="0.2">
      <c r="A117" s="605" t="s">
        <v>647</v>
      </c>
      <c r="B117" s="411" t="s">
        <v>684</v>
      </c>
      <c r="C117" s="4256"/>
      <c r="D117" s="606"/>
      <c r="E117" s="1015">
        <v>106112712</v>
      </c>
      <c r="F117" s="1006" t="s">
        <v>926</v>
      </c>
      <c r="G117" s="1840">
        <f>2*$G101</f>
        <v>8</v>
      </c>
      <c r="H117" s="2525">
        <f>2*H140</f>
        <v>2</v>
      </c>
      <c r="I117" s="2022">
        <f>H117*'Lista global'!P108</f>
        <v>35.099999999999994</v>
      </c>
      <c r="J117" s="1743"/>
      <c r="K117" s="1743"/>
      <c r="O117" s="1018">
        <v>12</v>
      </c>
      <c r="P117" s="1028">
        <v>77.400000000000006</v>
      </c>
    </row>
    <row r="118" spans="1:16" s="379" customFormat="1" ht="15.75" customHeight="1" thickBot="1" x14ac:dyDescent="0.3">
      <c r="A118" s="415"/>
      <c r="B118" s="416" t="s">
        <v>560</v>
      </c>
      <c r="C118" s="4374"/>
      <c r="D118" s="1836" t="s">
        <v>40</v>
      </c>
      <c r="E118" s="1837">
        <v>106200771</v>
      </c>
      <c r="F118" s="1003" t="s">
        <v>110</v>
      </c>
      <c r="G118" s="918">
        <f>$G101</f>
        <v>4</v>
      </c>
      <c r="H118" s="2523">
        <f>ROUNDDOWN(($I$101*G118/4)/10,0)</f>
        <v>0</v>
      </c>
      <c r="I118" s="2293">
        <f>H118*'Lista global'!P144</f>
        <v>0</v>
      </c>
      <c r="J118" s="1743"/>
      <c r="K118" s="1743"/>
      <c r="L118" s="1383" t="s">
        <v>1077</v>
      </c>
      <c r="O118" s="1722" t="s">
        <v>1006</v>
      </c>
      <c r="P118" s="1752">
        <v>81.999999999999986</v>
      </c>
    </row>
    <row r="119" spans="1:16" ht="15.75" customHeight="1" x14ac:dyDescent="0.25">
      <c r="A119" s="4354" t="s">
        <v>668</v>
      </c>
      <c r="B119" s="439" t="s">
        <v>561</v>
      </c>
      <c r="C119" s="4373" t="s">
        <v>113</v>
      </c>
      <c r="D119" s="535" t="s">
        <v>114</v>
      </c>
      <c r="E119" s="996">
        <v>106104180</v>
      </c>
      <c r="F119" s="1007" t="s">
        <v>157</v>
      </c>
      <c r="G119" s="566">
        <f>$G101</f>
        <v>4</v>
      </c>
      <c r="H119" s="2524">
        <f>ROUNDDOWN(($I$101*G119/4)/10,0)</f>
        <v>0</v>
      </c>
      <c r="I119" s="1730">
        <f>H119*'Lista global'!P33</f>
        <v>0</v>
      </c>
      <c r="J119" s="1743"/>
      <c r="K119" s="1743"/>
      <c r="L119" s="1383" t="s">
        <v>1077</v>
      </c>
      <c r="M119" s="1383"/>
      <c r="O119" s="1266" t="s">
        <v>1006</v>
      </c>
      <c r="P119" s="1111">
        <v>708.81666666666672</v>
      </c>
    </row>
    <row r="120" spans="1:16" ht="15.75" customHeight="1" x14ac:dyDescent="0.25">
      <c r="A120" s="4355"/>
      <c r="B120" s="415" t="s">
        <v>562</v>
      </c>
      <c r="C120" s="4254"/>
      <c r="D120" s="1813" t="s">
        <v>117</v>
      </c>
      <c r="E120" s="1841">
        <v>106104133</v>
      </c>
      <c r="F120" s="1008" t="s">
        <v>158</v>
      </c>
      <c r="G120" s="1828">
        <f>$G101*4</f>
        <v>16</v>
      </c>
      <c r="H120" s="1017">
        <f>$H$119</f>
        <v>0</v>
      </c>
      <c r="I120" s="2022">
        <f>H120*'Lista global'!P28</f>
        <v>0</v>
      </c>
      <c r="J120" s="1743"/>
      <c r="K120" s="1743"/>
      <c r="L120" s="1383" t="s">
        <v>3222</v>
      </c>
      <c r="M120" s="1383"/>
      <c r="O120" s="986" t="s">
        <v>3221</v>
      </c>
      <c r="P120" s="1109">
        <v>38</v>
      </c>
    </row>
    <row r="121" spans="1:16" ht="15.75" customHeight="1" x14ac:dyDescent="0.25">
      <c r="A121" s="4355"/>
      <c r="B121" s="415" t="s">
        <v>563</v>
      </c>
      <c r="C121" s="4254"/>
      <c r="D121" s="1813" t="s">
        <v>189</v>
      </c>
      <c r="E121" s="1841">
        <v>106106241</v>
      </c>
      <c r="F121" s="1008" t="s">
        <v>190</v>
      </c>
      <c r="G121" s="1829">
        <f>$G101*2</f>
        <v>8</v>
      </c>
      <c r="H121" s="1017">
        <f>$H$119</f>
        <v>0</v>
      </c>
      <c r="I121" s="2022">
        <f>H121*'Lista global'!P71</f>
        <v>0</v>
      </c>
      <c r="J121" s="1743"/>
      <c r="K121" s="1743"/>
      <c r="L121" s="1383" t="s">
        <v>1077</v>
      </c>
      <c r="M121" s="1383"/>
      <c r="O121" s="986" t="s">
        <v>1006</v>
      </c>
      <c r="P121" s="1109">
        <v>7.2000000000000011</v>
      </c>
    </row>
    <row r="122" spans="1:16" ht="15.75" customHeight="1" x14ac:dyDescent="0.25">
      <c r="A122" s="4355"/>
      <c r="B122" s="415" t="s">
        <v>564</v>
      </c>
      <c r="C122" s="4254"/>
      <c r="D122" s="1813" t="s">
        <v>178</v>
      </c>
      <c r="E122" s="1841">
        <v>106104209</v>
      </c>
      <c r="F122" s="1008" t="s">
        <v>191</v>
      </c>
      <c r="G122" s="1828">
        <f>$G101</f>
        <v>4</v>
      </c>
      <c r="H122" s="1017">
        <f>$H$119</f>
        <v>0</v>
      </c>
      <c r="I122" s="2022">
        <f>H122*'Lista global'!P36</f>
        <v>0</v>
      </c>
      <c r="J122" s="1743"/>
      <c r="K122" s="1743"/>
      <c r="L122" s="1383" t="s">
        <v>1077</v>
      </c>
      <c r="M122" s="1383"/>
      <c r="O122" s="986" t="s">
        <v>1006</v>
      </c>
      <c r="P122" s="1109">
        <v>14.35</v>
      </c>
    </row>
    <row r="123" spans="1:16" ht="15.75" customHeight="1" x14ac:dyDescent="0.25">
      <c r="A123" s="4355"/>
      <c r="B123" s="415" t="s">
        <v>565</v>
      </c>
      <c r="C123" s="4254"/>
      <c r="D123" s="1813" t="s">
        <v>192</v>
      </c>
      <c r="E123" s="1841">
        <v>106104212</v>
      </c>
      <c r="F123" s="1008" t="s">
        <v>193</v>
      </c>
      <c r="G123" s="1828">
        <f>$G101</f>
        <v>4</v>
      </c>
      <c r="H123" s="1017">
        <f>$H$119</f>
        <v>0</v>
      </c>
      <c r="I123" s="2022">
        <f>H123*'Lista global'!P38</f>
        <v>0</v>
      </c>
      <c r="J123" s="1743"/>
      <c r="K123" s="1743"/>
      <c r="L123" s="1383" t="s">
        <v>1077</v>
      </c>
      <c r="M123" s="1383"/>
      <c r="O123" s="986" t="s">
        <v>1006</v>
      </c>
      <c r="P123" s="1109">
        <v>27.883333333333336</v>
      </c>
    </row>
    <row r="124" spans="1:16" ht="15.75" customHeight="1" thickBot="1" x14ac:dyDescent="0.3">
      <c r="A124" s="4367"/>
      <c r="B124" s="415" t="s">
        <v>566</v>
      </c>
      <c r="C124" s="4254"/>
      <c r="D124" s="1727" t="s">
        <v>119</v>
      </c>
      <c r="E124" s="1841">
        <v>106112169</v>
      </c>
      <c r="F124" s="1009" t="s">
        <v>120</v>
      </c>
      <c r="G124" s="1829">
        <f>$G101*2</f>
        <v>8</v>
      </c>
      <c r="H124" s="1017">
        <f>2*H140</f>
        <v>2</v>
      </c>
      <c r="I124" s="2022">
        <f>H124*'Lista global'!P102</f>
        <v>185.7</v>
      </c>
      <c r="J124" s="1743"/>
      <c r="K124" s="1743"/>
      <c r="M124" s="1383"/>
      <c r="O124" s="986">
        <v>6</v>
      </c>
      <c r="P124" s="1109">
        <v>424.7</v>
      </c>
    </row>
    <row r="125" spans="1:16" ht="15.75" customHeight="1" thickBot="1" x14ac:dyDescent="0.3">
      <c r="A125" s="523"/>
      <c r="B125" s="416" t="s">
        <v>567</v>
      </c>
      <c r="C125" s="4254"/>
      <c r="D125" s="1815" t="s">
        <v>122</v>
      </c>
      <c r="E125" s="997">
        <v>106105880</v>
      </c>
      <c r="F125" s="1010" t="s">
        <v>123</v>
      </c>
      <c r="G125" s="534">
        <f>$G101</f>
        <v>4</v>
      </c>
      <c r="H125" s="1019">
        <f>ROUND(G125*$I$101/4,0)</f>
        <v>5</v>
      </c>
      <c r="I125" s="2298">
        <f>H125*'Lista global'!P66</f>
        <v>12.687499999999998</v>
      </c>
      <c r="J125" s="1743"/>
      <c r="K125" s="1743"/>
      <c r="M125" s="1383"/>
      <c r="O125" s="988">
        <v>2</v>
      </c>
      <c r="P125" s="1110">
        <v>523.6</v>
      </c>
    </row>
    <row r="126" spans="1:16" ht="15.75" customHeight="1" x14ac:dyDescent="0.25">
      <c r="A126" s="415"/>
      <c r="B126" s="439" t="s">
        <v>568</v>
      </c>
      <c r="C126" s="4255" t="s">
        <v>137</v>
      </c>
      <c r="D126" s="522" t="s">
        <v>138</v>
      </c>
      <c r="E126" s="995">
        <v>106104101</v>
      </c>
      <c r="F126" s="1011" t="s">
        <v>162</v>
      </c>
      <c r="G126" s="565">
        <f>$G101</f>
        <v>4</v>
      </c>
      <c r="H126" s="1022">
        <f>H127</f>
        <v>0</v>
      </c>
      <c r="I126" s="1730">
        <f>H126*'Lista global'!P17</f>
        <v>0</v>
      </c>
      <c r="J126" s="1743"/>
      <c r="K126" s="1743"/>
      <c r="L126" s="1383" t="s">
        <v>1077</v>
      </c>
      <c r="M126" s="1383"/>
      <c r="O126" s="1266" t="s">
        <v>1006</v>
      </c>
      <c r="P126" s="1027">
        <v>2.8833333333333333</v>
      </c>
    </row>
    <row r="127" spans="1:16" ht="15.75" customHeight="1" x14ac:dyDescent="0.25">
      <c r="A127" s="415"/>
      <c r="B127" s="415" t="s">
        <v>569</v>
      </c>
      <c r="C127" s="4256"/>
      <c r="D127" s="1100" t="s">
        <v>194</v>
      </c>
      <c r="E127" s="1835">
        <v>106104408</v>
      </c>
      <c r="F127" s="1002" t="s">
        <v>195</v>
      </c>
      <c r="G127" s="1828">
        <v>1</v>
      </c>
      <c r="H127" s="1022">
        <f>ROUNDDOWN($I$101/10,0)</f>
        <v>0</v>
      </c>
      <c r="I127" s="2022">
        <f>H127*'Lista global'!P50</f>
        <v>0</v>
      </c>
      <c r="J127" s="1743"/>
      <c r="K127" s="1743"/>
      <c r="L127" s="1383" t="s">
        <v>1077</v>
      </c>
      <c r="M127" s="1383"/>
      <c r="O127" s="986" t="s">
        <v>1006</v>
      </c>
      <c r="P127" s="1028">
        <v>14.566666666666668</v>
      </c>
    </row>
    <row r="128" spans="1:16" ht="15.75" customHeight="1" x14ac:dyDescent="0.25">
      <c r="A128" s="415"/>
      <c r="B128" s="415" t="s">
        <v>570</v>
      </c>
      <c r="C128" s="4256"/>
      <c r="D128" s="1100" t="s">
        <v>144</v>
      </c>
      <c r="E128" s="1835">
        <v>106105850</v>
      </c>
      <c r="F128" s="1002" t="s">
        <v>145</v>
      </c>
      <c r="G128" s="1842">
        <f>IF($G101=4,6,IF($G101=3,5,3))</f>
        <v>6</v>
      </c>
      <c r="H128" s="1023">
        <f>ROUND(G128*$I$101/10,0)</f>
        <v>3</v>
      </c>
      <c r="I128" s="2022"/>
      <c r="J128" s="1743"/>
      <c r="K128" s="1743"/>
      <c r="M128" s="1383"/>
      <c r="O128" s="1023">
        <v>2</v>
      </c>
      <c r="P128" s="1028">
        <v>753.33333333333337</v>
      </c>
    </row>
    <row r="129" spans="1:16" ht="15.75" customHeight="1" x14ac:dyDescent="0.25">
      <c r="A129" s="415"/>
      <c r="B129" s="415" t="s">
        <v>571</v>
      </c>
      <c r="C129" s="4256"/>
      <c r="D129" s="1102" t="s">
        <v>196</v>
      </c>
      <c r="E129" s="1835">
        <v>106201346</v>
      </c>
      <c r="F129" s="1005" t="s">
        <v>197</v>
      </c>
      <c r="G129" s="1840">
        <v>1</v>
      </c>
      <c r="H129" s="1018">
        <f>ROUNDUP(I101/4,0)</f>
        <v>2</v>
      </c>
      <c r="I129" s="2022">
        <f>H129*'Lista global'!P152</f>
        <v>2.3250000000000002</v>
      </c>
      <c r="J129" s="1743"/>
      <c r="K129" s="1743"/>
      <c r="M129" s="1383"/>
      <c r="O129" s="1018">
        <v>2</v>
      </c>
      <c r="P129" s="1028">
        <v>152.5</v>
      </c>
    </row>
    <row r="130" spans="1:16" ht="15.75" customHeight="1" x14ac:dyDescent="0.25">
      <c r="A130" s="415"/>
      <c r="B130" s="415" t="s">
        <v>572</v>
      </c>
      <c r="C130" s="4256"/>
      <c r="D130" s="1102" t="s">
        <v>198</v>
      </c>
      <c r="E130" s="1835">
        <v>106110895</v>
      </c>
      <c r="F130" s="1002" t="s">
        <v>199</v>
      </c>
      <c r="G130" s="1840">
        <v>1</v>
      </c>
      <c r="H130" s="1018">
        <v>0</v>
      </c>
      <c r="I130" s="2022">
        <f>H130*'Lista global'!P85</f>
        <v>0</v>
      </c>
      <c r="J130" s="1743"/>
      <c r="K130" s="1743"/>
      <c r="M130" s="1383"/>
      <c r="O130" s="1018">
        <v>0</v>
      </c>
      <c r="P130" s="1028">
        <v>0</v>
      </c>
    </row>
    <row r="131" spans="1:16" ht="15.75" customHeight="1" x14ac:dyDescent="0.25">
      <c r="A131" s="415"/>
      <c r="B131" s="415" t="s">
        <v>573</v>
      </c>
      <c r="C131" s="4256"/>
      <c r="D131" s="1102" t="s">
        <v>200</v>
      </c>
      <c r="E131" s="1835">
        <v>106110896</v>
      </c>
      <c r="F131" s="1002" t="s">
        <v>201</v>
      </c>
      <c r="G131" s="1840">
        <v>1</v>
      </c>
      <c r="H131" s="1018">
        <v>0</v>
      </c>
      <c r="I131" s="2022">
        <f>H131*'Lista global'!P86</f>
        <v>0</v>
      </c>
      <c r="J131" s="1743"/>
      <c r="K131" s="1743"/>
      <c r="M131" s="1383"/>
      <c r="O131" s="1018">
        <v>0</v>
      </c>
      <c r="P131" s="1028">
        <v>0</v>
      </c>
    </row>
    <row r="132" spans="1:16" ht="15.75" customHeight="1" x14ac:dyDescent="0.25">
      <c r="A132" s="415"/>
      <c r="B132" s="415" t="s">
        <v>574</v>
      </c>
      <c r="C132" s="4256"/>
      <c r="D132" s="1102" t="s">
        <v>202</v>
      </c>
      <c r="E132" s="1835">
        <v>106110897</v>
      </c>
      <c r="F132" s="1002" t="s">
        <v>203</v>
      </c>
      <c r="G132" s="1840">
        <f>IF($G101=2,0,1)</f>
        <v>1</v>
      </c>
      <c r="H132" s="1018">
        <v>0</v>
      </c>
      <c r="I132" s="2022">
        <f>H132*'Lista global'!P87</f>
        <v>0</v>
      </c>
      <c r="J132" s="1743"/>
      <c r="K132" s="1743"/>
      <c r="M132" s="1383"/>
      <c r="O132" s="1018">
        <v>0</v>
      </c>
      <c r="P132" s="1028">
        <v>0</v>
      </c>
    </row>
    <row r="133" spans="1:16" ht="15.75" customHeight="1" x14ac:dyDescent="0.25">
      <c r="A133" s="415"/>
      <c r="B133" s="415" t="s">
        <v>575</v>
      </c>
      <c r="C133" s="4256"/>
      <c r="D133" s="1102" t="s">
        <v>204</v>
      </c>
      <c r="E133" s="1835">
        <v>106110898</v>
      </c>
      <c r="F133" s="1002" t="s">
        <v>205</v>
      </c>
      <c r="G133" s="1840">
        <f>IF($G101=4,1,0)</f>
        <v>1</v>
      </c>
      <c r="H133" s="1018">
        <f>IF(ROUND($G$101*$I$101/16,0)&gt;1,ROUND($G$101*$I$101/16,0),1)</f>
        <v>1</v>
      </c>
      <c r="I133" s="2022">
        <f>H133*'Lista global'!P88</f>
        <v>16.25</v>
      </c>
      <c r="J133" s="1743"/>
      <c r="K133" s="1743"/>
      <c r="M133" s="1383"/>
      <c r="O133" s="1018">
        <v>4</v>
      </c>
      <c r="P133" s="1028">
        <v>127.79999999999998</v>
      </c>
    </row>
    <row r="134" spans="1:16" ht="15.75" customHeight="1" x14ac:dyDescent="0.25">
      <c r="A134" s="415"/>
      <c r="B134" s="415" t="s">
        <v>576</v>
      </c>
      <c r="C134" s="4256"/>
      <c r="D134" s="1102" t="s">
        <v>206</v>
      </c>
      <c r="E134" s="1837">
        <v>106201807</v>
      </c>
      <c r="F134" s="1012" t="s">
        <v>207</v>
      </c>
      <c r="G134" s="1843">
        <v>1</v>
      </c>
      <c r="H134" s="1018">
        <f>ROUND(G134*$I$101/2,0)</f>
        <v>3</v>
      </c>
      <c r="I134" s="2022" t="e">
        <f>H134*'Lista global'!#REF!</f>
        <v>#REF!</v>
      </c>
      <c r="J134" s="1743"/>
      <c r="K134" s="1743"/>
      <c r="M134" s="1383"/>
      <c r="O134" s="1018">
        <v>1</v>
      </c>
      <c r="P134" s="1028">
        <v>149.92499999999998</v>
      </c>
    </row>
    <row r="135" spans="1:16" ht="15.75" customHeight="1" x14ac:dyDescent="0.25">
      <c r="A135" s="415"/>
      <c r="B135" s="415" t="s">
        <v>681</v>
      </c>
      <c r="C135" s="4256"/>
      <c r="D135" s="1817" t="s">
        <v>460</v>
      </c>
      <c r="E135" s="1837">
        <v>106202476</v>
      </c>
      <c r="F135" s="1013" t="s">
        <v>461</v>
      </c>
      <c r="G135" s="1840">
        <v>1</v>
      </c>
      <c r="H135" s="1018">
        <f>ROUNDDOWN($I$101/6,0)</f>
        <v>0</v>
      </c>
      <c r="I135" s="2022" t="e">
        <f>H135*'Lista global'!#REF!</f>
        <v>#REF!</v>
      </c>
      <c r="J135" s="1743"/>
      <c r="K135" s="1743"/>
      <c r="M135" s="1383"/>
      <c r="O135" s="1018">
        <v>1</v>
      </c>
      <c r="P135" s="1028">
        <v>36.474999999999994</v>
      </c>
    </row>
    <row r="136" spans="1:16" s="411" customFormat="1" ht="13.5" thickBot="1" x14ac:dyDescent="0.25">
      <c r="A136" s="440"/>
      <c r="B136" s="440" t="s">
        <v>584</v>
      </c>
      <c r="C136" s="4257"/>
      <c r="D136" s="293" t="s">
        <v>354</v>
      </c>
      <c r="E136" s="1844">
        <v>106200941</v>
      </c>
      <c r="F136" s="1006" t="s">
        <v>353</v>
      </c>
      <c r="G136" s="1845">
        <v>1</v>
      </c>
      <c r="H136" s="1024">
        <v>1</v>
      </c>
      <c r="I136" s="2298" t="e">
        <f>H136*'Lista global'!#REF!</f>
        <v>#REF!</v>
      </c>
      <c r="J136" s="1743"/>
      <c r="K136" s="1743"/>
      <c r="O136" s="1024">
        <v>1</v>
      </c>
      <c r="P136" s="1029">
        <v>84.824999999999989</v>
      </c>
    </row>
    <row r="137" spans="1:16" s="1776" customFormat="1" ht="15" customHeight="1" x14ac:dyDescent="0.2">
      <c r="A137" s="957"/>
      <c r="B137" s="419" t="s">
        <v>955</v>
      </c>
      <c r="C137" s="4390" t="s">
        <v>11</v>
      </c>
      <c r="D137" s="509"/>
      <c r="E137" s="1846">
        <v>106112878</v>
      </c>
      <c r="F137" s="1001" t="s">
        <v>689</v>
      </c>
      <c r="G137" s="542">
        <f>5*$G101</f>
        <v>20</v>
      </c>
      <c r="H137" s="1025">
        <f>5*$H$140</f>
        <v>5</v>
      </c>
      <c r="I137" s="1730">
        <f>H137*'Lista global'!P109</f>
        <v>325.5</v>
      </c>
      <c r="J137" s="1743"/>
      <c r="K137" s="1743"/>
      <c r="O137" s="1025">
        <v>5</v>
      </c>
      <c r="P137" s="1027">
        <v>7.9166666666666661</v>
      </c>
    </row>
    <row r="138" spans="1:16" s="1776" customFormat="1" x14ac:dyDescent="0.25">
      <c r="A138" s="958"/>
      <c r="B138" s="440" t="s">
        <v>1278</v>
      </c>
      <c r="C138" s="4391"/>
      <c r="D138" s="418"/>
      <c r="E138" s="1847">
        <v>106107580</v>
      </c>
      <c r="F138" s="349" t="s">
        <v>1277</v>
      </c>
      <c r="G138" s="1840">
        <f>3*$G101</f>
        <v>12</v>
      </c>
      <c r="H138" s="1018">
        <f>3*$H$140</f>
        <v>3</v>
      </c>
      <c r="I138" s="2022">
        <f>H138*'Lista global'!P73</f>
        <v>13.725000000000001</v>
      </c>
      <c r="J138" s="1743"/>
      <c r="K138" s="1743"/>
      <c r="O138" s="1018">
        <v>3</v>
      </c>
      <c r="P138" s="1028">
        <v>6.4500000000000011</v>
      </c>
    </row>
    <row r="139" spans="1:16" s="411" customFormat="1" ht="15.75" customHeight="1" thickBot="1" x14ac:dyDescent="0.25">
      <c r="A139" s="959" t="s">
        <v>647</v>
      </c>
      <c r="B139" s="623" t="s">
        <v>684</v>
      </c>
      <c r="C139" s="4392"/>
      <c r="D139" s="621"/>
      <c r="E139" s="998">
        <v>106112712</v>
      </c>
      <c r="F139" s="1014" t="s">
        <v>683</v>
      </c>
      <c r="G139" s="1000">
        <f>1*$G101</f>
        <v>4</v>
      </c>
      <c r="H139" s="1024">
        <f>1*H140</f>
        <v>1</v>
      </c>
      <c r="I139" s="2298">
        <f>H139*'Lista global'!P108</f>
        <v>17.549999999999997</v>
      </c>
      <c r="J139" s="1743"/>
      <c r="K139" s="1743"/>
      <c r="O139" s="1024">
        <v>6</v>
      </c>
      <c r="P139" s="1029">
        <v>38.700000000000003</v>
      </c>
    </row>
    <row r="140" spans="1:16" ht="15.75" customHeight="1" thickBot="1" x14ac:dyDescent="0.3">
      <c r="A140" s="412"/>
      <c r="B140" s="441" t="str">
        <f>IF($H101=$I142,B142,IF($H101=$I143,B143,IF($H101=$I144,B144,IF($H101=$I145,B145))))</f>
        <v>Electronic Block  Dig 3Phase 156kW MS</v>
      </c>
      <c r="C140" s="441" t="str">
        <f>IF($H101=$I142,C142,IF($H101=$I143,C143,IF($H101=$I144,C144,IF($H101=$I145,C145))))</f>
        <v>MS</v>
      </c>
      <c r="D140" s="441" t="str">
        <f>IF($H101=$I142,D142,IF($H101=$I143,D143,IF($H101=$I144,D144,IF($H101=$I145,D145))))</f>
        <v>AAV7104</v>
      </c>
      <c r="E140" s="999">
        <f>IF($H101=$I142,E142,IF($H101=$I143,E143,IF($H101=$I144,E144,IF($H101=$I145,E145))))</f>
        <v>106202628</v>
      </c>
      <c r="F140" s="441" t="str">
        <f>IF($H101=$I142,F142,IF($H101=$I143,F143,IF($H101=$I144,F144,IF($H101=$I145,F145))))</f>
        <v>VARIADOR DIG INGCONSUN TRIF 156kW MS</v>
      </c>
      <c r="G140" s="560">
        <f>$G101</f>
        <v>4</v>
      </c>
      <c r="H140" s="1026">
        <f>ROUNDUP(I101*G101*3/100,0)</f>
        <v>1</v>
      </c>
      <c r="I140" s="2302">
        <f>H140*(IF($H101=$I142,'Lista global'!#REF!,IF($H101=$I143,'Lista global'!P155,IF($H101=$I144,'Lista global'!P92,IF($H101=$I145,'Lista global'!P156)))))</f>
        <v>1086.7624999999998</v>
      </c>
      <c r="J140" s="1743"/>
      <c r="K140" s="1743"/>
      <c r="M140" s="1383"/>
      <c r="O140" s="1026">
        <v>1</v>
      </c>
      <c r="P140" s="1033">
        <v>7712.0560000000005</v>
      </c>
    </row>
    <row r="141" spans="1:16" ht="15.75" thickBot="1" x14ac:dyDescent="0.3">
      <c r="H141" s="1310" t="s">
        <v>941</v>
      </c>
      <c r="I141" s="2300" t="e">
        <f>SUM(I103:I140)</f>
        <v>#REF!</v>
      </c>
      <c r="J141" s="1745"/>
      <c r="K141" s="1745"/>
      <c r="M141" s="1383"/>
      <c r="P141" s="1383"/>
    </row>
    <row r="142" spans="1:16" ht="15.75" customHeight="1" thickBot="1" x14ac:dyDescent="0.3">
      <c r="A142" s="412"/>
      <c r="B142" s="412" t="s">
        <v>580</v>
      </c>
      <c r="C142" s="380" t="s">
        <v>0</v>
      </c>
      <c r="D142" s="428" t="s">
        <v>187</v>
      </c>
      <c r="E142" s="1821">
        <v>106201457</v>
      </c>
      <c r="F142" s="1689" t="s">
        <v>188</v>
      </c>
      <c r="G142" s="1691">
        <v>1</v>
      </c>
      <c r="H142" s="1383">
        <v>2</v>
      </c>
      <c r="I142" s="1383" t="s">
        <v>542</v>
      </c>
      <c r="M142" s="1383"/>
      <c r="P142" s="1383"/>
    </row>
    <row r="143" spans="1:16" ht="15.75" customHeight="1" thickBot="1" x14ac:dyDescent="0.3">
      <c r="A143" s="412"/>
      <c r="B143" s="412" t="s">
        <v>581</v>
      </c>
      <c r="C143" s="380" t="s">
        <v>0</v>
      </c>
      <c r="D143" s="429" t="s">
        <v>240</v>
      </c>
      <c r="E143" s="1822">
        <v>106202625</v>
      </c>
      <c r="F143" s="1690" t="s">
        <v>241</v>
      </c>
      <c r="G143" s="1692">
        <v>1</v>
      </c>
      <c r="H143" s="48">
        <v>3</v>
      </c>
      <c r="I143" s="1383" t="s">
        <v>543</v>
      </c>
      <c r="M143" s="1383"/>
      <c r="P143" s="1383"/>
    </row>
    <row r="144" spans="1:16" ht="15.75" thickBot="1" x14ac:dyDescent="0.3">
      <c r="A144" s="412"/>
      <c r="B144" s="412" t="s">
        <v>582</v>
      </c>
      <c r="C144" s="97" t="s">
        <v>255</v>
      </c>
      <c r="D144" s="429" t="s">
        <v>440</v>
      </c>
      <c r="E144" s="1832">
        <v>106111457</v>
      </c>
      <c r="F144" s="1690" t="s">
        <v>441</v>
      </c>
      <c r="G144" s="1692">
        <v>1</v>
      </c>
      <c r="H144" s="48">
        <v>4</v>
      </c>
      <c r="I144" s="1383" t="s">
        <v>553</v>
      </c>
      <c r="M144" s="1383"/>
      <c r="P144" s="1383"/>
    </row>
    <row r="145" spans="1:17" ht="15.75" thickBot="1" x14ac:dyDescent="0.3">
      <c r="A145" s="412"/>
      <c r="B145" s="412" t="s">
        <v>583</v>
      </c>
      <c r="C145" s="97" t="s">
        <v>255</v>
      </c>
      <c r="D145" s="429" t="s">
        <v>239</v>
      </c>
      <c r="E145" s="1832">
        <v>106202628</v>
      </c>
      <c r="F145" s="1690" t="s">
        <v>254</v>
      </c>
      <c r="G145" s="1692">
        <v>1</v>
      </c>
      <c r="I145" s="1383" t="s">
        <v>552</v>
      </c>
      <c r="M145" s="1383"/>
      <c r="P145" s="1383"/>
    </row>
    <row r="147" spans="1:17" x14ac:dyDescent="0.25">
      <c r="Q147" s="1777"/>
    </row>
    <row r="148" spans="1:17" ht="15.75" thickBot="1" x14ac:dyDescent="0.3">
      <c r="B148" s="75" t="s">
        <v>651</v>
      </c>
      <c r="C148" s="1383" t="s">
        <v>649</v>
      </c>
      <c r="D148" s="526" t="s">
        <v>658</v>
      </c>
      <c r="E148" s="411">
        <v>106110278</v>
      </c>
      <c r="Q148" s="1777"/>
    </row>
    <row r="149" spans="1:17" x14ac:dyDescent="0.25">
      <c r="B149" s="75" t="s">
        <v>650</v>
      </c>
    </row>
    <row r="152" spans="1:17" x14ac:dyDescent="0.25">
      <c r="G152" s="411"/>
      <c r="M152" s="1383"/>
      <c r="N152" s="1777"/>
      <c r="P152" s="1383"/>
    </row>
    <row r="153" spans="1:17" x14ac:dyDescent="0.25">
      <c r="F153" s="1383"/>
      <c r="G153" s="411"/>
      <c r="M153" s="1383"/>
      <c r="N153" s="1777"/>
      <c r="P153" s="1383"/>
    </row>
  </sheetData>
  <mergeCells count="25">
    <mergeCell ref="L2:M2"/>
    <mergeCell ref="E2:F2"/>
    <mergeCell ref="C3:D3"/>
    <mergeCell ref="C4:C17"/>
    <mergeCell ref="A5:A8"/>
    <mergeCell ref="A18:A20"/>
    <mergeCell ref="C18:C24"/>
    <mergeCell ref="C102:D102"/>
    <mergeCell ref="C50:D50"/>
    <mergeCell ref="C51:C63"/>
    <mergeCell ref="E101:F101"/>
    <mergeCell ref="C25:C34"/>
    <mergeCell ref="C35:C36"/>
    <mergeCell ref="A52:A55"/>
    <mergeCell ref="C64:C70"/>
    <mergeCell ref="C71:C80"/>
    <mergeCell ref="C81:C82"/>
    <mergeCell ref="A64:A66"/>
    <mergeCell ref="C137:C139"/>
    <mergeCell ref="C126:C136"/>
    <mergeCell ref="C103:C118"/>
    <mergeCell ref="A104:A108"/>
    <mergeCell ref="A109:A112"/>
    <mergeCell ref="A119:A124"/>
    <mergeCell ref="C119:C125"/>
  </mergeCells>
  <dataValidations count="6">
    <dataValidation type="list" allowBlank="1" showInputMessage="1" showErrorMessage="1" sqref="G2">
      <formula1>$H39:$H41</formula1>
    </dataValidation>
    <dataValidation type="list" allowBlank="1" showInputMessage="1" showErrorMessage="1" sqref="H49">
      <formula1>$I85:$I94</formula1>
    </dataValidation>
    <dataValidation type="list" allowBlank="1" showInputMessage="1" showErrorMessage="1" sqref="H101">
      <formula1>$I142:$I145</formula1>
    </dataValidation>
    <dataValidation type="list" allowBlank="1" showInputMessage="1" showErrorMessage="1" sqref="G101">
      <formula1>$H142:$H144</formula1>
    </dataValidation>
    <dataValidation type="list" allowBlank="1" showInputMessage="1" showErrorMessage="1" sqref="H2">
      <formula1>$I39:$I43</formula1>
    </dataValidation>
    <dataValidation type="list" allowBlank="1" showInputMessage="1" showErrorMessage="1" sqref="G49">
      <formula1>$H85:$H87</formula1>
    </dataValidation>
  </dataValidations>
  <pageMargins left="0.7" right="0.7" top="0.75" bottom="0.75" header="0.3" footer="0.3"/>
  <pageSetup paperSize="8" orientation="portrait" horizontalDpi="96" verticalDpi="96" r:id="rId1"/>
  <ignoredErrors>
    <ignoredError sqref="H54" formula="1"/>
  </ignoredErrors>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77"/>
  <sheetViews>
    <sheetView topLeftCell="A70" zoomScale="90" zoomScaleNormal="90" workbookViewId="0">
      <selection activeCell="D87" sqref="D87"/>
    </sheetView>
  </sheetViews>
  <sheetFormatPr baseColWidth="10" defaultRowHeight="15" x14ac:dyDescent="0.25"/>
  <cols>
    <col min="1" max="1" width="13.140625" style="11" customWidth="1"/>
    <col min="3" max="3" width="14.85546875" bestFit="1" customWidth="1"/>
    <col min="4" max="4" width="13.140625" customWidth="1"/>
    <col min="5" max="5" width="65.28515625" style="11" customWidth="1"/>
    <col min="6" max="6" width="11.28515625" customWidth="1"/>
    <col min="7" max="7" width="11.5703125" customWidth="1"/>
    <col min="8" max="8" width="12.85546875" customWidth="1"/>
    <col min="9" max="9" width="13.42578125" style="11" customWidth="1"/>
    <col min="10" max="10" width="18.7109375" style="11" customWidth="1"/>
    <col min="11" max="11" width="15.42578125" style="11" customWidth="1"/>
    <col min="14" max="14" width="28.7109375" customWidth="1"/>
    <col min="15" max="15" width="15.42578125" customWidth="1"/>
  </cols>
  <sheetData>
    <row r="1" spans="1:12" ht="15.75" thickBot="1" x14ac:dyDescent="0.3">
      <c r="L1" s="39"/>
    </row>
    <row r="2" spans="1:12" ht="18.75" customHeight="1" thickBot="1" x14ac:dyDescent="0.3">
      <c r="B2" s="24"/>
      <c r="C2" s="24"/>
      <c r="D2" s="4201" t="s">
        <v>149</v>
      </c>
      <c r="E2" s="4203"/>
      <c r="F2" s="11"/>
      <c r="G2" s="11"/>
      <c r="K2"/>
    </row>
    <row r="3" spans="1:12" ht="26.25" thickBot="1" x14ac:dyDescent="0.3">
      <c r="A3" s="12" t="s">
        <v>81</v>
      </c>
      <c r="B3" s="4396" t="s">
        <v>79</v>
      </c>
      <c r="C3" s="4397"/>
      <c r="D3" s="12"/>
      <c r="E3" s="12" t="s">
        <v>80</v>
      </c>
      <c r="G3" s="5"/>
      <c r="H3" s="11"/>
      <c r="I3"/>
      <c r="J3"/>
      <c r="K3"/>
    </row>
    <row r="4" spans="1:12" x14ac:dyDescent="0.25">
      <c r="A4" s="26" t="s">
        <v>85</v>
      </c>
      <c r="B4" s="4399" t="s">
        <v>82</v>
      </c>
      <c r="C4" s="25" t="s">
        <v>83</v>
      </c>
      <c r="D4" s="625"/>
      <c r="E4" s="27" t="s">
        <v>84</v>
      </c>
      <c r="I4"/>
      <c r="J4"/>
      <c r="K4"/>
    </row>
    <row r="5" spans="1:12" x14ac:dyDescent="0.25">
      <c r="A5" s="37" t="s">
        <v>88</v>
      </c>
      <c r="B5" s="4400"/>
      <c r="C5" s="28" t="s">
        <v>86</v>
      </c>
      <c r="D5" s="626"/>
      <c r="E5" s="30" t="s">
        <v>87</v>
      </c>
      <c r="I5"/>
      <c r="J5"/>
      <c r="K5"/>
    </row>
    <row r="6" spans="1:12" x14ac:dyDescent="0.25">
      <c r="A6" s="29" t="s">
        <v>35</v>
      </c>
      <c r="B6" s="4400"/>
      <c r="C6" s="28" t="s">
        <v>89</v>
      </c>
      <c r="D6" s="627"/>
      <c r="E6" s="30" t="s">
        <v>90</v>
      </c>
      <c r="I6"/>
      <c r="J6"/>
      <c r="K6"/>
    </row>
    <row r="7" spans="1:12" x14ac:dyDescent="0.25">
      <c r="A7" s="29" t="s">
        <v>36</v>
      </c>
      <c r="B7" s="4400"/>
      <c r="C7" s="28" t="s">
        <v>91</v>
      </c>
      <c r="D7" s="627"/>
      <c r="E7" s="30" t="s">
        <v>92</v>
      </c>
      <c r="I7"/>
      <c r="J7"/>
      <c r="K7"/>
    </row>
    <row r="8" spans="1:12" x14ac:dyDescent="0.25">
      <c r="A8" s="29" t="s">
        <v>39</v>
      </c>
      <c r="B8" s="4400"/>
      <c r="C8" s="28" t="s">
        <v>93</v>
      </c>
      <c r="D8" s="627"/>
      <c r="E8" s="30" t="s">
        <v>94</v>
      </c>
      <c r="I8"/>
      <c r="J8"/>
      <c r="K8"/>
    </row>
    <row r="9" spans="1:12" x14ac:dyDescent="0.25">
      <c r="A9" s="29" t="s">
        <v>38</v>
      </c>
      <c r="B9" s="4400"/>
      <c r="C9" s="28" t="s">
        <v>95</v>
      </c>
      <c r="D9" s="627"/>
      <c r="E9" s="30" t="s">
        <v>96</v>
      </c>
      <c r="I9"/>
      <c r="J9"/>
      <c r="K9"/>
    </row>
    <row r="10" spans="1:12" x14ac:dyDescent="0.25">
      <c r="A10" s="29" t="s">
        <v>99</v>
      </c>
      <c r="B10" s="4400"/>
      <c r="C10" s="28" t="s">
        <v>97</v>
      </c>
      <c r="D10" s="627"/>
      <c r="E10" s="4413" t="s">
        <v>98</v>
      </c>
      <c r="I10"/>
      <c r="J10"/>
      <c r="K10"/>
    </row>
    <row r="11" spans="1:12" x14ac:dyDescent="0.25">
      <c r="A11" s="29" t="s">
        <v>101</v>
      </c>
      <c r="B11" s="4400"/>
      <c r="C11" s="28" t="s">
        <v>100</v>
      </c>
      <c r="D11" s="627"/>
      <c r="E11" s="4413"/>
      <c r="I11"/>
      <c r="J11"/>
      <c r="K11"/>
    </row>
    <row r="12" spans="1:12" x14ac:dyDescent="0.25">
      <c r="A12" s="29" t="s">
        <v>103</v>
      </c>
      <c r="B12" s="4400"/>
      <c r="C12" s="28" t="s">
        <v>102</v>
      </c>
      <c r="D12" s="627"/>
      <c r="E12" s="4413"/>
      <c r="I12"/>
      <c r="J12"/>
      <c r="K12"/>
    </row>
    <row r="13" spans="1:12" x14ac:dyDescent="0.25">
      <c r="A13" s="29" t="s">
        <v>105</v>
      </c>
      <c r="B13" s="4400"/>
      <c r="C13" s="28" t="s">
        <v>104</v>
      </c>
      <c r="D13" s="627"/>
      <c r="E13" s="4413"/>
      <c r="I13"/>
      <c r="J13"/>
      <c r="K13"/>
    </row>
    <row r="14" spans="1:12" x14ac:dyDescent="0.25">
      <c r="A14" s="29" t="s">
        <v>106</v>
      </c>
      <c r="B14" s="4400"/>
      <c r="C14" s="28" t="s">
        <v>106</v>
      </c>
      <c r="D14" s="627"/>
      <c r="E14" s="30" t="s">
        <v>107</v>
      </c>
      <c r="I14"/>
      <c r="J14"/>
      <c r="K14"/>
    </row>
    <row r="15" spans="1:12" x14ac:dyDescent="0.25">
      <c r="A15" s="29" t="s">
        <v>108</v>
      </c>
      <c r="B15" s="4400"/>
      <c r="C15" s="28" t="s">
        <v>108</v>
      </c>
      <c r="D15" s="627"/>
      <c r="E15" s="30" t="s">
        <v>109</v>
      </c>
      <c r="I15"/>
      <c r="J15"/>
      <c r="K15"/>
    </row>
    <row r="16" spans="1:12" x14ac:dyDescent="0.25">
      <c r="A16" s="29" t="s">
        <v>40</v>
      </c>
      <c r="B16" s="4400"/>
      <c r="C16" s="28" t="s">
        <v>40</v>
      </c>
      <c r="D16" s="627"/>
      <c r="E16" s="30" t="s">
        <v>110</v>
      </c>
      <c r="I16"/>
      <c r="J16"/>
      <c r="K16"/>
    </row>
    <row r="17" spans="1:11" ht="15.75" thickBot="1" x14ac:dyDescent="0.3">
      <c r="A17" s="38" t="s">
        <v>111</v>
      </c>
      <c r="B17" s="4401"/>
      <c r="C17" s="31" t="s">
        <v>111</v>
      </c>
      <c r="D17" s="628"/>
      <c r="E17" s="33" t="s">
        <v>112</v>
      </c>
      <c r="I17"/>
      <c r="J17"/>
      <c r="K17"/>
    </row>
    <row r="18" spans="1:11" x14ac:dyDescent="0.25">
      <c r="A18" s="1353" t="s">
        <v>116</v>
      </c>
      <c r="B18" s="4399" t="s">
        <v>113</v>
      </c>
      <c r="C18" s="25" t="s">
        <v>114</v>
      </c>
      <c r="D18" s="625"/>
      <c r="E18" s="4406" t="s">
        <v>115</v>
      </c>
      <c r="I18"/>
      <c r="J18"/>
      <c r="K18"/>
    </row>
    <row r="19" spans="1:11" x14ac:dyDescent="0.25">
      <c r="A19" s="34" t="s">
        <v>118</v>
      </c>
      <c r="B19" s="4400"/>
      <c r="C19" s="28" t="s">
        <v>117</v>
      </c>
      <c r="D19" s="625"/>
      <c r="E19" s="4407"/>
      <c r="I19"/>
      <c r="J19"/>
      <c r="K19"/>
    </row>
    <row r="20" spans="1:11" x14ac:dyDescent="0.25">
      <c r="A20" s="29" t="s">
        <v>121</v>
      </c>
      <c r="B20" s="4400"/>
      <c r="C20" s="28" t="s">
        <v>119</v>
      </c>
      <c r="D20" s="627"/>
      <c r="E20" s="30" t="s">
        <v>120</v>
      </c>
      <c r="I20"/>
      <c r="J20"/>
      <c r="K20"/>
    </row>
    <row r="21" spans="1:11" ht="15.75" thickBot="1" x14ac:dyDescent="0.3">
      <c r="A21" s="32" t="s">
        <v>34</v>
      </c>
      <c r="B21" s="4401"/>
      <c r="C21" s="31" t="s">
        <v>122</v>
      </c>
      <c r="D21" s="629"/>
      <c r="E21" s="33" t="s">
        <v>123</v>
      </c>
      <c r="I21"/>
      <c r="J21"/>
      <c r="K21"/>
    </row>
    <row r="22" spans="1:11" x14ac:dyDescent="0.25">
      <c r="A22" s="26" t="s">
        <v>42</v>
      </c>
      <c r="B22" s="4399" t="s">
        <v>124</v>
      </c>
      <c r="C22" s="25" t="s">
        <v>125</v>
      </c>
      <c r="D22" s="625"/>
      <c r="E22" s="27" t="s">
        <v>126</v>
      </c>
      <c r="I22"/>
      <c r="J22"/>
      <c r="K22"/>
    </row>
    <row r="23" spans="1:11" x14ac:dyDescent="0.25">
      <c r="A23" s="29" t="s">
        <v>129</v>
      </c>
      <c r="B23" s="4400"/>
      <c r="C23" s="28" t="s">
        <v>127</v>
      </c>
      <c r="D23" s="630"/>
      <c r="E23" s="4408" t="s">
        <v>128</v>
      </c>
      <c r="I23"/>
      <c r="J23"/>
      <c r="K23"/>
    </row>
    <row r="24" spans="1:11" x14ac:dyDescent="0.25">
      <c r="A24" s="29" t="s">
        <v>131</v>
      </c>
      <c r="B24" s="4400"/>
      <c r="C24" s="28" t="s">
        <v>130</v>
      </c>
      <c r="D24" s="625"/>
      <c r="E24" s="4407"/>
      <c r="I24"/>
      <c r="J24"/>
      <c r="K24"/>
    </row>
    <row r="25" spans="1:11" x14ac:dyDescent="0.25">
      <c r="A25" s="29" t="s">
        <v>133</v>
      </c>
      <c r="B25" s="4400"/>
      <c r="C25" s="28" t="s">
        <v>132</v>
      </c>
      <c r="D25" s="631"/>
      <c r="E25" s="4409"/>
      <c r="I25"/>
      <c r="J25"/>
      <c r="K25"/>
    </row>
    <row r="26" spans="1:11" ht="15.75" thickBot="1" x14ac:dyDescent="0.3">
      <c r="A26" s="32" t="s">
        <v>136</v>
      </c>
      <c r="B26" s="4401"/>
      <c r="C26" s="31" t="s">
        <v>134</v>
      </c>
      <c r="D26" s="629"/>
      <c r="E26" s="33" t="s">
        <v>135</v>
      </c>
      <c r="I26"/>
      <c r="J26"/>
      <c r="K26"/>
    </row>
    <row r="27" spans="1:11" x14ac:dyDescent="0.25">
      <c r="A27" s="26" t="s">
        <v>140</v>
      </c>
      <c r="B27" s="4399" t="s">
        <v>137</v>
      </c>
      <c r="C27" s="25" t="s">
        <v>138</v>
      </c>
      <c r="D27" s="625"/>
      <c r="E27" s="27" t="s">
        <v>139</v>
      </c>
      <c r="I27"/>
      <c r="J27"/>
      <c r="K27"/>
    </row>
    <row r="28" spans="1:11" x14ac:dyDescent="0.25">
      <c r="A28" s="29" t="s">
        <v>143</v>
      </c>
      <c r="B28" s="4400"/>
      <c r="C28" s="28" t="s">
        <v>141</v>
      </c>
      <c r="D28" s="627"/>
      <c r="E28" s="30" t="s">
        <v>142</v>
      </c>
      <c r="I28"/>
      <c r="J28"/>
      <c r="K28"/>
    </row>
    <row r="29" spans="1:11" x14ac:dyDescent="0.25">
      <c r="A29" s="29" t="s">
        <v>146</v>
      </c>
      <c r="B29" s="4400"/>
      <c r="C29" s="28" t="s">
        <v>144</v>
      </c>
      <c r="D29" s="627"/>
      <c r="E29" s="30" t="s">
        <v>145</v>
      </c>
      <c r="I29"/>
      <c r="J29"/>
      <c r="K29"/>
    </row>
    <row r="30" spans="1:11" ht="15.75" thickBot="1" x14ac:dyDescent="0.3">
      <c r="A30" s="32" t="s">
        <v>2</v>
      </c>
      <c r="B30" s="4401"/>
      <c r="C30" s="35" t="s">
        <v>2</v>
      </c>
      <c r="D30" s="629"/>
      <c r="E30" s="36" t="s">
        <v>147</v>
      </c>
      <c r="I30"/>
      <c r="J30"/>
      <c r="K30"/>
    </row>
    <row r="33" spans="1:13" s="11" customFormat="1" x14ac:dyDescent="0.25">
      <c r="A33" s="41"/>
      <c r="D33" s="41"/>
      <c r="E33" s="41"/>
      <c r="F33" s="42"/>
      <c r="G33" s="8"/>
      <c r="H33" s="8"/>
      <c r="I33" s="43"/>
      <c r="J33" s="43"/>
      <c r="K33" s="43"/>
      <c r="L33" s="44"/>
      <c r="M33" s="45"/>
    </row>
    <row r="34" spans="1:13" s="11" customFormat="1" ht="15.75" thickBot="1" x14ac:dyDescent="0.3">
      <c r="A34" s="41"/>
      <c r="D34" s="41"/>
      <c r="E34" s="41"/>
      <c r="F34" s="42"/>
      <c r="G34" s="8"/>
      <c r="H34" s="8"/>
      <c r="I34" s="43"/>
      <c r="J34" s="43"/>
      <c r="K34" s="43"/>
      <c r="L34" s="44"/>
      <c r="M34" s="45"/>
    </row>
    <row r="35" spans="1:13" ht="18.75" customHeight="1" thickBot="1" x14ac:dyDescent="0.3">
      <c r="B35" s="24"/>
      <c r="C35" s="24"/>
      <c r="D35" s="4410" t="s">
        <v>150</v>
      </c>
      <c r="E35" s="4411"/>
      <c r="F35" s="4412"/>
      <c r="I35"/>
      <c r="J35"/>
      <c r="K35"/>
    </row>
    <row r="36" spans="1:13" ht="26.25" thickBot="1" x14ac:dyDescent="0.3">
      <c r="A36" s="4" t="s">
        <v>81</v>
      </c>
      <c r="B36" s="4396" t="s">
        <v>79</v>
      </c>
      <c r="C36" s="4398"/>
      <c r="D36" s="644" t="s">
        <v>694</v>
      </c>
      <c r="E36" s="4" t="s">
        <v>80</v>
      </c>
      <c r="F36" s="13" t="s">
        <v>960</v>
      </c>
      <c r="I36"/>
      <c r="J36"/>
      <c r="K36"/>
    </row>
    <row r="37" spans="1:13" x14ac:dyDescent="0.25">
      <c r="A37" s="640" t="s">
        <v>85</v>
      </c>
      <c r="B37" s="4405" t="s">
        <v>82</v>
      </c>
      <c r="C37" s="639" t="s">
        <v>83</v>
      </c>
      <c r="D37" s="160">
        <v>106104947</v>
      </c>
      <c r="E37" s="642" t="s">
        <v>84</v>
      </c>
      <c r="F37" s="650">
        <v>6</v>
      </c>
      <c r="I37"/>
      <c r="J37"/>
      <c r="K37"/>
    </row>
    <row r="38" spans="1:13" x14ac:dyDescent="0.25">
      <c r="A38" s="636" t="s">
        <v>35</v>
      </c>
      <c r="B38" s="4403"/>
      <c r="C38" s="652" t="s">
        <v>89</v>
      </c>
      <c r="D38" s="158">
        <v>106104093</v>
      </c>
      <c r="E38" s="635" t="s">
        <v>1057</v>
      </c>
      <c r="F38" s="651">
        <v>12</v>
      </c>
      <c r="G38" s="11"/>
      <c r="H38" s="11"/>
      <c r="I38"/>
      <c r="J38"/>
      <c r="K38"/>
    </row>
    <row r="39" spans="1:13" x14ac:dyDescent="0.25">
      <c r="A39" s="636" t="s">
        <v>36</v>
      </c>
      <c r="B39" s="4403"/>
      <c r="C39" s="652" t="s">
        <v>91</v>
      </c>
      <c r="D39" s="158">
        <v>106104223</v>
      </c>
      <c r="E39" s="635" t="s">
        <v>92</v>
      </c>
      <c r="F39" s="651">
        <v>4</v>
      </c>
      <c r="G39" s="11"/>
      <c r="H39" s="11"/>
      <c r="I39"/>
      <c r="J39"/>
      <c r="K39"/>
    </row>
    <row r="40" spans="1:13" x14ac:dyDescent="0.25">
      <c r="A40" s="636" t="s">
        <v>39</v>
      </c>
      <c r="B40" s="4403"/>
      <c r="C40" s="652" t="s">
        <v>93</v>
      </c>
      <c r="D40" s="158">
        <v>106104229</v>
      </c>
      <c r="E40" s="635" t="s">
        <v>94</v>
      </c>
      <c r="F40" s="651">
        <v>4</v>
      </c>
      <c r="G40" s="11"/>
      <c r="H40" s="11"/>
      <c r="I40"/>
      <c r="J40"/>
      <c r="K40"/>
    </row>
    <row r="41" spans="1:13" x14ac:dyDescent="0.25">
      <c r="A41" s="636" t="s">
        <v>38</v>
      </c>
      <c r="B41" s="4403"/>
      <c r="C41" s="652" t="s">
        <v>95</v>
      </c>
      <c r="D41" s="158">
        <v>106104219</v>
      </c>
      <c r="E41" s="637" t="s">
        <v>96</v>
      </c>
      <c r="F41" s="651">
        <v>4</v>
      </c>
      <c r="G41" s="11"/>
      <c r="H41" s="11"/>
      <c r="I41"/>
      <c r="J41"/>
      <c r="K41"/>
    </row>
    <row r="42" spans="1:13" x14ac:dyDescent="0.25">
      <c r="A42" s="158"/>
      <c r="B42" s="4403"/>
      <c r="C42" s="161" t="s">
        <v>97</v>
      </c>
      <c r="D42" s="158">
        <v>106104119</v>
      </c>
      <c r="E42" s="647" t="s">
        <v>152</v>
      </c>
      <c r="F42" s="651">
        <v>4</v>
      </c>
      <c r="G42" s="11"/>
      <c r="H42" s="11"/>
      <c r="I42"/>
      <c r="J42"/>
      <c r="K42"/>
    </row>
    <row r="43" spans="1:13" x14ac:dyDescent="0.25">
      <c r="A43" s="158"/>
      <c r="B43" s="4403"/>
      <c r="C43" s="161" t="s">
        <v>100</v>
      </c>
      <c r="D43" s="158">
        <v>106104084</v>
      </c>
      <c r="E43" s="647" t="s">
        <v>153</v>
      </c>
      <c r="F43" s="651">
        <v>4</v>
      </c>
      <c r="I43"/>
      <c r="J43"/>
      <c r="K43"/>
    </row>
    <row r="44" spans="1:13" x14ac:dyDescent="0.25">
      <c r="A44" s="158"/>
      <c r="B44" s="4403"/>
      <c r="C44" s="161" t="s">
        <v>102</v>
      </c>
      <c r="D44" s="158">
        <v>106104126</v>
      </c>
      <c r="E44" s="647" t="s">
        <v>154</v>
      </c>
      <c r="F44" s="651">
        <v>4</v>
      </c>
      <c r="I44"/>
      <c r="J44"/>
      <c r="K44"/>
    </row>
    <row r="45" spans="1:13" x14ac:dyDescent="0.25">
      <c r="A45" s="158"/>
      <c r="B45" s="4403"/>
      <c r="C45" s="161" t="s">
        <v>104</v>
      </c>
      <c r="D45" s="158">
        <v>106104094</v>
      </c>
      <c r="E45" s="647" t="s">
        <v>155</v>
      </c>
      <c r="F45" s="651">
        <v>4</v>
      </c>
      <c r="I45"/>
      <c r="J45"/>
      <c r="K45"/>
    </row>
    <row r="46" spans="1:13" x14ac:dyDescent="0.25">
      <c r="A46" s="636" t="s">
        <v>106</v>
      </c>
      <c r="B46" s="4403"/>
      <c r="C46" s="652" t="s">
        <v>106</v>
      </c>
      <c r="D46" s="158">
        <v>106200539</v>
      </c>
      <c r="E46" s="635" t="s">
        <v>107</v>
      </c>
      <c r="F46" s="651">
        <v>4</v>
      </c>
      <c r="I46"/>
      <c r="J46"/>
      <c r="K46"/>
    </row>
    <row r="47" spans="1:13" x14ac:dyDescent="0.25">
      <c r="A47" s="636" t="s">
        <v>108</v>
      </c>
      <c r="B47" s="4403"/>
      <c r="C47" s="652" t="s">
        <v>108</v>
      </c>
      <c r="D47" s="158">
        <v>106104330</v>
      </c>
      <c r="E47" s="637" t="s">
        <v>691</v>
      </c>
      <c r="F47" s="651">
        <v>4</v>
      </c>
      <c r="I47"/>
      <c r="J47"/>
      <c r="K47"/>
    </row>
    <row r="48" spans="1:13" s="11" customFormat="1" x14ac:dyDescent="0.25">
      <c r="A48" s="636" t="s">
        <v>40</v>
      </c>
      <c r="B48" s="4403"/>
      <c r="C48" s="652" t="s">
        <v>40</v>
      </c>
      <c r="D48" s="158">
        <v>106200771</v>
      </c>
      <c r="E48" s="635" t="s">
        <v>110</v>
      </c>
      <c r="F48" s="651">
        <v>4</v>
      </c>
    </row>
    <row r="49" spans="1:11" x14ac:dyDescent="0.25">
      <c r="A49" s="636"/>
      <c r="B49" s="4403"/>
      <c r="C49" s="652"/>
      <c r="D49" s="648">
        <v>106112712</v>
      </c>
      <c r="E49" s="649" t="s">
        <v>926</v>
      </c>
      <c r="F49" s="651">
        <v>8</v>
      </c>
      <c r="I49"/>
      <c r="J49"/>
      <c r="K49"/>
    </row>
    <row r="50" spans="1:11" s="11" customFormat="1" ht="15.75" thickBot="1" x14ac:dyDescent="0.3">
      <c r="A50" s="636"/>
      <c r="B50" s="4403"/>
      <c r="C50" s="653"/>
      <c r="D50" s="618">
        <v>106107580</v>
      </c>
      <c r="E50" s="649" t="s">
        <v>1277</v>
      </c>
      <c r="F50" s="681">
        <v>12</v>
      </c>
    </row>
    <row r="51" spans="1:11" ht="15.75" thickBot="1" x14ac:dyDescent="0.3">
      <c r="A51" s="654" t="s">
        <v>111</v>
      </c>
      <c r="B51" s="4404"/>
      <c r="C51" s="682" t="s">
        <v>111</v>
      </c>
      <c r="D51" s="683">
        <v>106200873</v>
      </c>
      <c r="E51" s="684" t="s">
        <v>112</v>
      </c>
      <c r="F51" s="685">
        <v>4</v>
      </c>
      <c r="I51"/>
      <c r="J51"/>
      <c r="K51"/>
    </row>
    <row r="52" spans="1:11" x14ac:dyDescent="0.25">
      <c r="A52" s="160"/>
      <c r="B52" s="4405" t="s">
        <v>113</v>
      </c>
      <c r="C52" s="159" t="s">
        <v>114</v>
      </c>
      <c r="D52" s="160">
        <v>106104180</v>
      </c>
      <c r="E52" s="660" t="s">
        <v>157</v>
      </c>
      <c r="F52" s="661">
        <v>4</v>
      </c>
      <c r="I52"/>
      <c r="J52"/>
      <c r="K52"/>
    </row>
    <row r="53" spans="1:11" x14ac:dyDescent="0.25">
      <c r="A53" s="158"/>
      <c r="B53" s="4403"/>
      <c r="C53" s="161" t="s">
        <v>117</v>
      </c>
      <c r="D53" s="158">
        <v>106104133</v>
      </c>
      <c r="E53" s="647" t="s">
        <v>158</v>
      </c>
      <c r="F53" s="662">
        <v>16</v>
      </c>
      <c r="I53"/>
      <c r="J53"/>
      <c r="K53"/>
    </row>
    <row r="54" spans="1:11" x14ac:dyDescent="0.25">
      <c r="A54" s="158"/>
      <c r="B54" s="4403"/>
      <c r="C54" s="161" t="s">
        <v>119</v>
      </c>
      <c r="D54" s="524">
        <v>106112169</v>
      </c>
      <c r="E54" s="646" t="s">
        <v>120</v>
      </c>
      <c r="F54" s="662">
        <v>8</v>
      </c>
      <c r="I54"/>
      <c r="J54"/>
      <c r="K54"/>
    </row>
    <row r="55" spans="1:11" ht="15.75" thickBot="1" x14ac:dyDescent="0.3">
      <c r="A55" s="404"/>
      <c r="B55" s="4404"/>
      <c r="C55" s="533" t="s">
        <v>122</v>
      </c>
      <c r="D55" s="618">
        <v>106110278</v>
      </c>
      <c r="E55" s="672" t="s">
        <v>123</v>
      </c>
      <c r="F55" s="673">
        <v>4</v>
      </c>
      <c r="I55"/>
      <c r="J55"/>
      <c r="K55"/>
    </row>
    <row r="56" spans="1:11" x14ac:dyDescent="0.25">
      <c r="A56" s="640" t="s">
        <v>42</v>
      </c>
      <c r="B56" s="4405" t="s">
        <v>124</v>
      </c>
      <c r="C56" s="639" t="s">
        <v>125</v>
      </c>
      <c r="D56" s="641">
        <v>106105422</v>
      </c>
      <c r="E56" s="642" t="s">
        <v>126</v>
      </c>
      <c r="F56" s="650">
        <v>12</v>
      </c>
      <c r="I56"/>
      <c r="J56"/>
      <c r="K56"/>
    </row>
    <row r="57" spans="1:11" s="11" customFormat="1" x14ac:dyDescent="0.25">
      <c r="A57" s="636" t="s">
        <v>39</v>
      </c>
      <c r="B57" s="4403"/>
      <c r="C57" s="652" t="s">
        <v>93</v>
      </c>
      <c r="D57" s="158">
        <v>106104229</v>
      </c>
      <c r="E57" s="635" t="s">
        <v>94</v>
      </c>
      <c r="F57" s="651">
        <v>4</v>
      </c>
    </row>
    <row r="58" spans="1:11" x14ac:dyDescent="0.25">
      <c r="A58" s="638"/>
      <c r="B58" s="4403"/>
      <c r="C58" s="643" t="s">
        <v>693</v>
      </c>
      <c r="D58" s="260">
        <v>106113638</v>
      </c>
      <c r="E58" s="635" t="s">
        <v>692</v>
      </c>
      <c r="F58" s="674">
        <v>4</v>
      </c>
      <c r="I58"/>
      <c r="J58"/>
      <c r="K58"/>
    </row>
    <row r="59" spans="1:11" ht="15.75" thickBot="1" x14ac:dyDescent="0.3">
      <c r="A59" s="665" t="s">
        <v>136</v>
      </c>
      <c r="B59" s="4404"/>
      <c r="C59" s="653" t="s">
        <v>134</v>
      </c>
      <c r="D59" s="555">
        <v>106104397</v>
      </c>
      <c r="E59" s="655" t="s">
        <v>135</v>
      </c>
      <c r="F59" s="656">
        <v>4</v>
      </c>
      <c r="I59"/>
      <c r="J59"/>
      <c r="K59"/>
    </row>
    <row r="60" spans="1:11" x14ac:dyDescent="0.25">
      <c r="A60" s="640" t="s">
        <v>140</v>
      </c>
      <c r="B60" s="4405" t="s">
        <v>137</v>
      </c>
      <c r="C60" s="639" t="s">
        <v>138</v>
      </c>
      <c r="D60" s="160">
        <v>106104101</v>
      </c>
      <c r="E60" s="642" t="s">
        <v>139</v>
      </c>
      <c r="F60" s="650">
        <v>4</v>
      </c>
      <c r="I60"/>
      <c r="J60"/>
      <c r="K60"/>
    </row>
    <row r="61" spans="1:11" x14ac:dyDescent="0.25">
      <c r="A61" s="636" t="s">
        <v>143</v>
      </c>
      <c r="B61" s="4403"/>
      <c r="C61" s="652" t="s">
        <v>141</v>
      </c>
      <c r="D61" s="158">
        <v>106104408</v>
      </c>
      <c r="E61" s="635" t="s">
        <v>142</v>
      </c>
      <c r="F61" s="651">
        <v>1</v>
      </c>
      <c r="I61"/>
      <c r="J61"/>
      <c r="K61"/>
    </row>
    <row r="62" spans="1:11" x14ac:dyDescent="0.25">
      <c r="A62" s="636" t="s">
        <v>146</v>
      </c>
      <c r="B62" s="4403"/>
      <c r="C62" s="652" t="s">
        <v>144</v>
      </c>
      <c r="D62" s="158">
        <v>106105850</v>
      </c>
      <c r="E62" s="635" t="s">
        <v>145</v>
      </c>
      <c r="F62" s="651">
        <v>6</v>
      </c>
      <c r="I62"/>
      <c r="J62"/>
      <c r="K62"/>
    </row>
    <row r="63" spans="1:11" s="11" customFormat="1" x14ac:dyDescent="0.25">
      <c r="A63" s="427"/>
      <c r="B63" s="4403"/>
      <c r="C63" s="163" t="s">
        <v>169</v>
      </c>
      <c r="D63" s="427">
        <v>106201337</v>
      </c>
      <c r="E63" s="666" t="s">
        <v>170</v>
      </c>
      <c r="F63" s="667">
        <v>1</v>
      </c>
      <c r="G63" s="144"/>
    </row>
    <row r="64" spans="1:11" s="11" customFormat="1" x14ac:dyDescent="0.25">
      <c r="A64" s="427"/>
      <c r="B64" s="4403"/>
      <c r="C64" s="163" t="s">
        <v>163</v>
      </c>
      <c r="D64" s="427">
        <v>106109324</v>
      </c>
      <c r="E64" s="666" t="s">
        <v>164</v>
      </c>
      <c r="F64" s="667">
        <v>1</v>
      </c>
      <c r="G64" s="144"/>
    </row>
    <row r="65" spans="1:11" s="11" customFormat="1" x14ac:dyDescent="0.25">
      <c r="A65" s="427"/>
      <c r="B65" s="4403"/>
      <c r="C65" s="163" t="s">
        <v>165</v>
      </c>
      <c r="D65" s="427">
        <v>106109325</v>
      </c>
      <c r="E65" s="666" t="s">
        <v>166</v>
      </c>
      <c r="F65" s="667">
        <v>1</v>
      </c>
      <c r="G65" s="144"/>
    </row>
    <row r="66" spans="1:11" s="11" customFormat="1" x14ac:dyDescent="0.25">
      <c r="A66" s="427"/>
      <c r="B66" s="4403"/>
      <c r="C66" s="163" t="s">
        <v>167</v>
      </c>
      <c r="D66" s="427">
        <v>106109326</v>
      </c>
      <c r="E66" s="666" t="s">
        <v>168</v>
      </c>
      <c r="F66" s="667">
        <v>1</v>
      </c>
      <c r="G66" s="144"/>
    </row>
    <row r="67" spans="1:11" ht="15.75" thickBot="1" x14ac:dyDescent="0.3">
      <c r="A67" s="669" t="s">
        <v>2</v>
      </c>
      <c r="B67" s="4404"/>
      <c r="C67" s="668" t="s">
        <v>2</v>
      </c>
      <c r="D67" s="562">
        <v>106200591</v>
      </c>
      <c r="E67" s="670" t="s">
        <v>147</v>
      </c>
      <c r="F67" s="671">
        <v>4</v>
      </c>
      <c r="I67"/>
      <c r="J67"/>
      <c r="K67"/>
    </row>
    <row r="68" spans="1:11" ht="15.75" thickBot="1" x14ac:dyDescent="0.3"/>
    <row r="69" spans="1:11" s="11" customFormat="1" ht="18.75" customHeight="1" thickBot="1" x14ac:dyDescent="0.3">
      <c r="B69" s="24"/>
      <c r="C69" s="24"/>
      <c r="D69" s="4410" t="s">
        <v>695</v>
      </c>
      <c r="E69" s="4411"/>
      <c r="F69" s="4412"/>
    </row>
    <row r="70" spans="1:11" s="11" customFormat="1" ht="26.25" thickBot="1" x14ac:dyDescent="0.3">
      <c r="A70" s="4" t="s">
        <v>81</v>
      </c>
      <c r="B70" s="4396" t="s">
        <v>79</v>
      </c>
      <c r="C70" s="4398"/>
      <c r="D70" s="644" t="s">
        <v>694</v>
      </c>
      <c r="E70" s="4" t="s">
        <v>80</v>
      </c>
      <c r="F70" s="13" t="s">
        <v>960</v>
      </c>
    </row>
    <row r="71" spans="1:11" s="11" customFormat="1" x14ac:dyDescent="0.25">
      <c r="A71" s="640" t="s">
        <v>85</v>
      </c>
      <c r="B71" s="4405" t="s">
        <v>82</v>
      </c>
      <c r="C71" s="639" t="s">
        <v>83</v>
      </c>
      <c r="D71" s="160">
        <v>106104947</v>
      </c>
      <c r="E71" s="642" t="s">
        <v>84</v>
      </c>
      <c r="F71" s="650">
        <v>6</v>
      </c>
    </row>
    <row r="72" spans="1:11" s="173" customFormat="1" x14ac:dyDescent="0.25">
      <c r="A72" s="645" t="s">
        <v>88</v>
      </c>
      <c r="B72" s="4403"/>
      <c r="C72" s="1630" t="s">
        <v>86</v>
      </c>
      <c r="D72" s="1631">
        <v>106105387</v>
      </c>
      <c r="E72" s="1632" t="s">
        <v>87</v>
      </c>
      <c r="F72" s="1633">
        <v>4</v>
      </c>
    </row>
    <row r="73" spans="1:11" s="11" customFormat="1" ht="26.25" x14ac:dyDescent="0.25">
      <c r="A73" s="636" t="s">
        <v>35</v>
      </c>
      <c r="B73" s="4403"/>
      <c r="C73" s="1634" t="s">
        <v>698</v>
      </c>
      <c r="D73" s="1635">
        <v>106104093</v>
      </c>
      <c r="E73" s="1636" t="s">
        <v>1057</v>
      </c>
      <c r="F73" s="1637">
        <v>12</v>
      </c>
    </row>
    <row r="74" spans="1:11" s="11" customFormat="1" x14ac:dyDescent="0.25">
      <c r="A74" s="636" t="s">
        <v>36</v>
      </c>
      <c r="B74" s="4403"/>
      <c r="C74" s="1638" t="s">
        <v>91</v>
      </c>
      <c r="D74" s="1635">
        <v>106104223</v>
      </c>
      <c r="E74" s="1636" t="s">
        <v>92</v>
      </c>
      <c r="F74" s="1637">
        <v>4</v>
      </c>
    </row>
    <row r="75" spans="1:11" s="11" customFormat="1" x14ac:dyDescent="0.25">
      <c r="A75" s="636" t="s">
        <v>39</v>
      </c>
      <c r="B75" s="4403"/>
      <c r="C75" s="1638" t="s">
        <v>93</v>
      </c>
      <c r="D75" s="1635">
        <v>106104229</v>
      </c>
      <c r="E75" s="1636" t="s">
        <v>94</v>
      </c>
      <c r="F75" s="1637">
        <v>4</v>
      </c>
    </row>
    <row r="76" spans="1:11" s="11" customFormat="1" x14ac:dyDescent="0.25">
      <c r="A76" s="636" t="s">
        <v>38</v>
      </c>
      <c r="B76" s="4403"/>
      <c r="C76" s="1638" t="s">
        <v>95</v>
      </c>
      <c r="D76" s="1635">
        <v>106104219</v>
      </c>
      <c r="E76" s="1639" t="s">
        <v>96</v>
      </c>
      <c r="F76" s="1637">
        <v>4</v>
      </c>
    </row>
    <row r="77" spans="1:11" s="11" customFormat="1" x14ac:dyDescent="0.25">
      <c r="A77" s="158"/>
      <c r="B77" s="4403"/>
      <c r="C77" s="1640" t="s">
        <v>97</v>
      </c>
      <c r="D77" s="1635">
        <v>106104119</v>
      </c>
      <c r="E77" s="1641" t="s">
        <v>152</v>
      </c>
      <c r="F77" s="1637">
        <v>4</v>
      </c>
    </row>
    <row r="78" spans="1:11" s="11" customFormat="1" x14ac:dyDescent="0.25">
      <c r="A78" s="158"/>
      <c r="B78" s="4403"/>
      <c r="C78" s="1640" t="s">
        <v>100</v>
      </c>
      <c r="D78" s="1635">
        <v>106104084</v>
      </c>
      <c r="E78" s="1641" t="s">
        <v>153</v>
      </c>
      <c r="F78" s="1637">
        <v>4</v>
      </c>
    </row>
    <row r="79" spans="1:11" s="11" customFormat="1" x14ac:dyDescent="0.25">
      <c r="A79" s="158"/>
      <c r="B79" s="4403"/>
      <c r="C79" s="1640" t="s">
        <v>102</v>
      </c>
      <c r="D79" s="1635">
        <v>106104126</v>
      </c>
      <c r="E79" s="1641" t="s">
        <v>154</v>
      </c>
      <c r="F79" s="1637">
        <v>4</v>
      </c>
    </row>
    <row r="80" spans="1:11" s="11" customFormat="1" x14ac:dyDescent="0.25">
      <c r="A80" s="158"/>
      <c r="B80" s="4403"/>
      <c r="C80" s="1640" t="s">
        <v>104</v>
      </c>
      <c r="D80" s="1635">
        <v>106104094</v>
      </c>
      <c r="E80" s="1641" t="s">
        <v>155</v>
      </c>
      <c r="F80" s="1637">
        <v>4</v>
      </c>
    </row>
    <row r="81" spans="1:13" s="11" customFormat="1" x14ac:dyDescent="0.25">
      <c r="A81" s="636" t="s">
        <v>106</v>
      </c>
      <c r="B81" s="4403"/>
      <c r="C81" s="1638" t="s">
        <v>106</v>
      </c>
      <c r="D81" s="1635">
        <v>106200539</v>
      </c>
      <c r="E81" s="1636" t="s">
        <v>107</v>
      </c>
      <c r="F81" s="1637">
        <v>4</v>
      </c>
    </row>
    <row r="82" spans="1:13" s="11" customFormat="1" x14ac:dyDescent="0.25">
      <c r="A82" s="637" t="s">
        <v>484</v>
      </c>
      <c r="B82" s="4403"/>
      <c r="C82" s="1634" t="s">
        <v>484</v>
      </c>
      <c r="D82" s="1635">
        <v>106200745</v>
      </c>
      <c r="E82" s="1639" t="s">
        <v>697</v>
      </c>
      <c r="F82" s="1637">
        <v>4</v>
      </c>
    </row>
    <row r="83" spans="1:13" s="11" customFormat="1" x14ac:dyDescent="0.25">
      <c r="A83" s="2564" t="s">
        <v>41</v>
      </c>
      <c r="B83" s="4403"/>
      <c r="C83" s="2564" t="s">
        <v>41</v>
      </c>
      <c r="D83" s="1635">
        <v>106200748</v>
      </c>
      <c r="E83" s="1639" t="s">
        <v>696</v>
      </c>
      <c r="F83" s="1637">
        <v>4</v>
      </c>
    </row>
    <row r="84" spans="1:13" s="11" customFormat="1" x14ac:dyDescent="0.25">
      <c r="A84" s="636" t="s">
        <v>40</v>
      </c>
      <c r="B84" s="4403"/>
      <c r="C84" s="1638" t="s">
        <v>40</v>
      </c>
      <c r="D84" s="1635">
        <v>106200771</v>
      </c>
      <c r="E84" s="1636" t="s">
        <v>110</v>
      </c>
      <c r="F84" s="1637">
        <v>4</v>
      </c>
    </row>
    <row r="85" spans="1:13" s="11" customFormat="1" x14ac:dyDescent="0.25">
      <c r="A85" s="636"/>
      <c r="B85" s="4403"/>
      <c r="C85" s="1638"/>
      <c r="D85" s="1642">
        <v>106112712</v>
      </c>
      <c r="E85" s="1643" t="s">
        <v>926</v>
      </c>
      <c r="F85" s="1637">
        <v>8</v>
      </c>
    </row>
    <row r="86" spans="1:13" s="11" customFormat="1" ht="15.75" thickBot="1" x14ac:dyDescent="0.3">
      <c r="A86" s="636"/>
      <c r="B86" s="4403"/>
      <c r="C86" s="1644"/>
      <c r="D86" s="1645">
        <v>106107580</v>
      </c>
      <c r="E86" s="1643" t="s">
        <v>1277</v>
      </c>
      <c r="F86" s="1646">
        <v>12</v>
      </c>
    </row>
    <row r="87" spans="1:13" s="11" customFormat="1" ht="15.75" thickBot="1" x14ac:dyDescent="0.3">
      <c r="A87" s="654" t="s">
        <v>111</v>
      </c>
      <c r="B87" s="4404"/>
      <c r="C87" s="682" t="s">
        <v>111</v>
      </c>
      <c r="D87" s="1647">
        <v>106200873</v>
      </c>
      <c r="E87" s="1648" t="s">
        <v>112</v>
      </c>
      <c r="F87" s="1649">
        <v>4</v>
      </c>
    </row>
    <row r="88" spans="1:13" s="11" customFormat="1" x14ac:dyDescent="0.25">
      <c r="A88" s="160"/>
      <c r="B88" s="4405" t="s">
        <v>113</v>
      </c>
      <c r="C88" s="159" t="s">
        <v>114</v>
      </c>
      <c r="D88" s="160">
        <v>106104180</v>
      </c>
      <c r="E88" s="660" t="s">
        <v>157</v>
      </c>
      <c r="F88" s="661">
        <v>4</v>
      </c>
    </row>
    <row r="89" spans="1:13" s="11" customFormat="1" x14ac:dyDescent="0.25">
      <c r="A89" s="158"/>
      <c r="B89" s="4403"/>
      <c r="C89" s="1640" t="s">
        <v>192</v>
      </c>
      <c r="D89" s="1635">
        <v>106104095</v>
      </c>
      <c r="E89" s="1641" t="s">
        <v>699</v>
      </c>
      <c r="F89" s="1650">
        <v>4</v>
      </c>
    </row>
    <row r="90" spans="1:13" s="11" customFormat="1" x14ac:dyDescent="0.25">
      <c r="A90" s="158"/>
      <c r="B90" s="4403"/>
      <c r="C90" s="1640" t="s">
        <v>117</v>
      </c>
      <c r="D90" s="1635">
        <v>106104133</v>
      </c>
      <c r="E90" s="1641" t="s">
        <v>158</v>
      </c>
      <c r="F90" s="1650">
        <v>16</v>
      </c>
    </row>
    <row r="91" spans="1:13" s="11" customFormat="1" x14ac:dyDescent="0.25">
      <c r="A91" s="158"/>
      <c r="B91" s="4403"/>
      <c r="C91" s="1640" t="s">
        <v>119</v>
      </c>
      <c r="D91" s="1651">
        <v>106112169</v>
      </c>
      <c r="E91" s="1652" t="s">
        <v>120</v>
      </c>
      <c r="F91" s="1650">
        <v>8</v>
      </c>
    </row>
    <row r="92" spans="1:13" s="11" customFormat="1" ht="15.75" thickBot="1" x14ac:dyDescent="0.3">
      <c r="A92" s="165"/>
      <c r="B92" s="4404"/>
      <c r="C92" s="1653" t="s">
        <v>122</v>
      </c>
      <c r="D92" s="663">
        <v>106110278</v>
      </c>
      <c r="E92" s="664" t="s">
        <v>123</v>
      </c>
      <c r="F92" s="1654">
        <v>4</v>
      </c>
    </row>
    <row r="93" spans="1:13" s="11" customFormat="1" x14ac:dyDescent="0.25">
      <c r="A93" s="658" t="s">
        <v>42</v>
      </c>
      <c r="B93" s="4405" t="s">
        <v>124</v>
      </c>
      <c r="C93" s="657" t="s">
        <v>125</v>
      </c>
      <c r="D93" s="570">
        <v>106105422</v>
      </c>
      <c r="E93" s="659" t="s">
        <v>126</v>
      </c>
      <c r="F93" s="1655">
        <v>12</v>
      </c>
      <c r="M93" s="11" t="s">
        <v>12</v>
      </c>
    </row>
    <row r="94" spans="1:13" s="11" customFormat="1" x14ac:dyDescent="0.25">
      <c r="A94" s="638" t="s">
        <v>39</v>
      </c>
      <c r="B94" s="4403"/>
      <c r="C94" s="1638" t="s">
        <v>93</v>
      </c>
      <c r="D94" s="1635">
        <v>106104229</v>
      </c>
      <c r="E94" s="1636" t="s">
        <v>94</v>
      </c>
      <c r="F94" s="1637">
        <v>4</v>
      </c>
    </row>
    <row r="95" spans="1:13" s="11" customFormat="1" x14ac:dyDescent="0.25">
      <c r="A95" s="638"/>
      <c r="B95" s="4403"/>
      <c r="C95" s="1634" t="s">
        <v>693</v>
      </c>
      <c r="D95" s="1656">
        <v>106113638</v>
      </c>
      <c r="E95" s="1636" t="s">
        <v>692</v>
      </c>
      <c r="F95" s="1657">
        <v>4</v>
      </c>
      <c r="H95" s="55">
        <v>106113638</v>
      </c>
      <c r="I95" s="633" t="s">
        <v>692</v>
      </c>
      <c r="M95" s="11">
        <f>SUM(M96:M100)</f>
        <v>842.29</v>
      </c>
    </row>
    <row r="96" spans="1:13" s="11" customFormat="1" ht="15.75" thickBot="1" x14ac:dyDescent="0.3">
      <c r="A96" s="665" t="s">
        <v>136</v>
      </c>
      <c r="B96" s="4404"/>
      <c r="C96" s="1644" t="s">
        <v>134</v>
      </c>
      <c r="D96" s="1658">
        <v>106104397</v>
      </c>
      <c r="E96" s="1659" t="s">
        <v>135</v>
      </c>
      <c r="F96" s="1660">
        <v>4</v>
      </c>
      <c r="I96" s="122">
        <v>106110473</v>
      </c>
      <c r="J96" s="11" t="s">
        <v>700</v>
      </c>
      <c r="M96" s="11">
        <v>787.93</v>
      </c>
    </row>
    <row r="97" spans="1:13" s="11" customFormat="1" x14ac:dyDescent="0.25">
      <c r="A97" s="640" t="s">
        <v>140</v>
      </c>
      <c r="B97" s="4405" t="s">
        <v>137</v>
      </c>
      <c r="C97" s="639" t="s">
        <v>138</v>
      </c>
      <c r="D97" s="160">
        <v>106104101</v>
      </c>
      <c r="E97" s="642" t="s">
        <v>139</v>
      </c>
      <c r="F97" s="650">
        <v>4</v>
      </c>
      <c r="I97" s="122">
        <v>106111815</v>
      </c>
      <c r="J97" s="11" t="s">
        <v>701</v>
      </c>
      <c r="M97" s="11">
        <v>11.39</v>
      </c>
    </row>
    <row r="98" spans="1:13" s="11" customFormat="1" x14ac:dyDescent="0.25">
      <c r="A98" s="636" t="s">
        <v>143</v>
      </c>
      <c r="B98" s="4403"/>
      <c r="C98" s="1638" t="s">
        <v>141</v>
      </c>
      <c r="D98" s="1635">
        <v>106104408</v>
      </c>
      <c r="E98" s="1636" t="s">
        <v>142</v>
      </c>
      <c r="F98" s="1637">
        <v>1</v>
      </c>
      <c r="I98" s="122">
        <v>106104092</v>
      </c>
      <c r="J98" s="11" t="s">
        <v>704</v>
      </c>
      <c r="M98" s="11">
        <v>11.71</v>
      </c>
    </row>
    <row r="99" spans="1:13" s="11" customFormat="1" x14ac:dyDescent="0.25">
      <c r="A99" s="636" t="s">
        <v>146</v>
      </c>
      <c r="B99" s="4403"/>
      <c r="C99" s="1638" t="s">
        <v>144</v>
      </c>
      <c r="D99" s="1635">
        <v>106105850</v>
      </c>
      <c r="E99" s="1636" t="s">
        <v>145</v>
      </c>
      <c r="F99" s="1637">
        <v>6</v>
      </c>
      <c r="I99" s="122">
        <v>106111814</v>
      </c>
      <c r="J99" s="11" t="s">
        <v>703</v>
      </c>
      <c r="M99" s="11">
        <v>6.65</v>
      </c>
    </row>
    <row r="100" spans="1:13" s="11" customFormat="1" x14ac:dyDescent="0.25">
      <c r="A100" s="427"/>
      <c r="B100" s="4403"/>
      <c r="C100" s="1661" t="s">
        <v>169</v>
      </c>
      <c r="D100" s="1662">
        <v>106201337</v>
      </c>
      <c r="E100" s="1663" t="s">
        <v>170</v>
      </c>
      <c r="F100" s="1664">
        <v>1</v>
      </c>
      <c r="G100" s="144"/>
      <c r="I100" s="122">
        <v>106112162</v>
      </c>
      <c r="J100" s="11" t="s">
        <v>702</v>
      </c>
      <c r="M100" s="11">
        <v>24.61</v>
      </c>
    </row>
    <row r="101" spans="1:13" s="11" customFormat="1" x14ac:dyDescent="0.25">
      <c r="A101" s="427"/>
      <c r="B101" s="4403"/>
      <c r="C101" s="1661" t="s">
        <v>163</v>
      </c>
      <c r="D101" s="1662">
        <v>106109324</v>
      </c>
      <c r="E101" s="1663" t="s">
        <v>164</v>
      </c>
      <c r="F101" s="1664">
        <v>1</v>
      </c>
      <c r="G101" s="144"/>
    </row>
    <row r="102" spans="1:13" s="11" customFormat="1" x14ac:dyDescent="0.25">
      <c r="A102" s="427"/>
      <c r="B102" s="4403"/>
      <c r="C102" s="1661" t="s">
        <v>165</v>
      </c>
      <c r="D102" s="1662">
        <v>106109325</v>
      </c>
      <c r="E102" s="1663" t="s">
        <v>166</v>
      </c>
      <c r="F102" s="1664">
        <v>1</v>
      </c>
      <c r="G102" s="144"/>
    </row>
    <row r="103" spans="1:13" s="11" customFormat="1" x14ac:dyDescent="0.25">
      <c r="A103" s="427"/>
      <c r="B103" s="4403"/>
      <c r="C103" s="1661" t="s">
        <v>167</v>
      </c>
      <c r="D103" s="1662">
        <v>106109326</v>
      </c>
      <c r="E103" s="1663" t="s">
        <v>168</v>
      </c>
      <c r="F103" s="1664">
        <v>1</v>
      </c>
      <c r="G103" s="144"/>
    </row>
    <row r="104" spans="1:13" s="11" customFormat="1" ht="15.75" thickBot="1" x14ac:dyDescent="0.3">
      <c r="A104" s="669" t="s">
        <v>2</v>
      </c>
      <c r="B104" s="4404"/>
      <c r="C104" s="1665" t="s">
        <v>2</v>
      </c>
      <c r="D104" s="562">
        <v>106200591</v>
      </c>
      <c r="E104" s="670" t="s">
        <v>147</v>
      </c>
      <c r="F104" s="1666">
        <v>4</v>
      </c>
    </row>
    <row r="105" spans="1:13" s="11" customFormat="1" ht="15.75" thickBot="1" x14ac:dyDescent="0.3">
      <c r="A105" s="677"/>
      <c r="B105" s="675"/>
      <c r="C105" s="676"/>
      <c r="D105" s="677"/>
      <c r="E105" s="536"/>
      <c r="F105" s="678"/>
      <c r="G105" s="1667"/>
      <c r="H105" s="1668"/>
      <c r="I105" s="1668"/>
      <c r="J105" s="634"/>
      <c r="K105" s="679"/>
    </row>
    <row r="106" spans="1:13" s="11" customFormat="1" ht="18.75" customHeight="1" thickBot="1" x14ac:dyDescent="0.3">
      <c r="B106" s="24"/>
      <c r="C106" s="24"/>
      <c r="D106" s="4410" t="s">
        <v>171</v>
      </c>
      <c r="E106" s="4411"/>
      <c r="F106" s="4412"/>
      <c r="G106" s="144"/>
      <c r="H106" s="144"/>
      <c r="I106" s="144"/>
    </row>
    <row r="107" spans="1:13" s="11" customFormat="1" ht="26.25" thickBot="1" x14ac:dyDescent="0.3">
      <c r="A107" s="4" t="s">
        <v>81</v>
      </c>
      <c r="B107" s="4396" t="s">
        <v>79</v>
      </c>
      <c r="C107" s="4398"/>
      <c r="D107" s="644" t="s">
        <v>694</v>
      </c>
      <c r="E107" s="4" t="s">
        <v>80</v>
      </c>
      <c r="F107" s="13" t="s">
        <v>960</v>
      </c>
      <c r="G107" s="3780" t="s">
        <v>3360</v>
      </c>
      <c r="H107" s="3781" t="s">
        <v>3103</v>
      </c>
      <c r="I107" s="3781" t="s">
        <v>3358</v>
      </c>
    </row>
    <row r="108" spans="1:13" s="11" customFormat="1" x14ac:dyDescent="0.25">
      <c r="A108" s="640" t="s">
        <v>85</v>
      </c>
      <c r="B108" s="4402" t="s">
        <v>82</v>
      </c>
      <c r="C108" s="639" t="s">
        <v>83</v>
      </c>
      <c r="D108" s="160">
        <v>106104947</v>
      </c>
      <c r="E108" s="642" t="s">
        <v>84</v>
      </c>
      <c r="F108" s="650">
        <v>6</v>
      </c>
      <c r="G108" s="3779"/>
      <c r="H108" s="3779"/>
      <c r="I108" s="3779"/>
    </row>
    <row r="109" spans="1:13" s="11" customFormat="1" x14ac:dyDescent="0.25">
      <c r="A109" s="636" t="s">
        <v>35</v>
      </c>
      <c r="B109" s="4403"/>
      <c r="C109" s="1634" t="s">
        <v>705</v>
      </c>
      <c r="D109" s="1635">
        <v>106104093</v>
      </c>
      <c r="E109" s="1636" t="s">
        <v>1057</v>
      </c>
      <c r="F109" s="1637">
        <v>12</v>
      </c>
      <c r="G109" s="3779">
        <f>'Lista global'!P17</f>
        <v>2.2624999999999997</v>
      </c>
      <c r="H109" s="3779">
        <f>'Lista global'!Q17</f>
        <v>1.905263157894737</v>
      </c>
      <c r="I109" s="3779">
        <f>'Lista global'!I17</f>
        <v>1.8</v>
      </c>
    </row>
    <row r="110" spans="1:13" s="11" customFormat="1" x14ac:dyDescent="0.25">
      <c r="A110" s="636" t="s">
        <v>36</v>
      </c>
      <c r="B110" s="4403"/>
      <c r="C110" s="1638" t="s">
        <v>91</v>
      </c>
      <c r="D110" s="1635">
        <v>106104223</v>
      </c>
      <c r="E110" s="1639" t="s">
        <v>92</v>
      </c>
      <c r="F110" s="1637">
        <v>4</v>
      </c>
      <c r="G110" s="3779">
        <f>'Lista global'!P48</f>
        <v>56.199999999999996</v>
      </c>
      <c r="H110" s="3779">
        <f>'Lista global'!Q48</f>
        <v>47.326315789473689</v>
      </c>
      <c r="I110" s="3779">
        <f>'Lista global'!I48</f>
        <v>44.955555555555556</v>
      </c>
    </row>
    <row r="111" spans="1:13" s="11" customFormat="1" ht="15.75" customHeight="1" x14ac:dyDescent="0.25">
      <c r="A111" s="636" t="s">
        <v>39</v>
      </c>
      <c r="B111" s="4403"/>
      <c r="C111" s="1638" t="s">
        <v>93</v>
      </c>
      <c r="D111" s="1635">
        <v>106104221</v>
      </c>
      <c r="E111" s="1639" t="s">
        <v>151</v>
      </c>
      <c r="F111" s="1637">
        <v>4</v>
      </c>
      <c r="G111" s="3779">
        <f>'Lista global'!P47</f>
        <v>31.837499999999999</v>
      </c>
      <c r="H111" s="3779">
        <f>'Lista global'!Q47</f>
        <v>26.810526315789474</v>
      </c>
      <c r="I111" s="3779">
        <f>'Lista global'!I47</f>
        <v>25.444444444444443</v>
      </c>
    </row>
    <row r="112" spans="1:13" s="11" customFormat="1" x14ac:dyDescent="0.25">
      <c r="A112" s="636" t="s">
        <v>38</v>
      </c>
      <c r="B112" s="4403"/>
      <c r="C112" s="1638" t="s">
        <v>95</v>
      </c>
      <c r="D112" s="1635">
        <v>106104219</v>
      </c>
      <c r="E112" s="1639" t="s">
        <v>96</v>
      </c>
      <c r="F112" s="1637">
        <v>4</v>
      </c>
      <c r="G112" s="3779">
        <f>'Lista global'!P46</f>
        <v>25.224999999999998</v>
      </c>
      <c r="H112" s="3779">
        <f>'Lista global'!Q46</f>
        <v>21.242105263157896</v>
      </c>
      <c r="I112" s="3779">
        <f>'Lista global'!I46</f>
        <v>20.177777777777777</v>
      </c>
    </row>
    <row r="113" spans="1:14" s="11" customFormat="1" x14ac:dyDescent="0.25">
      <c r="A113" s="158"/>
      <c r="B113" s="4403"/>
      <c r="C113" s="1640" t="s">
        <v>97</v>
      </c>
      <c r="D113" s="1635">
        <v>106104119</v>
      </c>
      <c r="E113" s="1641" t="s">
        <v>152</v>
      </c>
      <c r="F113" s="1637">
        <v>4</v>
      </c>
      <c r="G113" s="3779">
        <f>'Lista global'!P26</f>
        <v>412.58749999999998</v>
      </c>
      <c r="H113" s="3779">
        <f>'Lista global'!Q26</f>
        <v>347.44210526315788</v>
      </c>
      <c r="I113" s="3779">
        <f>'Lista global'!I26</f>
        <v>244.0888888888889</v>
      </c>
    </row>
    <row r="114" spans="1:14" s="11" customFormat="1" x14ac:dyDescent="0.25">
      <c r="A114" s="158"/>
      <c r="B114" s="4403"/>
      <c r="C114" s="1640" t="s">
        <v>100</v>
      </c>
      <c r="D114" s="1635">
        <v>106104084</v>
      </c>
      <c r="E114" s="1641" t="s">
        <v>153</v>
      </c>
      <c r="F114" s="1637">
        <v>4</v>
      </c>
      <c r="G114" s="3779">
        <f>'Lista global'!P13</f>
        <v>61.074999999999996</v>
      </c>
      <c r="H114" s="3779">
        <f>'Lista global'!Q13</f>
        <v>51.431578947368422</v>
      </c>
      <c r="I114" s="3779">
        <f>'Lista global'!I13</f>
        <v>48.833333333333336</v>
      </c>
    </row>
    <row r="115" spans="1:14" s="11" customFormat="1" x14ac:dyDescent="0.25">
      <c r="A115" s="158"/>
      <c r="B115" s="4403"/>
      <c r="C115" s="1640" t="s">
        <v>102</v>
      </c>
      <c r="D115" s="1635">
        <v>106104126</v>
      </c>
      <c r="E115" s="1641" t="s">
        <v>154</v>
      </c>
      <c r="F115" s="1637">
        <v>4</v>
      </c>
      <c r="G115" s="3779">
        <f>'Lista global'!P27</f>
        <v>23.95</v>
      </c>
      <c r="H115" s="3779">
        <f>'Lista global'!Q27</f>
        <v>20.168421052631579</v>
      </c>
      <c r="I115" s="3779">
        <f>'Lista global'!I27</f>
        <v>19.033333333333331</v>
      </c>
    </row>
    <row r="116" spans="1:14" s="11" customFormat="1" x14ac:dyDescent="0.25">
      <c r="A116" s="158"/>
      <c r="B116" s="4403"/>
      <c r="C116" s="1640" t="s">
        <v>104</v>
      </c>
      <c r="D116" s="1635">
        <v>106104094</v>
      </c>
      <c r="E116" s="1641" t="s">
        <v>155</v>
      </c>
      <c r="F116" s="1637">
        <v>4</v>
      </c>
      <c r="G116" s="3779">
        <f>'Lista global'!P18</f>
        <v>2.9624999999999999</v>
      </c>
      <c r="H116" s="3779">
        <f>'Lista global'!Q18</f>
        <v>2.4947368421052634</v>
      </c>
      <c r="I116" s="3779">
        <f>'Lista global'!I18</f>
        <v>2.3666666666666667</v>
      </c>
    </row>
    <row r="117" spans="1:14" s="11" customFormat="1" x14ac:dyDescent="0.25">
      <c r="A117" s="636" t="s">
        <v>106</v>
      </c>
      <c r="B117" s="4403"/>
      <c r="C117" s="1638" t="s">
        <v>106</v>
      </c>
      <c r="D117" s="1635">
        <v>106200539</v>
      </c>
      <c r="E117" s="1636" t="s">
        <v>107</v>
      </c>
      <c r="F117" s="1637">
        <v>4</v>
      </c>
      <c r="G117" s="3779">
        <f>'Lista global'!P178</f>
        <v>33.199999999999996</v>
      </c>
      <c r="H117" s="3779">
        <f>'Lista global'!Q178</f>
        <v>22.133333333333333</v>
      </c>
      <c r="I117" s="3779">
        <f>'Lista global'!I178</f>
        <v>13.277777777777777</v>
      </c>
    </row>
    <row r="118" spans="1:14" s="11" customFormat="1" x14ac:dyDescent="0.25">
      <c r="A118" s="636" t="s">
        <v>108</v>
      </c>
      <c r="B118" s="4403"/>
      <c r="C118" s="1638" t="s">
        <v>108</v>
      </c>
      <c r="D118" s="1635">
        <v>106104330</v>
      </c>
      <c r="E118" s="1639" t="s">
        <v>691</v>
      </c>
      <c r="F118" s="1637">
        <v>4</v>
      </c>
      <c r="G118" s="3779">
        <f>'Lista global'!P51</f>
        <v>235.3</v>
      </c>
      <c r="H118" s="3779">
        <f>'Lista global'!Q51</f>
        <v>156.86666666666667</v>
      </c>
      <c r="I118" s="3779">
        <f>'Lista global'!I51</f>
        <v>94.12222222222222</v>
      </c>
    </row>
    <row r="119" spans="1:14" s="11" customFormat="1" x14ac:dyDescent="0.25">
      <c r="A119" s="636" t="s">
        <v>40</v>
      </c>
      <c r="B119" s="4403"/>
      <c r="C119" s="1638" t="s">
        <v>40</v>
      </c>
      <c r="D119" s="1635">
        <v>106200771</v>
      </c>
      <c r="E119" s="1636" t="s">
        <v>110</v>
      </c>
      <c r="F119" s="1637">
        <v>4</v>
      </c>
      <c r="G119" s="3779">
        <f>'Lista global'!P183</f>
        <v>49.199999999999996</v>
      </c>
      <c r="H119" s="3779">
        <f>'Lista global'!Q183</f>
        <v>32.800000000000004</v>
      </c>
      <c r="I119" s="3779">
        <f>'Lista global'!I183</f>
        <v>19.677777777777777</v>
      </c>
    </row>
    <row r="120" spans="1:14" s="11" customFormat="1" x14ac:dyDescent="0.25">
      <c r="A120" s="636"/>
      <c r="B120" s="4403"/>
      <c r="C120" s="1638"/>
      <c r="D120" s="1642">
        <v>106112712</v>
      </c>
      <c r="E120" s="1643" t="s">
        <v>926</v>
      </c>
      <c r="F120" s="1637">
        <v>8</v>
      </c>
      <c r="G120" s="3779">
        <f>'Lista global'!P117</f>
        <v>4.3249999999999993</v>
      </c>
      <c r="H120" s="3779">
        <f>'Lista global'!Q117</f>
        <v>3.642105263157895</v>
      </c>
      <c r="I120" s="3779">
        <f>'Lista global'!I117</f>
        <v>3.333333333333333</v>
      </c>
    </row>
    <row r="121" spans="1:14" s="11" customFormat="1" ht="15.75" thickBot="1" x14ac:dyDescent="0.3">
      <c r="A121" s="636"/>
      <c r="B121" s="4403"/>
      <c r="C121" s="1644"/>
      <c r="D121" s="1645">
        <v>106107580</v>
      </c>
      <c r="E121" s="1643" t="s">
        <v>1277</v>
      </c>
      <c r="F121" s="1646">
        <v>12</v>
      </c>
      <c r="G121" s="3779">
        <f>'Lista global'!P78</f>
        <v>1.0874999999999999</v>
      </c>
      <c r="H121" s="3779">
        <f>'Lista global'!Q78</f>
        <v>0.9157894736842106</v>
      </c>
      <c r="I121" s="3779">
        <f>'Lista global'!I78</f>
        <v>0.8666666666666667</v>
      </c>
    </row>
    <row r="122" spans="1:14" s="11" customFormat="1" ht="15.75" thickBot="1" x14ac:dyDescent="0.3">
      <c r="A122" s="654" t="s">
        <v>111</v>
      </c>
      <c r="B122" s="4404"/>
      <c r="C122" s="682" t="s">
        <v>111</v>
      </c>
      <c r="D122" s="1647">
        <v>106200873</v>
      </c>
      <c r="E122" s="1648" t="s">
        <v>112</v>
      </c>
      <c r="F122" s="1649">
        <v>4</v>
      </c>
      <c r="G122" s="3779">
        <f>'Lista global'!P197</f>
        <v>6373.6</v>
      </c>
      <c r="H122" s="3779">
        <f>'Lista global'!Q197</f>
        <v>3649.4500000000003</v>
      </c>
      <c r="I122" s="3779">
        <f>'Lista global'!I197</f>
        <v>1907.3444444444442</v>
      </c>
    </row>
    <row r="123" spans="1:14" s="11" customFormat="1" x14ac:dyDescent="0.25">
      <c r="A123" s="160"/>
      <c r="B123" s="4405" t="s">
        <v>113</v>
      </c>
      <c r="C123" s="159" t="s">
        <v>114</v>
      </c>
      <c r="D123" s="160">
        <v>106104180</v>
      </c>
      <c r="E123" s="660" t="s">
        <v>157</v>
      </c>
      <c r="F123" s="661">
        <v>4</v>
      </c>
      <c r="G123" s="3779">
        <f>'Lista global'!P37</f>
        <v>409.88749999999999</v>
      </c>
      <c r="H123" s="3779">
        <f>'Lista global'!Q37</f>
        <v>345.16842105263163</v>
      </c>
      <c r="I123" s="3779">
        <f>'Lista global'!I37</f>
        <v>327.90744444444442</v>
      </c>
    </row>
    <row r="124" spans="1:14" s="11" customFormat="1" x14ac:dyDescent="0.25">
      <c r="A124" s="158"/>
      <c r="B124" s="4403"/>
      <c r="C124" s="1640" t="s">
        <v>117</v>
      </c>
      <c r="D124" s="1635">
        <v>106104133</v>
      </c>
      <c r="E124" s="1641" t="s">
        <v>158</v>
      </c>
      <c r="F124" s="1650">
        <v>16</v>
      </c>
      <c r="G124" s="3779">
        <f>'Lista global'!P32</f>
        <v>11.875</v>
      </c>
      <c r="H124" s="3779">
        <f>'Lista global'!Q32</f>
        <v>10</v>
      </c>
      <c r="I124" s="3779">
        <f>'Lista global'!I32</f>
        <v>9.5</v>
      </c>
    </row>
    <row r="125" spans="1:14" s="11" customFormat="1" x14ac:dyDescent="0.25">
      <c r="A125" s="158"/>
      <c r="B125" s="4403"/>
      <c r="C125" s="1640" t="s">
        <v>119</v>
      </c>
      <c r="D125" s="1651">
        <v>106112169</v>
      </c>
      <c r="E125" s="1652" t="s">
        <v>120</v>
      </c>
      <c r="F125" s="1650">
        <v>8</v>
      </c>
      <c r="G125" s="3779">
        <f>'Lista global'!P111</f>
        <v>49.974999999999994</v>
      </c>
      <c r="H125" s="3779">
        <f>'Lista global'!Q111</f>
        <v>42.084210526315786</v>
      </c>
      <c r="I125" s="3779">
        <f>'Lista global'!I111</f>
        <v>39.955555555555556</v>
      </c>
    </row>
    <row r="126" spans="1:14" s="11" customFormat="1" ht="15.75" thickBot="1" x14ac:dyDescent="0.3">
      <c r="A126" s="165"/>
      <c r="B126" s="4404"/>
      <c r="C126" s="1653" t="s">
        <v>122</v>
      </c>
      <c r="D126" s="663">
        <v>106110278</v>
      </c>
      <c r="E126" s="664" t="s">
        <v>123</v>
      </c>
      <c r="F126" s="1654">
        <v>4</v>
      </c>
      <c r="G126" s="3779">
        <f>'Lista global'!P83</f>
        <v>92.85</v>
      </c>
      <c r="H126" s="3779">
        <f>'Lista global'!Q83</f>
        <v>78.189473684210526</v>
      </c>
      <c r="I126" s="3779">
        <f>'Lista global'!I83</f>
        <v>62.788888888888884</v>
      </c>
    </row>
    <row r="127" spans="1:14" s="11" customFormat="1" x14ac:dyDescent="0.25">
      <c r="A127" s="658" t="s">
        <v>42</v>
      </c>
      <c r="B127" s="4405" t="s">
        <v>124</v>
      </c>
      <c r="C127" s="657" t="s">
        <v>125</v>
      </c>
      <c r="D127" s="570">
        <v>106105422</v>
      </c>
      <c r="E127" s="659" t="s">
        <v>126</v>
      </c>
      <c r="F127" s="1655">
        <v>12</v>
      </c>
      <c r="G127" s="3779">
        <f>'Lista global'!P65</f>
        <v>1.3625</v>
      </c>
      <c r="H127" s="3779">
        <f>'Lista global'!Q65</f>
        <v>1.1473684210526318</v>
      </c>
      <c r="I127" s="3779">
        <f>'Lista global'!I65</f>
        <v>1.0666666666666667</v>
      </c>
      <c r="N127" s="75" t="s">
        <v>12</v>
      </c>
    </row>
    <row r="128" spans="1:14" s="11" customFormat="1" x14ac:dyDescent="0.25">
      <c r="A128" s="638"/>
      <c r="B128" s="4403"/>
      <c r="C128" s="1634" t="s">
        <v>693</v>
      </c>
      <c r="D128" s="1656">
        <v>106113638</v>
      </c>
      <c r="E128" s="1636" t="s">
        <v>692</v>
      </c>
      <c r="F128" s="1657">
        <v>4</v>
      </c>
      <c r="G128" s="3779">
        <f>I128/0.8</f>
        <v>1216.5</v>
      </c>
      <c r="H128" s="3779">
        <f>I128/0.95</f>
        <v>1024.421052631579</v>
      </c>
      <c r="I128" s="3779">
        <v>973.2</v>
      </c>
      <c r="J128" s="62">
        <v>106113638</v>
      </c>
      <c r="K128" s="633" t="s">
        <v>692</v>
      </c>
      <c r="N128" s="75"/>
    </row>
    <row r="129" spans="1:14" s="11" customFormat="1" ht="15.75" thickBot="1" x14ac:dyDescent="0.3">
      <c r="A129" s="665" t="s">
        <v>136</v>
      </c>
      <c r="B129" s="4404"/>
      <c r="C129" s="1644" t="s">
        <v>134</v>
      </c>
      <c r="D129" s="1658">
        <v>106104397</v>
      </c>
      <c r="E129" s="1659" t="s">
        <v>135</v>
      </c>
      <c r="F129" s="1660">
        <v>4</v>
      </c>
      <c r="G129" s="3779">
        <f>'Lista global'!P52</f>
        <v>94.424999999999997</v>
      </c>
      <c r="H129" s="3779">
        <f>'Lista global'!Q52</f>
        <v>79.515789473684222</v>
      </c>
      <c r="I129" s="3779">
        <f>'Lista global'!I52</f>
        <v>75.544444444444437</v>
      </c>
      <c r="K129" s="122">
        <v>106110473</v>
      </c>
      <c r="L129" s="11" t="s">
        <v>700</v>
      </c>
      <c r="N129" s="75"/>
    </row>
    <row r="130" spans="1:14" s="11" customFormat="1" x14ac:dyDescent="0.25">
      <c r="A130" s="640" t="s">
        <v>140</v>
      </c>
      <c r="B130" s="4405" t="s">
        <v>137</v>
      </c>
      <c r="C130" s="639" t="s">
        <v>138</v>
      </c>
      <c r="D130" s="160">
        <v>106104101</v>
      </c>
      <c r="E130" s="642" t="s">
        <v>139</v>
      </c>
      <c r="F130" s="650">
        <v>4</v>
      </c>
      <c r="G130" s="3779">
        <f>'Lista global'!P21</f>
        <v>2.0125000000000002</v>
      </c>
      <c r="H130" s="3779">
        <f>'Lista global'!Q21</f>
        <v>1.6947368421052633</v>
      </c>
      <c r="I130" s="3779">
        <f>'Lista global'!I21</f>
        <v>1.6111111111111109</v>
      </c>
      <c r="K130" s="122">
        <v>106111815</v>
      </c>
      <c r="L130" s="11" t="s">
        <v>701</v>
      </c>
      <c r="N130" s="75"/>
    </row>
    <row r="131" spans="1:14" s="11" customFormat="1" x14ac:dyDescent="0.25">
      <c r="A131" s="636" t="s">
        <v>143</v>
      </c>
      <c r="B131" s="4403"/>
      <c r="C131" s="1638" t="s">
        <v>141</v>
      </c>
      <c r="D131" s="1635">
        <v>106104408</v>
      </c>
      <c r="E131" s="1636" t="s">
        <v>142</v>
      </c>
      <c r="F131" s="1637">
        <v>1</v>
      </c>
      <c r="G131" s="3779">
        <f>'Lista global'!P53</f>
        <v>10.299999999999999</v>
      </c>
      <c r="H131" s="3779">
        <f>'Lista global'!Q53</f>
        <v>8.6736842105263161</v>
      </c>
      <c r="I131" s="3779">
        <f>'Lista global'!I53</f>
        <v>8.2444444444444436</v>
      </c>
      <c r="K131" s="122">
        <v>106104092</v>
      </c>
      <c r="L131" s="11" t="s">
        <v>704</v>
      </c>
      <c r="N131" s="75"/>
    </row>
    <row r="132" spans="1:14" s="11" customFormat="1" x14ac:dyDescent="0.25">
      <c r="A132" s="636" t="s">
        <v>146</v>
      </c>
      <c r="B132" s="4403"/>
      <c r="C132" s="1638" t="s">
        <v>144</v>
      </c>
      <c r="D132" s="1635">
        <v>106105850</v>
      </c>
      <c r="E132" s="1636" t="s">
        <v>145</v>
      </c>
      <c r="F132" s="1637">
        <v>6</v>
      </c>
      <c r="G132" s="3779"/>
      <c r="H132" s="3779"/>
      <c r="I132" s="3779"/>
      <c r="K132" s="122">
        <v>106111814</v>
      </c>
      <c r="L132" s="11" t="s">
        <v>703</v>
      </c>
      <c r="N132" s="75"/>
    </row>
    <row r="133" spans="1:14" s="11" customFormat="1" x14ac:dyDescent="0.25">
      <c r="A133" s="427"/>
      <c r="B133" s="4403"/>
      <c r="C133" s="1661" t="s">
        <v>169</v>
      </c>
      <c r="D133" s="1662">
        <v>106201337</v>
      </c>
      <c r="E133" s="1663" t="s">
        <v>170</v>
      </c>
      <c r="F133" s="1664">
        <v>1</v>
      </c>
      <c r="G133" s="3779">
        <f>I133/0.4</f>
        <v>238.37499999999997</v>
      </c>
      <c r="H133" s="3779">
        <f>I133/0.6</f>
        <v>158.91666666666666</v>
      </c>
      <c r="I133" s="3779">
        <v>95.35</v>
      </c>
      <c r="K133" s="122">
        <v>106112162</v>
      </c>
      <c r="L133" s="11" t="s">
        <v>702</v>
      </c>
      <c r="N133" s="75"/>
    </row>
    <row r="134" spans="1:14" s="11" customFormat="1" x14ac:dyDescent="0.25">
      <c r="A134" s="427"/>
      <c r="B134" s="4403"/>
      <c r="C134" s="1661" t="s">
        <v>163</v>
      </c>
      <c r="D134" s="1662">
        <v>106109324</v>
      </c>
      <c r="E134" s="1663" t="s">
        <v>164</v>
      </c>
      <c r="F134" s="1664">
        <v>1</v>
      </c>
      <c r="G134" s="3779"/>
      <c r="H134" s="3779"/>
      <c r="I134" s="3779"/>
    </row>
    <row r="135" spans="1:14" s="11" customFormat="1" x14ac:dyDescent="0.25">
      <c r="A135" s="427"/>
      <c r="B135" s="4403"/>
      <c r="C135" s="1661" t="s">
        <v>165</v>
      </c>
      <c r="D135" s="1662">
        <v>106109325</v>
      </c>
      <c r="E135" s="1663" t="s">
        <v>166</v>
      </c>
      <c r="F135" s="1664">
        <v>1</v>
      </c>
      <c r="G135" s="3779"/>
      <c r="H135" s="3779"/>
      <c r="I135" s="3779"/>
    </row>
    <row r="136" spans="1:14" s="11" customFormat="1" x14ac:dyDescent="0.25">
      <c r="A136" s="427"/>
      <c r="B136" s="4403"/>
      <c r="C136" s="1661" t="s">
        <v>167</v>
      </c>
      <c r="D136" s="1662">
        <v>106109326</v>
      </c>
      <c r="E136" s="1663" t="s">
        <v>168</v>
      </c>
      <c r="F136" s="1664">
        <v>1</v>
      </c>
      <c r="G136" s="3779"/>
      <c r="H136" s="3779"/>
      <c r="I136" s="3779"/>
    </row>
    <row r="137" spans="1:14" s="11" customFormat="1" ht="15.75" thickBot="1" x14ac:dyDescent="0.3">
      <c r="A137" s="669" t="s">
        <v>2</v>
      </c>
      <c r="B137" s="4404"/>
      <c r="C137" s="1665" t="s">
        <v>2</v>
      </c>
      <c r="D137" s="562">
        <v>106200591</v>
      </c>
      <c r="E137" s="670" t="s">
        <v>147</v>
      </c>
      <c r="F137" s="1666">
        <v>4</v>
      </c>
      <c r="G137" s="3779">
        <f>'Lista global'!P179</f>
        <v>62.249999999999993</v>
      </c>
      <c r="H137" s="3779">
        <f>'Lista global'!Q179</f>
        <v>41.5</v>
      </c>
      <c r="I137" s="3779">
        <f>'Lista global'!I179</f>
        <v>24.9</v>
      </c>
    </row>
    <row r="138" spans="1:14" s="11" customFormat="1" x14ac:dyDescent="0.25">
      <c r="A138" s="680"/>
      <c r="B138" s="675"/>
      <c r="C138" s="676"/>
      <c r="D138" s="377"/>
      <c r="E138" s="676"/>
      <c r="F138" s="1667"/>
    </row>
    <row r="139" spans="1:14" x14ac:dyDescent="0.25">
      <c r="D139" s="144"/>
      <c r="E139" s="144"/>
      <c r="F139" s="144"/>
    </row>
    <row r="140" spans="1:14" ht="15.75" thickBot="1" x14ac:dyDescent="0.3"/>
    <row r="141" spans="1:14" ht="18.75" customHeight="1" thickBot="1" x14ac:dyDescent="0.3">
      <c r="B141" s="11"/>
      <c r="C141" s="11"/>
      <c r="D141" s="4201" t="s">
        <v>172</v>
      </c>
      <c r="E141" s="4203"/>
      <c r="F141" s="11"/>
      <c r="I141"/>
      <c r="J141"/>
      <c r="K141"/>
    </row>
    <row r="142" spans="1:14" ht="26.25" thickBot="1" x14ac:dyDescent="0.3">
      <c r="A142" s="12" t="s">
        <v>81</v>
      </c>
      <c r="B142" s="4396" t="s">
        <v>79</v>
      </c>
      <c r="C142" s="4397"/>
      <c r="D142" s="12"/>
      <c r="E142" s="12" t="s">
        <v>80</v>
      </c>
      <c r="I142"/>
      <c r="J142"/>
      <c r="K142"/>
    </row>
    <row r="143" spans="1:14" x14ac:dyDescent="0.25">
      <c r="A143" s="52"/>
      <c r="B143" s="4170" t="s">
        <v>82</v>
      </c>
      <c r="C143" s="58" t="s">
        <v>83</v>
      </c>
      <c r="D143" s="781">
        <v>106104947</v>
      </c>
      <c r="E143" s="1674" t="s">
        <v>84</v>
      </c>
      <c r="I143"/>
      <c r="J143"/>
      <c r="K143"/>
    </row>
    <row r="144" spans="1:14" x14ac:dyDescent="0.25">
      <c r="A144" s="55"/>
      <c r="B144" s="4166"/>
      <c r="C144" s="61" t="s">
        <v>89</v>
      </c>
      <c r="D144" s="65">
        <v>106104093</v>
      </c>
      <c r="E144" s="1675" t="s">
        <v>1057</v>
      </c>
      <c r="I144"/>
      <c r="J144"/>
      <c r="K144"/>
    </row>
    <row r="145" spans="1:11" x14ac:dyDescent="0.25">
      <c r="A145" s="55"/>
      <c r="B145" s="4166"/>
      <c r="C145" s="61" t="s">
        <v>91</v>
      </c>
      <c r="D145" s="65">
        <v>106104223</v>
      </c>
      <c r="E145" s="1675" t="s">
        <v>92</v>
      </c>
      <c r="I145"/>
      <c r="J145"/>
      <c r="K145"/>
    </row>
    <row r="146" spans="1:11" x14ac:dyDescent="0.25">
      <c r="A146" s="4394" t="s">
        <v>900</v>
      </c>
      <c r="B146" s="4166"/>
      <c r="C146" s="61" t="s">
        <v>899</v>
      </c>
      <c r="D146" s="65">
        <v>106104221</v>
      </c>
      <c r="E146" s="1675" t="s">
        <v>94</v>
      </c>
      <c r="I146"/>
      <c r="J146"/>
      <c r="K146"/>
    </row>
    <row r="147" spans="1:11" x14ac:dyDescent="0.25">
      <c r="A147" s="4395"/>
      <c r="B147" s="4166"/>
      <c r="C147" s="61" t="s">
        <v>95</v>
      </c>
      <c r="D147" s="65">
        <v>106104219</v>
      </c>
      <c r="E147" s="1675" t="s">
        <v>96</v>
      </c>
      <c r="I147"/>
      <c r="J147"/>
      <c r="K147"/>
    </row>
    <row r="148" spans="1:11" x14ac:dyDescent="0.25">
      <c r="A148" s="55"/>
      <c r="B148" s="4166"/>
      <c r="C148" s="61" t="s">
        <v>97</v>
      </c>
      <c r="D148" s="65">
        <v>106104119</v>
      </c>
      <c r="E148" s="1675" t="s">
        <v>152</v>
      </c>
      <c r="I148"/>
      <c r="J148"/>
      <c r="K148"/>
    </row>
    <row r="149" spans="1:11" x14ac:dyDescent="0.25">
      <c r="A149" s="55"/>
      <c r="B149" s="4166"/>
      <c r="C149" s="61" t="s">
        <v>100</v>
      </c>
      <c r="D149" s="65">
        <v>106104084</v>
      </c>
      <c r="E149" s="1675" t="s">
        <v>153</v>
      </c>
      <c r="I149"/>
      <c r="J149"/>
      <c r="K149"/>
    </row>
    <row r="150" spans="1:11" x14ac:dyDescent="0.25">
      <c r="A150" s="55"/>
      <c r="B150" s="4166"/>
      <c r="C150" s="61" t="s">
        <v>102</v>
      </c>
      <c r="D150" s="65">
        <v>106104126</v>
      </c>
      <c r="E150" s="1675" t="s">
        <v>154</v>
      </c>
      <c r="I150"/>
      <c r="J150"/>
      <c r="K150"/>
    </row>
    <row r="151" spans="1:11" x14ac:dyDescent="0.25">
      <c r="A151" s="55"/>
      <c r="B151" s="4166"/>
      <c r="C151" s="61" t="s">
        <v>104</v>
      </c>
      <c r="D151" s="65">
        <v>106104094</v>
      </c>
      <c r="E151" s="1675" t="s">
        <v>155</v>
      </c>
      <c r="I151"/>
      <c r="J151"/>
      <c r="K151"/>
    </row>
    <row r="152" spans="1:11" x14ac:dyDescent="0.25">
      <c r="A152" s="55"/>
      <c r="B152" s="4166"/>
      <c r="C152" s="61" t="s">
        <v>106</v>
      </c>
      <c r="D152" s="65">
        <v>106200539</v>
      </c>
      <c r="E152" s="1675" t="s">
        <v>107</v>
      </c>
      <c r="I152"/>
      <c r="J152"/>
      <c r="K152"/>
    </row>
    <row r="153" spans="1:11" s="11" customFormat="1" x14ac:dyDescent="0.25">
      <c r="A153" s="55"/>
      <c r="B153" s="4166"/>
      <c r="C153" s="61" t="s">
        <v>173</v>
      </c>
      <c r="D153" s="65">
        <v>106200745</v>
      </c>
      <c r="E153" s="1675" t="s">
        <v>175</v>
      </c>
    </row>
    <row r="154" spans="1:11" x14ac:dyDescent="0.25">
      <c r="A154" s="55"/>
      <c r="B154" s="4166"/>
      <c r="C154" s="61" t="s">
        <v>174</v>
      </c>
      <c r="D154" s="65">
        <v>106104330</v>
      </c>
      <c r="E154" s="1675" t="s">
        <v>176</v>
      </c>
      <c r="I154"/>
      <c r="J154"/>
      <c r="K154"/>
    </row>
    <row r="155" spans="1:11" x14ac:dyDescent="0.25">
      <c r="A155" s="55"/>
      <c r="B155" s="4166"/>
      <c r="C155" s="61" t="s">
        <v>40</v>
      </c>
      <c r="D155" s="65">
        <v>106200771</v>
      </c>
      <c r="E155" s="1675" t="s">
        <v>110</v>
      </c>
      <c r="I155"/>
      <c r="J155"/>
      <c r="K155"/>
    </row>
    <row r="156" spans="1:11" s="11" customFormat="1" x14ac:dyDescent="0.25">
      <c r="A156" s="62"/>
      <c r="B156" s="4166"/>
      <c r="C156" s="56" t="s">
        <v>169</v>
      </c>
      <c r="D156" s="1669">
        <v>106201337</v>
      </c>
      <c r="E156" s="56" t="s">
        <v>170</v>
      </c>
    </row>
    <row r="157" spans="1:11" s="11" customFormat="1" x14ac:dyDescent="0.25">
      <c r="A157" s="55"/>
      <c r="B157" s="4166"/>
      <c r="C157" s="54" t="s">
        <v>163</v>
      </c>
      <c r="D157" s="65">
        <v>106109324</v>
      </c>
      <c r="E157" s="56" t="s">
        <v>164</v>
      </c>
    </row>
    <row r="158" spans="1:11" s="11" customFormat="1" x14ac:dyDescent="0.25">
      <c r="A158" s="55"/>
      <c r="B158" s="4166"/>
      <c r="C158" s="54" t="s">
        <v>165</v>
      </c>
      <c r="D158" s="65">
        <v>106109325</v>
      </c>
      <c r="E158" s="56" t="s">
        <v>166</v>
      </c>
    </row>
    <row r="159" spans="1:11" s="11" customFormat="1" x14ac:dyDescent="0.25">
      <c r="A159" s="55"/>
      <c r="B159" s="4166"/>
      <c r="C159" s="54" t="s">
        <v>167</v>
      </c>
      <c r="D159" s="65">
        <v>106109326</v>
      </c>
      <c r="E159" s="56" t="s">
        <v>168</v>
      </c>
    </row>
    <row r="160" spans="1:11" ht="15.75" thickBot="1" x14ac:dyDescent="0.3">
      <c r="A160" s="53"/>
      <c r="B160" s="4166"/>
      <c r="C160" s="50" t="s">
        <v>111</v>
      </c>
      <c r="D160" s="782">
        <v>106200873</v>
      </c>
      <c r="E160" s="1676" t="s">
        <v>112</v>
      </c>
      <c r="I160"/>
      <c r="J160"/>
      <c r="K160"/>
    </row>
    <row r="161" spans="1:11" x14ac:dyDescent="0.25">
      <c r="A161" s="52"/>
      <c r="B161" s="4170" t="s">
        <v>113</v>
      </c>
      <c r="C161" s="58" t="s">
        <v>114</v>
      </c>
      <c r="D161" s="781">
        <v>106104180</v>
      </c>
      <c r="E161" s="1674" t="s">
        <v>157</v>
      </c>
      <c r="I161"/>
      <c r="J161"/>
      <c r="K161"/>
    </row>
    <row r="162" spans="1:11" x14ac:dyDescent="0.25">
      <c r="A162" s="63"/>
      <c r="B162" s="4166"/>
      <c r="C162" s="49" t="s">
        <v>117</v>
      </c>
      <c r="D162" s="1670">
        <v>106104133</v>
      </c>
      <c r="E162" s="1677" t="s">
        <v>158</v>
      </c>
      <c r="I162"/>
      <c r="J162"/>
      <c r="K162"/>
    </row>
    <row r="163" spans="1:11" s="11" customFormat="1" x14ac:dyDescent="0.25">
      <c r="A163" s="55"/>
      <c r="B163" s="4166"/>
      <c r="C163" s="61" t="s">
        <v>177</v>
      </c>
      <c r="D163" s="65"/>
      <c r="E163" s="1675" t="s">
        <v>181</v>
      </c>
    </row>
    <row r="164" spans="1:11" s="11" customFormat="1" x14ac:dyDescent="0.25">
      <c r="A164" s="63"/>
      <c r="B164" s="4166"/>
      <c r="C164" s="49" t="s">
        <v>178</v>
      </c>
      <c r="D164" s="1670"/>
      <c r="E164" s="1677" t="s">
        <v>182</v>
      </c>
    </row>
    <row r="165" spans="1:11" s="11" customFormat="1" x14ac:dyDescent="0.25">
      <c r="A165" s="55"/>
      <c r="B165" s="4166"/>
      <c r="C165" s="61" t="s">
        <v>179</v>
      </c>
      <c r="D165" s="65"/>
      <c r="E165" s="1675" t="s">
        <v>183</v>
      </c>
    </row>
    <row r="166" spans="1:11" s="11" customFormat="1" x14ac:dyDescent="0.25">
      <c r="A166" s="64"/>
      <c r="B166" s="4166"/>
      <c r="C166" s="51" t="s">
        <v>180</v>
      </c>
      <c r="D166" s="1671"/>
      <c r="E166" s="1678" t="s">
        <v>184</v>
      </c>
    </row>
    <row r="167" spans="1:11" x14ac:dyDescent="0.25">
      <c r="A167" s="55"/>
      <c r="B167" s="4166"/>
      <c r="C167" s="61" t="s">
        <v>119</v>
      </c>
      <c r="D167" s="1651">
        <v>106112169</v>
      </c>
      <c r="E167" s="1675" t="s">
        <v>120</v>
      </c>
      <c r="I167"/>
      <c r="J167"/>
      <c r="K167"/>
    </row>
    <row r="168" spans="1:11" ht="15.75" thickBot="1" x14ac:dyDescent="0.3">
      <c r="A168" s="57"/>
      <c r="B168" s="4171"/>
      <c r="C168" s="59" t="s">
        <v>122</v>
      </c>
      <c r="D168" s="1672">
        <v>106110278</v>
      </c>
      <c r="E168" s="1679" t="s">
        <v>123</v>
      </c>
      <c r="I168"/>
      <c r="J168"/>
      <c r="K168"/>
    </row>
    <row r="169" spans="1:11" x14ac:dyDescent="0.25">
      <c r="A169" s="53"/>
      <c r="B169" s="4166" t="s">
        <v>124</v>
      </c>
      <c r="C169" s="50" t="s">
        <v>125</v>
      </c>
      <c r="D169" s="782">
        <v>106105422</v>
      </c>
      <c r="E169" s="1676" t="s">
        <v>126</v>
      </c>
      <c r="I169"/>
      <c r="J169"/>
      <c r="K169"/>
    </row>
    <row r="170" spans="1:11" x14ac:dyDescent="0.25">
      <c r="A170" s="55"/>
      <c r="B170" s="4166"/>
      <c r="C170" s="61" t="s">
        <v>159</v>
      </c>
      <c r="D170" s="65">
        <v>106110473</v>
      </c>
      <c r="E170" s="1675" t="s">
        <v>160</v>
      </c>
      <c r="I170"/>
      <c r="J170"/>
      <c r="K170"/>
    </row>
    <row r="171" spans="1:11" x14ac:dyDescent="0.25">
      <c r="A171" s="55"/>
      <c r="B171" s="4166"/>
      <c r="C171" s="61" t="s">
        <v>132</v>
      </c>
      <c r="D171" s="65">
        <v>106104092</v>
      </c>
      <c r="E171" s="1675" t="s">
        <v>161</v>
      </c>
      <c r="I171"/>
      <c r="J171"/>
      <c r="K171"/>
    </row>
    <row r="172" spans="1:11" s="11" customFormat="1" x14ac:dyDescent="0.25">
      <c r="A172" s="55"/>
      <c r="B172" s="4166"/>
      <c r="C172" s="61" t="s">
        <v>130</v>
      </c>
      <c r="D172" s="65"/>
      <c r="E172" s="1675" t="s">
        <v>185</v>
      </c>
    </row>
    <row r="173" spans="1:11" ht="15.75" thickBot="1" x14ac:dyDescent="0.3">
      <c r="A173" s="53"/>
      <c r="B173" s="4166"/>
      <c r="C173" s="50" t="s">
        <v>134</v>
      </c>
      <c r="D173" s="782">
        <v>106104397</v>
      </c>
      <c r="E173" s="1676" t="s">
        <v>135</v>
      </c>
      <c r="I173"/>
      <c r="J173"/>
      <c r="K173"/>
    </row>
    <row r="174" spans="1:11" x14ac:dyDescent="0.25">
      <c r="A174" s="52"/>
      <c r="B174" s="4170" t="s">
        <v>137</v>
      </c>
      <c r="C174" s="58" t="s">
        <v>186</v>
      </c>
      <c r="D174" s="781">
        <v>106104101</v>
      </c>
      <c r="E174" s="1674" t="s">
        <v>139</v>
      </c>
      <c r="I174"/>
      <c r="J174"/>
      <c r="K174"/>
    </row>
    <row r="175" spans="1:11" x14ac:dyDescent="0.25">
      <c r="A175" s="55"/>
      <c r="B175" s="4166"/>
      <c r="C175" s="61" t="s">
        <v>141</v>
      </c>
      <c r="D175" s="65">
        <v>106104408</v>
      </c>
      <c r="E175" s="1675" t="s">
        <v>142</v>
      </c>
      <c r="I175"/>
      <c r="J175"/>
      <c r="K175"/>
    </row>
    <row r="176" spans="1:11" x14ac:dyDescent="0.25">
      <c r="A176" s="55"/>
      <c r="B176" s="4166"/>
      <c r="C176" s="61" t="s">
        <v>144</v>
      </c>
      <c r="D176" s="65">
        <v>106105850</v>
      </c>
      <c r="E176" s="1675" t="s">
        <v>145</v>
      </c>
      <c r="I176"/>
      <c r="J176"/>
      <c r="K176"/>
    </row>
    <row r="177" spans="1:11" ht="15.75" thickBot="1" x14ac:dyDescent="0.3">
      <c r="A177" s="67"/>
      <c r="B177" s="4171"/>
      <c r="C177" s="66" t="s">
        <v>2</v>
      </c>
      <c r="D177" s="1673">
        <v>106200591</v>
      </c>
      <c r="E177" s="1680" t="s">
        <v>147</v>
      </c>
      <c r="I177"/>
      <c r="J177"/>
      <c r="K177"/>
    </row>
  </sheetData>
  <mergeCells count="34">
    <mergeCell ref="D2:E2"/>
    <mergeCell ref="D35:F35"/>
    <mergeCell ref="D69:F69"/>
    <mergeCell ref="D106:F106"/>
    <mergeCell ref="D141:E141"/>
    <mergeCell ref="E10:E13"/>
    <mergeCell ref="B169:B173"/>
    <mergeCell ref="B174:B177"/>
    <mergeCell ref="B142:C142"/>
    <mergeCell ref="E18:E19"/>
    <mergeCell ref="E23:E25"/>
    <mergeCell ref="B70:C70"/>
    <mergeCell ref="B52:B55"/>
    <mergeCell ref="B56:B59"/>
    <mergeCell ref="B60:B67"/>
    <mergeCell ref="B37:B51"/>
    <mergeCell ref="B143:B160"/>
    <mergeCell ref="B71:B87"/>
    <mergeCell ref="B88:B92"/>
    <mergeCell ref="B93:B96"/>
    <mergeCell ref="B97:B104"/>
    <mergeCell ref="B130:B137"/>
    <mergeCell ref="A146:A147"/>
    <mergeCell ref="B161:B168"/>
    <mergeCell ref="B3:C3"/>
    <mergeCell ref="B36:C36"/>
    <mergeCell ref="B4:B17"/>
    <mergeCell ref="B18:B21"/>
    <mergeCell ref="B22:B26"/>
    <mergeCell ref="B27:B30"/>
    <mergeCell ref="B107:C107"/>
    <mergeCell ref="B108:B122"/>
    <mergeCell ref="B123:B126"/>
    <mergeCell ref="B127:B129"/>
  </mergeCells>
  <pageMargins left="0.7" right="0.7" top="0.75" bottom="0.75" header="0.3" footer="0.3"/>
  <pageSetup paperSize="8" orientation="portrait" horizontalDpi="96" verticalDpi="96"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6"/>
  <sheetViews>
    <sheetView topLeftCell="C1" zoomScaleNormal="100" workbookViewId="0">
      <selection activeCell="J16" sqref="J16"/>
    </sheetView>
  </sheetViews>
  <sheetFormatPr baseColWidth="10" defaultRowHeight="15" x14ac:dyDescent="0.25"/>
  <cols>
    <col min="1" max="1" width="6" customWidth="1"/>
    <col min="2" max="2" width="19.28515625" customWidth="1"/>
    <col min="3" max="3" width="11.42578125" style="897" customWidth="1"/>
    <col min="4" max="4" width="46.42578125" customWidth="1"/>
    <col min="5" max="5" width="40" customWidth="1"/>
    <col min="6" max="6" width="8.28515625" customWidth="1"/>
    <col min="7" max="7" width="10.140625" style="2590" customWidth="1"/>
    <col min="8" max="8" width="6.28515625" customWidth="1"/>
    <col min="10" max="11" width="13.5703125" customWidth="1"/>
    <col min="12" max="12" width="14.42578125" customWidth="1"/>
  </cols>
  <sheetData>
    <row r="1" spans="1:10" s="1342" customFormat="1" ht="16.5" thickBot="1" x14ac:dyDescent="0.3">
      <c r="A1" s="2606" t="s">
        <v>2651</v>
      </c>
      <c r="B1" s="2607"/>
      <c r="C1" s="2607"/>
      <c r="D1" s="2607"/>
      <c r="E1" s="2607"/>
      <c r="F1" s="4207" t="s">
        <v>2645</v>
      </c>
      <c r="G1" s="4207"/>
      <c r="H1" s="4208"/>
    </row>
    <row r="2" spans="1:10" s="1574" customFormat="1" ht="19.5" customHeight="1" thickBot="1" x14ac:dyDescent="0.3">
      <c r="A2" s="4212" t="s">
        <v>79</v>
      </c>
      <c r="B2" s="4213"/>
      <c r="C2" s="2393" t="s">
        <v>326</v>
      </c>
      <c r="D2" s="4213" t="s">
        <v>250</v>
      </c>
      <c r="E2" s="4213"/>
      <c r="F2" s="2393" t="s">
        <v>1280</v>
      </c>
      <c r="G2" s="2613" t="s">
        <v>2243</v>
      </c>
      <c r="H2" s="2614" t="s">
        <v>1282</v>
      </c>
    </row>
    <row r="3" spans="1:10" s="1574" customFormat="1" ht="19.5" customHeight="1" x14ac:dyDescent="0.25">
      <c r="A3" s="4376" t="s">
        <v>2631</v>
      </c>
      <c r="B3" s="2617" t="s">
        <v>532</v>
      </c>
      <c r="C3" s="2109">
        <v>106110393</v>
      </c>
      <c r="D3" s="2107" t="s">
        <v>2647</v>
      </c>
      <c r="E3" s="2108" t="s">
        <v>2648</v>
      </c>
      <c r="F3" s="2485">
        <v>1</v>
      </c>
      <c r="G3" s="2473">
        <v>2</v>
      </c>
      <c r="H3" s="2474"/>
    </row>
    <row r="4" spans="1:10" s="1574" customFormat="1" ht="19.5" customHeight="1" thickBot="1" x14ac:dyDescent="0.3">
      <c r="A4" s="4214"/>
      <c r="B4" s="2616" t="s">
        <v>2632</v>
      </c>
      <c r="C4" s="2106">
        <v>106206209</v>
      </c>
      <c r="D4" s="2104" t="s">
        <v>2649</v>
      </c>
      <c r="E4" s="2615" t="s">
        <v>2650</v>
      </c>
      <c r="F4" s="2106">
        <v>1</v>
      </c>
      <c r="G4" s="2394">
        <v>2</v>
      </c>
      <c r="H4" s="2595"/>
    </row>
    <row r="5" spans="1:10" s="1574" customFormat="1" ht="19.5" customHeight="1" x14ac:dyDescent="0.25">
      <c r="A5" s="4214"/>
      <c r="B5" s="2617" t="s">
        <v>537</v>
      </c>
      <c r="C5" s="2473">
        <v>106112712</v>
      </c>
      <c r="D5" s="2107" t="s">
        <v>1856</v>
      </c>
      <c r="E5" s="2108" t="s">
        <v>1519</v>
      </c>
      <c r="F5" s="2485">
        <v>1</v>
      </c>
      <c r="G5" s="2473" t="s">
        <v>649</v>
      </c>
      <c r="H5" s="2474"/>
    </row>
    <row r="6" spans="1:10" s="1574" customFormat="1" ht="19.5" customHeight="1" x14ac:dyDescent="0.25">
      <c r="A6" s="4214"/>
      <c r="B6" s="2589"/>
      <c r="C6" s="2102">
        <v>106105886</v>
      </c>
      <c r="D6" s="2100" t="s">
        <v>1502</v>
      </c>
      <c r="E6" s="2101" t="s">
        <v>1233</v>
      </c>
      <c r="F6" s="2476">
        <v>33</v>
      </c>
      <c r="G6" s="2401" t="s">
        <v>649</v>
      </c>
      <c r="H6" s="2452"/>
    </row>
    <row r="7" spans="1:10" s="1574" customFormat="1" ht="19.5" customHeight="1" thickBot="1" x14ac:dyDescent="0.3">
      <c r="A7" s="4214"/>
      <c r="B7" s="3585" t="s">
        <v>2634</v>
      </c>
      <c r="C7" s="2404">
        <v>106206082</v>
      </c>
      <c r="D7" s="2864" t="s">
        <v>2644</v>
      </c>
      <c r="E7" s="2403" t="s">
        <v>2633</v>
      </c>
      <c r="F7" s="2478">
        <v>1</v>
      </c>
      <c r="G7" s="2814"/>
      <c r="H7" s="2479"/>
    </row>
    <row r="8" spans="1:10" s="1574" customFormat="1" x14ac:dyDescent="0.25">
      <c r="A8" s="4417" t="s">
        <v>2635</v>
      </c>
      <c r="B8" s="3582" t="s">
        <v>2637</v>
      </c>
      <c r="C8" s="1463">
        <v>106112520</v>
      </c>
      <c r="D8" s="1411" t="s">
        <v>1510</v>
      </c>
      <c r="E8" s="1397" t="s">
        <v>1509</v>
      </c>
      <c r="F8" s="2396">
        <v>32</v>
      </c>
      <c r="G8" s="2397" t="s">
        <v>649</v>
      </c>
      <c r="H8" s="2398"/>
    </row>
    <row r="9" spans="1:10" s="1574" customFormat="1" x14ac:dyDescent="0.25">
      <c r="A9" s="4418"/>
      <c r="B9" s="4419" t="s">
        <v>263</v>
      </c>
      <c r="C9" s="2763">
        <v>106206137</v>
      </c>
      <c r="D9" s="2873" t="s">
        <v>2642</v>
      </c>
      <c r="E9" s="2749" t="s">
        <v>2643</v>
      </c>
      <c r="F9" s="2763">
        <v>1</v>
      </c>
      <c r="G9" s="3562" t="s">
        <v>3198</v>
      </c>
      <c r="H9" s="2452"/>
    </row>
    <row r="10" spans="1:10" s="2488" customFormat="1" ht="15.75" thickBot="1" x14ac:dyDescent="0.25">
      <c r="A10" s="4264"/>
      <c r="B10" s="4420"/>
      <c r="C10" s="3590" t="s">
        <v>0</v>
      </c>
      <c r="D10" s="3587" t="s">
        <v>3218</v>
      </c>
      <c r="E10" s="3588" t="s">
        <v>3219</v>
      </c>
      <c r="F10" s="2484">
        <v>1</v>
      </c>
      <c r="G10" s="2499" t="s">
        <v>1520</v>
      </c>
      <c r="H10" s="2604"/>
    </row>
    <row r="11" spans="1:10" s="1574" customFormat="1" x14ac:dyDescent="0.25">
      <c r="A11" s="4417" t="s">
        <v>2636</v>
      </c>
      <c r="B11" s="3583" t="s">
        <v>2637</v>
      </c>
      <c r="C11" s="2109">
        <v>106206166</v>
      </c>
      <c r="D11" s="2467" t="s">
        <v>2638</v>
      </c>
      <c r="E11" s="2108" t="s">
        <v>2639</v>
      </c>
      <c r="F11" s="2496">
        <v>32</v>
      </c>
      <c r="G11" s="3169" t="s">
        <v>649</v>
      </c>
      <c r="H11" s="2474"/>
    </row>
    <row r="12" spans="1:10" s="1574" customFormat="1" x14ac:dyDescent="0.25">
      <c r="A12" s="4418"/>
      <c r="B12" s="4419" t="s">
        <v>263</v>
      </c>
      <c r="C12" s="2763">
        <v>106206138</v>
      </c>
      <c r="D12" s="2873" t="s">
        <v>2640</v>
      </c>
      <c r="E12" s="2749" t="s">
        <v>2641</v>
      </c>
      <c r="F12" s="2763">
        <v>1</v>
      </c>
      <c r="G12" s="3562" t="s">
        <v>3198</v>
      </c>
      <c r="H12" s="2452"/>
    </row>
    <row r="13" spans="1:10" s="2488" customFormat="1" ht="15.75" thickBot="1" x14ac:dyDescent="0.25">
      <c r="A13" s="4265"/>
      <c r="B13" s="4420"/>
      <c r="C13" s="3589">
        <v>106206876</v>
      </c>
      <c r="D13" s="3587" t="s">
        <v>3216</v>
      </c>
      <c r="E13" s="3588" t="s">
        <v>3217</v>
      </c>
      <c r="F13" s="2484">
        <v>1</v>
      </c>
      <c r="G13" s="2499" t="s">
        <v>1520</v>
      </c>
      <c r="H13" s="2604"/>
    </row>
    <row r="14" spans="1:10" s="1342" customFormat="1" ht="19.5" customHeight="1" x14ac:dyDescent="0.25">
      <c r="A14" s="2541"/>
      <c r="B14" s="2542"/>
      <c r="C14" s="2543"/>
      <c r="D14" s="1349"/>
      <c r="E14" s="1339"/>
      <c r="F14" s="2545"/>
      <c r="G14" s="2546"/>
      <c r="H14" s="2546"/>
    </row>
    <row r="15" spans="1:10" s="1342" customFormat="1" ht="19.5" customHeight="1" thickBot="1" x14ac:dyDescent="0.3">
      <c r="A15" s="1383" t="s">
        <v>2286</v>
      </c>
      <c r="B15" s="1383"/>
      <c r="C15" s="1383"/>
      <c r="D15" s="1383"/>
      <c r="E15" s="1383"/>
      <c r="F15" s="1383"/>
      <c r="G15" s="2590"/>
      <c r="H15" s="1383"/>
    </row>
    <row r="16" spans="1:10" s="1342" customFormat="1" x14ac:dyDescent="0.25">
      <c r="A16" s="4220" t="s">
        <v>1291</v>
      </c>
      <c r="B16" s="4221"/>
      <c r="C16" s="4221"/>
      <c r="D16" s="4221"/>
      <c r="E16" s="4221"/>
      <c r="F16" s="4221"/>
      <c r="G16" s="4221"/>
      <c r="H16" s="4222"/>
      <c r="J16" s="1342" t="s">
        <v>3381</v>
      </c>
    </row>
    <row r="17" spans="1:11" s="1342" customFormat="1" x14ac:dyDescent="0.25">
      <c r="A17" s="4223" t="s">
        <v>2646</v>
      </c>
      <c r="B17" s="4224"/>
      <c r="C17" s="4224"/>
      <c r="D17" s="4224"/>
      <c r="E17" s="4224"/>
      <c r="F17" s="4224"/>
      <c r="G17" s="4224"/>
      <c r="H17" s="4225"/>
      <c r="I17" s="1345"/>
      <c r="J17" s="1345"/>
      <c r="K17" s="1345"/>
    </row>
    <row r="18" spans="1:11" s="1342" customFormat="1" ht="25.5" customHeight="1" thickBot="1" x14ac:dyDescent="0.3">
      <c r="A18" s="4226" t="s">
        <v>1294</v>
      </c>
      <c r="B18" s="4227"/>
      <c r="C18" s="4227"/>
      <c r="D18" s="4227"/>
      <c r="E18" s="4227"/>
      <c r="F18" s="4227"/>
      <c r="G18" s="4227"/>
      <c r="H18" s="4228"/>
      <c r="I18" s="1383"/>
    </row>
    <row r="19" spans="1:11" s="1383" customFormat="1" ht="15.75" thickBot="1" x14ac:dyDescent="0.3">
      <c r="C19" s="1530"/>
      <c r="G19" s="2590"/>
    </row>
    <row r="20" spans="1:11" ht="15.75" thickBot="1" x14ac:dyDescent="0.3">
      <c r="A20" s="385"/>
      <c r="B20" s="4414" t="s">
        <v>783</v>
      </c>
      <c r="C20" s="4415"/>
      <c r="D20" s="4415"/>
      <c r="E20" s="4416"/>
      <c r="G20" s="227" t="s">
        <v>3087</v>
      </c>
    </row>
    <row r="21" spans="1:11" ht="15.75" thickBot="1" x14ac:dyDescent="0.3">
      <c r="A21" s="390" t="s">
        <v>525</v>
      </c>
      <c r="B21" s="694" t="s">
        <v>526</v>
      </c>
      <c r="C21" s="393" t="s">
        <v>326</v>
      </c>
      <c r="D21" s="389" t="s">
        <v>1</v>
      </c>
      <c r="E21" s="262" t="s">
        <v>1089</v>
      </c>
    </row>
    <row r="22" spans="1:11" ht="15.75" thickBot="1" x14ac:dyDescent="0.3">
      <c r="B22" s="898" t="s">
        <v>530</v>
      </c>
      <c r="C22" s="471">
        <v>106201743</v>
      </c>
      <c r="D22" s="899" t="s">
        <v>531</v>
      </c>
      <c r="E22" s="1681">
        <v>1</v>
      </c>
    </row>
    <row r="23" spans="1:11" ht="15.75" thickBot="1" x14ac:dyDescent="0.3">
      <c r="B23" s="92" t="s">
        <v>532</v>
      </c>
      <c r="C23" s="233">
        <v>106110393</v>
      </c>
      <c r="D23" s="900" t="s">
        <v>533</v>
      </c>
      <c r="E23" s="1682">
        <v>1</v>
      </c>
    </row>
    <row r="24" spans="1:11" s="121" customFormat="1" ht="15.75" thickBot="1" x14ac:dyDescent="0.3">
      <c r="A24" s="121" t="s">
        <v>929</v>
      </c>
      <c r="B24" s="1282" t="s">
        <v>534</v>
      </c>
      <c r="C24" s="1283">
        <v>106112520</v>
      </c>
      <c r="D24" s="1284" t="s">
        <v>1072</v>
      </c>
      <c r="E24" s="1683">
        <v>32</v>
      </c>
      <c r="G24" s="227"/>
    </row>
    <row r="25" spans="1:11" ht="15.75" thickBot="1" x14ac:dyDescent="0.3">
      <c r="B25" s="92" t="s">
        <v>535</v>
      </c>
      <c r="C25" s="233">
        <v>106105886</v>
      </c>
      <c r="D25" s="900" t="s">
        <v>536</v>
      </c>
      <c r="E25" s="1682">
        <v>33</v>
      </c>
    </row>
    <row r="26" spans="1:11" ht="15.75" thickBot="1" x14ac:dyDescent="0.3">
      <c r="B26" s="92" t="s">
        <v>537</v>
      </c>
      <c r="C26" s="233">
        <v>106112712</v>
      </c>
      <c r="D26" s="900" t="s">
        <v>538</v>
      </c>
      <c r="E26" s="1682">
        <v>1</v>
      </c>
    </row>
    <row r="27" spans="1:11" ht="27" thickBot="1" x14ac:dyDescent="0.3">
      <c r="B27" s="92" t="s">
        <v>539</v>
      </c>
      <c r="C27" s="233">
        <v>106111217</v>
      </c>
      <c r="D27" s="901" t="s">
        <v>923</v>
      </c>
      <c r="E27" s="1682">
        <v>2</v>
      </c>
    </row>
    <row r="28" spans="1:11" ht="22.5" customHeight="1" thickBot="1" x14ac:dyDescent="0.3">
      <c r="B28" s="92" t="s">
        <v>261</v>
      </c>
      <c r="C28" s="978">
        <v>106110278</v>
      </c>
      <c r="D28" s="979" t="s">
        <v>262</v>
      </c>
      <c r="E28" s="1682">
        <v>1</v>
      </c>
    </row>
    <row r="29" spans="1:11" ht="23.25" customHeight="1" thickBot="1" x14ac:dyDescent="0.3">
      <c r="B29" s="92" t="s">
        <v>263</v>
      </c>
      <c r="C29" s="952">
        <v>106104169</v>
      </c>
      <c r="D29" s="401" t="s">
        <v>996</v>
      </c>
      <c r="E29" s="1684">
        <v>1</v>
      </c>
    </row>
    <row r="31" spans="1:11" x14ac:dyDescent="0.25">
      <c r="C31" s="2633">
        <v>106202286</v>
      </c>
      <c r="D31" s="1383" t="s">
        <v>2909</v>
      </c>
      <c r="F31" s="1383" t="s">
        <v>1380</v>
      </c>
      <c r="G31" s="2633" t="s">
        <v>344</v>
      </c>
    </row>
    <row r="32" spans="1:11" x14ac:dyDescent="0.25">
      <c r="C32" s="897">
        <v>106202291</v>
      </c>
      <c r="D32" s="60" t="s">
        <v>937</v>
      </c>
      <c r="F32">
        <v>66.42</v>
      </c>
    </row>
    <row r="33" spans="2:7" x14ac:dyDescent="0.25">
      <c r="D33" s="905" t="s">
        <v>938</v>
      </c>
    </row>
    <row r="34" spans="2:7" x14ac:dyDescent="0.25">
      <c r="D34" s="903" t="s">
        <v>939</v>
      </c>
    </row>
    <row r="36" spans="2:7" ht="27" thickBot="1" x14ac:dyDescent="0.3">
      <c r="B36" s="92" t="s">
        <v>540</v>
      </c>
      <c r="C36" s="951" t="s">
        <v>1062</v>
      </c>
      <c r="D36" s="901" t="s">
        <v>925</v>
      </c>
      <c r="E36" s="11" t="s">
        <v>997</v>
      </c>
    </row>
    <row r="37" spans="2:7" ht="27" thickBot="1" x14ac:dyDescent="0.3">
      <c r="B37" s="92" t="s">
        <v>541</v>
      </c>
      <c r="C37" s="952" t="s">
        <v>1061</v>
      </c>
      <c r="D37" s="401" t="s">
        <v>924</v>
      </c>
      <c r="E37" s="11" t="s">
        <v>997</v>
      </c>
    </row>
    <row r="40" spans="2:7" x14ac:dyDescent="0.25">
      <c r="B40" s="556" t="s">
        <v>1108</v>
      </c>
      <c r="C40" s="1276">
        <v>106204572</v>
      </c>
      <c r="D40" s="1277" t="s">
        <v>1105</v>
      </c>
    </row>
    <row r="41" spans="2:7" x14ac:dyDescent="0.25">
      <c r="B41" s="1278" t="s">
        <v>1110</v>
      </c>
      <c r="C41" s="1276">
        <v>106204573</v>
      </c>
      <c r="D41" s="1277" t="s">
        <v>1106</v>
      </c>
    </row>
    <row r="42" spans="2:7" x14ac:dyDescent="0.25">
      <c r="B42" s="1278" t="s">
        <v>1109</v>
      </c>
      <c r="C42" s="1276">
        <v>106204574</v>
      </c>
      <c r="D42" s="1277" t="s">
        <v>1107</v>
      </c>
    </row>
    <row r="45" spans="2:7" x14ac:dyDescent="0.25">
      <c r="B45" s="1278" t="s">
        <v>3168</v>
      </c>
      <c r="C45" s="2633">
        <v>106200789</v>
      </c>
      <c r="D45" s="1383" t="s">
        <v>3171</v>
      </c>
      <c r="F45">
        <v>130.13999999999999</v>
      </c>
      <c r="G45" s="2590">
        <v>325.36</v>
      </c>
    </row>
    <row r="46" spans="2:7" x14ac:dyDescent="0.25">
      <c r="B46" s="1278" t="s">
        <v>3169</v>
      </c>
      <c r="C46" s="2633">
        <v>106200775</v>
      </c>
      <c r="D46" s="1383" t="s">
        <v>3170</v>
      </c>
      <c r="F46">
        <v>246.6</v>
      </c>
      <c r="G46" s="2590">
        <v>616.5</v>
      </c>
    </row>
  </sheetData>
  <mergeCells count="12">
    <mergeCell ref="B20:E20"/>
    <mergeCell ref="F1:H1"/>
    <mergeCell ref="A2:B2"/>
    <mergeCell ref="D2:E2"/>
    <mergeCell ref="A3:A7"/>
    <mergeCell ref="A8:A10"/>
    <mergeCell ref="A11:A13"/>
    <mergeCell ref="A16:H16"/>
    <mergeCell ref="A17:H17"/>
    <mergeCell ref="A18:H18"/>
    <mergeCell ref="B9:B10"/>
    <mergeCell ref="B12:B13"/>
  </mergeCells>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
  <sheetViews>
    <sheetView workbookViewId="0">
      <selection activeCell="J11" sqref="J11"/>
    </sheetView>
  </sheetViews>
  <sheetFormatPr baseColWidth="10" defaultRowHeight="15" x14ac:dyDescent="0.25"/>
  <cols>
    <col min="2" max="2" width="48.28515625" bestFit="1" customWidth="1"/>
    <col min="3" max="3" width="28.7109375" bestFit="1" customWidth="1"/>
    <col min="4" max="4" width="10" style="39" bestFit="1" customWidth="1"/>
    <col min="5" max="5" width="9.5703125" style="39" bestFit="1" customWidth="1"/>
    <col min="6" max="6" width="15.42578125" style="2405" customWidth="1"/>
    <col min="7" max="7" width="9.5703125" style="11" bestFit="1" customWidth="1"/>
    <col min="8" max="8" width="10.42578125" bestFit="1" customWidth="1"/>
    <col min="9" max="9" width="9.85546875" style="1383" customWidth="1"/>
  </cols>
  <sheetData>
    <row r="1" spans="1:9" ht="15.75" thickBot="1" x14ac:dyDescent="0.3"/>
    <row r="2" spans="1:9" s="219" customFormat="1" ht="29.25" customHeight="1" thickBot="1" x14ac:dyDescent="0.3">
      <c r="A2" s="2407" t="s">
        <v>244</v>
      </c>
      <c r="B2" s="2408" t="s">
        <v>1331</v>
      </c>
      <c r="C2" s="2409" t="s">
        <v>2559</v>
      </c>
      <c r="D2" s="2409" t="s">
        <v>434</v>
      </c>
      <c r="E2" s="2410" t="s">
        <v>344</v>
      </c>
      <c r="F2" s="2411" t="s">
        <v>2558</v>
      </c>
      <c r="G2" s="258" t="s">
        <v>12</v>
      </c>
      <c r="H2" s="2406" t="s">
        <v>2560</v>
      </c>
      <c r="I2" s="2406" t="s">
        <v>2561</v>
      </c>
    </row>
    <row r="3" spans="1:9" s="68" customFormat="1" ht="30" x14ac:dyDescent="0.25">
      <c r="A3" s="2415" t="s">
        <v>423</v>
      </c>
      <c r="B3" s="2416" t="s">
        <v>424</v>
      </c>
      <c r="C3" s="2417" t="s">
        <v>425</v>
      </c>
      <c r="D3" s="2418">
        <v>106202372</v>
      </c>
      <c r="E3" s="3644">
        <f>G3/H3</f>
        <v>2738.7749999999996</v>
      </c>
      <c r="F3" s="3645">
        <f>G3/I3</f>
        <v>1825.8500000000001</v>
      </c>
      <c r="G3" s="3646">
        <v>1095.51</v>
      </c>
      <c r="H3" s="257">
        <v>0.4</v>
      </c>
      <c r="I3" s="257">
        <v>0.6</v>
      </c>
    </row>
    <row r="4" spans="1:9" s="68" customFormat="1" ht="30" x14ac:dyDescent="0.25">
      <c r="A4" s="2419" t="s">
        <v>426</v>
      </c>
      <c r="B4" s="2412" t="s">
        <v>427</v>
      </c>
      <c r="C4" s="2413" t="s">
        <v>428</v>
      </c>
      <c r="D4" s="2414">
        <v>106202373</v>
      </c>
      <c r="E4" s="3647">
        <f>G4/H4</f>
        <v>2875.7749999999996</v>
      </c>
      <c r="F4" s="3648">
        <f>G4/I4</f>
        <v>1917.1833333333334</v>
      </c>
      <c r="G4" s="3646">
        <v>1150.31</v>
      </c>
      <c r="H4" s="257">
        <v>0.4</v>
      </c>
      <c r="I4" s="257">
        <v>0.6</v>
      </c>
    </row>
    <row r="5" spans="1:9" s="68" customFormat="1" ht="30" x14ac:dyDescent="0.25">
      <c r="A5" s="2419" t="s">
        <v>429</v>
      </c>
      <c r="B5" s="2412" t="s">
        <v>430</v>
      </c>
      <c r="C5" s="2413" t="s">
        <v>431</v>
      </c>
      <c r="D5" s="2414">
        <v>106202375</v>
      </c>
      <c r="E5" s="3647">
        <f>G5/H5</f>
        <v>2727.2000000000003</v>
      </c>
      <c r="F5" s="3648">
        <f>G5/I5</f>
        <v>1818.1333333333337</v>
      </c>
      <c r="G5" s="3646">
        <v>1090.8800000000001</v>
      </c>
      <c r="H5" s="257">
        <v>0.4</v>
      </c>
      <c r="I5" s="257">
        <v>0.6</v>
      </c>
    </row>
    <row r="6" spans="1:9" s="68" customFormat="1" ht="30" x14ac:dyDescent="0.25">
      <c r="A6" s="2419" t="s">
        <v>432</v>
      </c>
      <c r="B6" s="2412" t="s">
        <v>433</v>
      </c>
      <c r="C6" s="2413" t="s">
        <v>422</v>
      </c>
      <c r="D6" s="2414">
        <v>106202377</v>
      </c>
      <c r="E6" s="3647">
        <f>G6/H6</f>
        <v>2616.7249999999999</v>
      </c>
      <c r="F6" s="3648">
        <f>G6/I6</f>
        <v>1744.4833333333336</v>
      </c>
      <c r="G6" s="3646">
        <v>1046.69</v>
      </c>
      <c r="H6" s="257">
        <v>0.4</v>
      </c>
      <c r="I6" s="257">
        <v>0.6</v>
      </c>
    </row>
    <row r="7" spans="1:9" s="68" customFormat="1" ht="30.75" thickBot="1" x14ac:dyDescent="0.3">
      <c r="A7" s="2420" t="s">
        <v>419</v>
      </c>
      <c r="B7" s="2421" t="s">
        <v>420</v>
      </c>
      <c r="C7" s="2422" t="s">
        <v>421</v>
      </c>
      <c r="D7" s="2423">
        <v>106200713</v>
      </c>
      <c r="E7" s="3649">
        <f>G7/H7</f>
        <v>2991.2999999999997</v>
      </c>
      <c r="F7" s="3650">
        <f>G7/I7</f>
        <v>1994.2</v>
      </c>
      <c r="G7" s="3646">
        <v>1196.52</v>
      </c>
      <c r="H7" s="257">
        <v>0.4</v>
      </c>
      <c r="I7" s="257">
        <v>0.6</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49"/>
  <sheetViews>
    <sheetView zoomScale="90" zoomScaleNormal="90" workbookViewId="0">
      <pane ySplit="2" topLeftCell="A346" activePane="bottomLeft" state="frozen"/>
      <selection pane="bottomLeft" activeCell="B356" sqref="B356"/>
    </sheetView>
  </sheetViews>
  <sheetFormatPr baseColWidth="10" defaultRowHeight="15" x14ac:dyDescent="0.25"/>
  <cols>
    <col min="1" max="1" width="15.85546875" style="1383" customWidth="1"/>
    <col min="2" max="2" width="14.5703125" style="794" customWidth="1"/>
    <col min="3" max="3" width="36.28515625" style="794" customWidth="1"/>
    <col min="4" max="4" width="36.7109375" style="794" customWidth="1"/>
    <col min="5" max="5" width="20" style="1383" customWidth="1"/>
    <col min="6" max="6" width="25.140625" style="1383" customWidth="1"/>
    <col min="7" max="7" width="11" style="2633" customWidth="1"/>
    <col min="8" max="8" width="11.28515625" style="2633" customWidth="1"/>
    <col min="9" max="9" width="15.42578125" style="2633" customWidth="1"/>
    <col min="10" max="10" width="12.140625" style="2633" customWidth="1"/>
    <col min="11" max="11" width="15.7109375" style="2633" customWidth="1"/>
    <col min="12" max="12" width="12.5703125" style="2633" customWidth="1"/>
    <col min="13" max="13" width="7" style="2633" customWidth="1"/>
    <col min="14" max="14" width="9.5703125" style="3923" customWidth="1"/>
    <col min="15" max="15" width="14.140625" style="2633" customWidth="1"/>
    <col min="16" max="16" width="13.85546875" style="2633" customWidth="1"/>
    <col min="17" max="17" width="11.42578125" style="1383" hidden="1" customWidth="1"/>
    <col min="18" max="19" width="11.42578125" style="1383"/>
    <col min="20" max="20" width="12.7109375" style="1383" customWidth="1"/>
    <col min="21" max="21" width="20.42578125" style="1383" customWidth="1"/>
    <col min="22" max="16384" width="11.42578125" style="1383"/>
  </cols>
  <sheetData>
    <row r="1" spans="1:22" ht="15.75" thickBot="1" x14ac:dyDescent="0.3">
      <c r="Q1" s="75" t="s">
        <v>1675</v>
      </c>
    </row>
    <row r="2" spans="1:22" s="1323" customFormat="1" ht="31.5" customHeight="1" thickBot="1" x14ac:dyDescent="0.3">
      <c r="A2" s="3933" t="s">
        <v>79</v>
      </c>
      <c r="B2" s="3934" t="s">
        <v>936</v>
      </c>
      <c r="C2" s="3933" t="s">
        <v>1222</v>
      </c>
      <c r="D2" s="3935" t="s">
        <v>3900</v>
      </c>
      <c r="E2" s="3936" t="s">
        <v>1</v>
      </c>
      <c r="F2" s="3936" t="s">
        <v>525</v>
      </c>
      <c r="G2" s="75" t="s">
        <v>1101</v>
      </c>
      <c r="H2" s="75" t="s">
        <v>1102</v>
      </c>
      <c r="I2" s="75" t="s">
        <v>1103</v>
      </c>
      <c r="J2" s="75" t="s">
        <v>1607</v>
      </c>
      <c r="K2" s="75" t="s">
        <v>3008</v>
      </c>
      <c r="L2" s="75" t="s">
        <v>1673</v>
      </c>
      <c r="M2" s="75" t="s">
        <v>1674</v>
      </c>
      <c r="N2" s="3923" t="s">
        <v>1379</v>
      </c>
      <c r="O2" s="2633" t="s">
        <v>1427</v>
      </c>
      <c r="P2" s="2633" t="s">
        <v>1548</v>
      </c>
      <c r="Q2" s="1322"/>
    </row>
    <row r="3" spans="1:22" s="1351" customFormat="1" x14ac:dyDescent="0.25">
      <c r="A3" s="1082"/>
      <c r="B3" s="1848">
        <v>106103437</v>
      </c>
      <c r="C3" s="291" t="s">
        <v>1530</v>
      </c>
      <c r="D3" s="1287">
        <v>8536900190</v>
      </c>
      <c r="E3" s="1358" t="s">
        <v>2386</v>
      </c>
      <c r="F3" s="1356" t="s">
        <v>2572</v>
      </c>
      <c r="G3" s="1383"/>
      <c r="H3" s="2633"/>
      <c r="I3" s="2633"/>
      <c r="J3" s="2633" t="s">
        <v>1104</v>
      </c>
      <c r="K3" s="2633"/>
      <c r="L3" s="2633"/>
      <c r="M3" s="2633"/>
      <c r="N3" s="3923"/>
      <c r="O3" s="2633"/>
      <c r="P3" s="2633"/>
      <c r="Q3" s="1383"/>
      <c r="R3" s="1383"/>
      <c r="S3" s="1383"/>
      <c r="T3" s="1383"/>
      <c r="U3" s="1383"/>
      <c r="V3" s="1383"/>
    </row>
    <row r="4" spans="1:22" x14ac:dyDescent="0.25">
      <c r="A4" s="1084" t="s">
        <v>943</v>
      </c>
      <c r="B4" s="1848">
        <v>106104100</v>
      </c>
      <c r="C4" s="1287" t="s">
        <v>1538</v>
      </c>
      <c r="D4" s="1287">
        <v>8536490000</v>
      </c>
      <c r="E4" s="1349" t="s">
        <v>1706</v>
      </c>
      <c r="F4" s="1335" t="s">
        <v>1707</v>
      </c>
      <c r="G4" s="1280" t="s">
        <v>1104</v>
      </c>
      <c r="H4" s="1280"/>
      <c r="I4" s="1280"/>
      <c r="J4" s="1280"/>
      <c r="K4" s="1280"/>
    </row>
    <row r="5" spans="1:22" ht="30" x14ac:dyDescent="0.25">
      <c r="A5" s="1082" t="s">
        <v>138</v>
      </c>
      <c r="B5" s="1848">
        <v>106104101</v>
      </c>
      <c r="C5" s="1287" t="s">
        <v>1534</v>
      </c>
      <c r="D5" s="1287">
        <v>8536901000</v>
      </c>
      <c r="E5" s="1349" t="s">
        <v>1708</v>
      </c>
      <c r="F5" s="1335" t="s">
        <v>1709</v>
      </c>
      <c r="G5" s="1347"/>
      <c r="H5" s="1347" t="s">
        <v>1104</v>
      </c>
      <c r="I5" s="1347" t="s">
        <v>1104</v>
      </c>
      <c r="J5" s="1347"/>
      <c r="K5" s="1347"/>
    </row>
    <row r="6" spans="1:22" ht="16.5" customHeight="1" x14ac:dyDescent="0.25">
      <c r="A6" s="1285"/>
      <c r="B6" s="1848">
        <v>106104104</v>
      </c>
      <c r="C6" s="1288" t="s">
        <v>1288</v>
      </c>
      <c r="D6" s="1287">
        <v>8536490000</v>
      </c>
      <c r="E6" s="1348" t="s">
        <v>1710</v>
      </c>
      <c r="F6" s="1335" t="s">
        <v>1711</v>
      </c>
      <c r="G6" s="1347"/>
      <c r="H6" s="1347"/>
      <c r="I6" s="1347"/>
      <c r="J6" s="1347"/>
      <c r="K6" s="1347"/>
      <c r="M6" s="2633" t="s">
        <v>1104</v>
      </c>
    </row>
    <row r="7" spans="1:22" ht="30" x14ac:dyDescent="0.25">
      <c r="A7" s="1082" t="s">
        <v>117</v>
      </c>
      <c r="B7" s="1848">
        <v>106104133</v>
      </c>
      <c r="C7" s="1287" t="s">
        <v>1728</v>
      </c>
      <c r="D7" s="1287">
        <v>8536105090</v>
      </c>
      <c r="E7" s="1348" t="s">
        <v>1236</v>
      </c>
      <c r="F7" s="1335" t="s">
        <v>1237</v>
      </c>
      <c r="G7" s="1280"/>
      <c r="H7" s="1280" t="s">
        <v>1104</v>
      </c>
      <c r="I7" s="1280" t="s">
        <v>1104</v>
      </c>
      <c r="J7" s="1280"/>
      <c r="K7" s="1280"/>
      <c r="M7" s="142"/>
      <c r="R7" s="1351"/>
      <c r="S7" s="1351"/>
      <c r="T7" s="1351"/>
      <c r="U7" s="1351"/>
      <c r="V7" s="1351"/>
    </row>
    <row r="8" spans="1:22" ht="15" customHeight="1" x14ac:dyDescent="0.25">
      <c r="A8" s="1082" t="s">
        <v>58</v>
      </c>
      <c r="B8" s="1848">
        <v>106109644</v>
      </c>
      <c r="C8" s="1287" t="s">
        <v>1730</v>
      </c>
      <c r="D8" s="1287">
        <v>8536100000</v>
      </c>
      <c r="E8" s="1349" t="s">
        <v>1731</v>
      </c>
      <c r="F8" s="1337" t="s">
        <v>1732</v>
      </c>
      <c r="G8" s="1347" t="s">
        <v>1104</v>
      </c>
      <c r="H8" s="1347" t="s">
        <v>1104</v>
      </c>
      <c r="I8" s="1347"/>
      <c r="J8" s="1347"/>
      <c r="K8" s="1347"/>
      <c r="L8" s="1083"/>
    </row>
    <row r="9" spans="1:22" ht="30" x14ac:dyDescent="0.25">
      <c r="A9" s="1082" t="s">
        <v>114</v>
      </c>
      <c r="B9" s="1848">
        <v>106104180</v>
      </c>
      <c r="C9" s="1287" t="s">
        <v>1738</v>
      </c>
      <c r="D9" s="1287">
        <v>8536500000</v>
      </c>
      <c r="E9" s="1349" t="s">
        <v>1234</v>
      </c>
      <c r="F9" s="1339" t="s">
        <v>1235</v>
      </c>
      <c r="G9" s="1347"/>
      <c r="H9" s="1347" t="s">
        <v>1104</v>
      </c>
      <c r="I9" s="1347" t="s">
        <v>1104</v>
      </c>
      <c r="J9" s="1347"/>
      <c r="K9" s="1347"/>
      <c r="L9" s="1083"/>
    </row>
    <row r="10" spans="1:22" ht="15" customHeight="1" x14ac:dyDescent="0.25">
      <c r="A10" s="1082" t="s">
        <v>490</v>
      </c>
      <c r="B10" s="1848">
        <v>106104191</v>
      </c>
      <c r="C10" s="1287" t="s">
        <v>1739</v>
      </c>
      <c r="D10" s="1287">
        <v>8536209090</v>
      </c>
      <c r="E10" s="1349" t="s">
        <v>1740</v>
      </c>
      <c r="F10" s="1335" t="s">
        <v>1741</v>
      </c>
      <c r="G10" s="1347"/>
      <c r="H10" s="1347" t="s">
        <v>1104</v>
      </c>
      <c r="I10" s="1347"/>
      <c r="J10" s="1347"/>
      <c r="K10" s="1347"/>
      <c r="L10" s="1083"/>
    </row>
    <row r="11" spans="1:22" ht="45" x14ac:dyDescent="0.25">
      <c r="A11" s="1285" t="s">
        <v>1111</v>
      </c>
      <c r="B11" s="1848">
        <v>106104219</v>
      </c>
      <c r="C11" s="1288" t="s">
        <v>1757</v>
      </c>
      <c r="D11" s="1287">
        <v>8536201090</v>
      </c>
      <c r="E11" s="1348" t="s">
        <v>1758</v>
      </c>
      <c r="F11" s="1335" t="s">
        <v>1759</v>
      </c>
      <c r="G11" s="1347" t="s">
        <v>1104</v>
      </c>
      <c r="H11" s="1347" t="s">
        <v>1104</v>
      </c>
      <c r="I11" s="1347" t="s">
        <v>1104</v>
      </c>
      <c r="J11" s="1347"/>
      <c r="K11" s="1347"/>
      <c r="P11" s="2633">
        <v>106202879</v>
      </c>
      <c r="Q11" s="1383">
        <v>85</v>
      </c>
      <c r="R11" s="86"/>
      <c r="S11" s="86"/>
      <c r="T11" s="86"/>
      <c r="U11" s="86"/>
      <c r="V11" s="86"/>
    </row>
    <row r="12" spans="1:22" x14ac:dyDescent="0.25">
      <c r="A12" s="1084" t="s">
        <v>214</v>
      </c>
      <c r="B12" s="1848">
        <v>106105902</v>
      </c>
      <c r="C12" s="1287" t="s">
        <v>1813</v>
      </c>
      <c r="D12" s="1287">
        <v>8536100000</v>
      </c>
      <c r="E12" s="1349" t="s">
        <v>1814</v>
      </c>
      <c r="F12" s="1335" t="s">
        <v>1815</v>
      </c>
      <c r="G12" s="1280" t="s">
        <v>1104</v>
      </c>
      <c r="H12" s="1280"/>
      <c r="I12" s="1280"/>
      <c r="J12" s="1280"/>
      <c r="K12" s="1280"/>
      <c r="L12" s="3927"/>
      <c r="N12" s="3924"/>
      <c r="O12" s="3927" t="s">
        <v>649</v>
      </c>
      <c r="P12" s="3927"/>
      <c r="Q12" s="3926"/>
    </row>
    <row r="13" spans="1:22" s="99" customFormat="1" ht="15.75" customHeight="1" x14ac:dyDescent="0.25">
      <c r="A13" s="1082" t="s">
        <v>261</v>
      </c>
      <c r="B13" s="1848">
        <v>106110278</v>
      </c>
      <c r="C13" s="1287" t="s">
        <v>1824</v>
      </c>
      <c r="D13" s="1287">
        <v>8536300000</v>
      </c>
      <c r="E13" s="1348" t="s">
        <v>1772</v>
      </c>
      <c r="F13" s="1335" t="s">
        <v>1487</v>
      </c>
      <c r="G13" s="1280" t="s">
        <v>1104</v>
      </c>
      <c r="H13" s="1347" t="s">
        <v>1104</v>
      </c>
      <c r="I13" s="1347" t="s">
        <v>1104</v>
      </c>
      <c r="J13" s="1347"/>
      <c r="K13" s="1347"/>
      <c r="L13" s="2633" t="s">
        <v>1104</v>
      </c>
      <c r="M13" s="2633" t="s">
        <v>1104</v>
      </c>
      <c r="N13" s="3923"/>
      <c r="O13" s="1565" t="s">
        <v>1488</v>
      </c>
      <c r="P13" s="1565"/>
      <c r="Q13" s="1383"/>
      <c r="R13" s="1383"/>
      <c r="S13" s="1383"/>
      <c r="T13" s="1383"/>
      <c r="U13" s="1383"/>
      <c r="V13" s="1383"/>
    </row>
    <row r="14" spans="1:22" s="99" customFormat="1" ht="15.75" customHeight="1" x14ac:dyDescent="0.25">
      <c r="A14" s="1082" t="s">
        <v>532</v>
      </c>
      <c r="B14" s="1848">
        <v>106110393</v>
      </c>
      <c r="C14" s="1287" t="s">
        <v>533</v>
      </c>
      <c r="D14" s="1287">
        <v>8542319000</v>
      </c>
      <c r="E14" s="1349" t="s">
        <v>2647</v>
      </c>
      <c r="F14" s="1335" t="s">
        <v>2648</v>
      </c>
      <c r="G14" s="1280"/>
      <c r="H14" s="1280"/>
      <c r="I14" s="1280"/>
      <c r="J14" s="1280"/>
      <c r="K14" s="1280"/>
      <c r="L14" s="2633" t="s">
        <v>1104</v>
      </c>
      <c r="M14" s="3927"/>
      <c r="N14" s="3923"/>
      <c r="O14" s="2633"/>
      <c r="P14" s="2633"/>
      <c r="Q14" s="1383"/>
      <c r="R14" s="1383"/>
      <c r="S14" s="1383"/>
      <c r="T14" s="1383"/>
      <c r="U14" s="1383"/>
      <c r="V14" s="1383"/>
    </row>
    <row r="15" spans="1:22" ht="75" x14ac:dyDescent="0.25">
      <c r="A15" s="1082" t="s">
        <v>64</v>
      </c>
      <c r="B15" s="1848">
        <v>106113691</v>
      </c>
      <c r="C15" s="1287" t="s">
        <v>1877</v>
      </c>
      <c r="D15" s="1287">
        <v>8542310090</v>
      </c>
      <c r="E15" s="1349" t="s">
        <v>1878</v>
      </c>
      <c r="F15" s="1335" t="s">
        <v>1879</v>
      </c>
      <c r="G15" s="1347" t="s">
        <v>1104</v>
      </c>
      <c r="H15" s="1347"/>
      <c r="I15" s="1347"/>
      <c r="J15" s="1347"/>
      <c r="K15" s="1347"/>
      <c r="M15" s="142"/>
    </row>
    <row r="16" spans="1:22" ht="15" customHeight="1" x14ac:dyDescent="0.25">
      <c r="A16" s="1082"/>
      <c r="B16" s="1848">
        <v>106114079</v>
      </c>
      <c r="C16" s="1287" t="s">
        <v>1880</v>
      </c>
      <c r="D16" s="1287">
        <v>8504901190</v>
      </c>
      <c r="E16" s="1348" t="s">
        <v>1437</v>
      </c>
      <c r="F16" s="1336" t="s">
        <v>1438</v>
      </c>
      <c r="G16" s="1347"/>
      <c r="H16" s="1347" t="s">
        <v>1104</v>
      </c>
      <c r="I16" s="1347" t="s">
        <v>1104</v>
      </c>
      <c r="J16" s="1347"/>
      <c r="K16" s="1347"/>
      <c r="M16" s="3922"/>
      <c r="N16" s="275"/>
      <c r="O16" s="1347" t="s">
        <v>649</v>
      </c>
      <c r="P16" s="1347"/>
      <c r="Q16" s="99"/>
    </row>
    <row r="17" spans="1:22" x14ac:dyDescent="0.25">
      <c r="A17" s="1082" t="s">
        <v>127</v>
      </c>
      <c r="B17" s="1848">
        <v>106114372</v>
      </c>
      <c r="C17" s="1287" t="s">
        <v>1883</v>
      </c>
      <c r="D17" s="1287">
        <v>8536209090</v>
      </c>
      <c r="E17" s="1349" t="s">
        <v>1884</v>
      </c>
      <c r="F17" s="1335" t="s">
        <v>1885</v>
      </c>
      <c r="G17" s="1347"/>
      <c r="H17" s="1347"/>
      <c r="I17" s="1347" t="s">
        <v>1104</v>
      </c>
      <c r="J17" s="1347"/>
      <c r="K17" s="1347"/>
      <c r="O17" s="2633" t="s">
        <v>649</v>
      </c>
    </row>
    <row r="18" spans="1:22" ht="60" x14ac:dyDescent="0.25">
      <c r="A18" s="1082" t="s">
        <v>951</v>
      </c>
      <c r="B18" s="1848">
        <v>106200626</v>
      </c>
      <c r="C18" s="1287" t="s">
        <v>1905</v>
      </c>
      <c r="D18" s="1287">
        <v>8542319000</v>
      </c>
      <c r="E18" s="1287" t="s">
        <v>1906</v>
      </c>
      <c r="F18" s="1335" t="s">
        <v>1907</v>
      </c>
      <c r="G18" s="1347" t="s">
        <v>1104</v>
      </c>
      <c r="H18" s="1347"/>
      <c r="I18" s="1347"/>
      <c r="J18" s="1347"/>
      <c r="K18" s="1347"/>
    </row>
    <row r="19" spans="1:22" ht="60" x14ac:dyDescent="0.25">
      <c r="A19" s="1082" t="s">
        <v>3</v>
      </c>
      <c r="B19" s="1848">
        <v>106200731</v>
      </c>
      <c r="C19" s="1287" t="s">
        <v>1908</v>
      </c>
      <c r="D19" s="1287">
        <v>8504901190</v>
      </c>
      <c r="E19" s="1348" t="s">
        <v>1909</v>
      </c>
      <c r="F19" s="1335" t="s">
        <v>1910</v>
      </c>
      <c r="G19" s="1347" t="s">
        <v>1104</v>
      </c>
      <c r="H19" s="1347"/>
      <c r="I19" s="1347"/>
      <c r="J19" s="1347"/>
      <c r="K19" s="1347"/>
      <c r="M19" s="3923"/>
      <c r="Q19" s="86"/>
    </row>
    <row r="20" spans="1:22" ht="60" x14ac:dyDescent="0.25">
      <c r="A20" s="1288" t="s">
        <v>484</v>
      </c>
      <c r="B20" s="1848">
        <v>106200745</v>
      </c>
      <c r="C20" s="1288" t="s">
        <v>760</v>
      </c>
      <c r="D20" s="1287">
        <v>8504901190</v>
      </c>
      <c r="E20" s="2226" t="s">
        <v>1911</v>
      </c>
      <c r="F20" s="1550" t="s">
        <v>1912</v>
      </c>
      <c r="G20" s="275"/>
      <c r="H20" s="275" t="s">
        <v>1104</v>
      </c>
      <c r="I20" s="275"/>
      <c r="J20" s="275"/>
      <c r="K20" s="275"/>
      <c r="L20" s="275"/>
      <c r="M20" s="3923"/>
      <c r="O20" s="3923"/>
      <c r="P20" s="3923"/>
      <c r="Q20" s="794"/>
      <c r="R20" s="794"/>
      <c r="S20" s="794"/>
      <c r="T20" s="794"/>
      <c r="U20" s="794"/>
      <c r="V20" s="794"/>
    </row>
    <row r="21" spans="1:22" ht="30" x14ac:dyDescent="0.25">
      <c r="A21" s="1082" t="s">
        <v>40</v>
      </c>
      <c r="B21" s="1848">
        <v>106200771</v>
      </c>
      <c r="C21" s="1287" t="s">
        <v>322</v>
      </c>
      <c r="D21" s="1287">
        <v>8542319000</v>
      </c>
      <c r="E21" s="1549" t="s">
        <v>110</v>
      </c>
      <c r="F21" s="1550" t="s">
        <v>1913</v>
      </c>
      <c r="G21" s="1347"/>
      <c r="H21" s="1347" t="s">
        <v>1104</v>
      </c>
      <c r="I21" s="1347" t="s">
        <v>1104</v>
      </c>
      <c r="J21" s="1347"/>
      <c r="K21" s="1347"/>
      <c r="L21" s="1347"/>
    </row>
    <row r="22" spans="1:22" ht="45" x14ac:dyDescent="0.25">
      <c r="A22" s="1082" t="s">
        <v>14</v>
      </c>
      <c r="B22" s="1848">
        <v>106200787</v>
      </c>
      <c r="C22" s="1287" t="s">
        <v>1914</v>
      </c>
      <c r="D22" s="1287">
        <v>8536100000</v>
      </c>
      <c r="E22" s="1348" t="s">
        <v>235</v>
      </c>
      <c r="F22" s="1335" t="s">
        <v>1915</v>
      </c>
      <c r="G22" s="1280" t="s">
        <v>1104</v>
      </c>
      <c r="H22" s="1347"/>
      <c r="I22" s="1347"/>
      <c r="J22" s="1347"/>
      <c r="K22" s="1347"/>
    </row>
    <row r="23" spans="1:22" ht="45" x14ac:dyDescent="0.25">
      <c r="A23" s="1082" t="s">
        <v>73</v>
      </c>
      <c r="B23" s="1848">
        <v>106200824</v>
      </c>
      <c r="C23" s="1287" t="s">
        <v>1922</v>
      </c>
      <c r="D23" s="1287">
        <v>8504901190</v>
      </c>
      <c r="E23" s="1348" t="s">
        <v>1923</v>
      </c>
      <c r="F23" s="1335" t="s">
        <v>1924</v>
      </c>
      <c r="G23" s="1347" t="s">
        <v>1104</v>
      </c>
      <c r="H23" s="905"/>
      <c r="I23" s="1347"/>
      <c r="J23" s="1347"/>
      <c r="K23" s="1347"/>
      <c r="N23" s="2626"/>
      <c r="O23" s="230"/>
      <c r="P23" s="230"/>
      <c r="Q23" s="1115"/>
    </row>
    <row r="24" spans="1:22" ht="30" x14ac:dyDescent="0.25">
      <c r="A24" s="1288" t="s">
        <v>3350</v>
      </c>
      <c r="B24" s="1848">
        <v>106206886</v>
      </c>
      <c r="C24" s="1288" t="s">
        <v>3351</v>
      </c>
      <c r="D24" s="1287">
        <v>8528590000</v>
      </c>
      <c r="E24" s="2226" t="s">
        <v>3352</v>
      </c>
      <c r="F24" s="1550" t="s">
        <v>3353</v>
      </c>
      <c r="G24" s="274"/>
      <c r="H24" s="274"/>
      <c r="I24" s="274" t="s">
        <v>1104</v>
      </c>
      <c r="J24" s="274"/>
      <c r="K24" s="274"/>
      <c r="L24" s="3923"/>
      <c r="M24" s="3923"/>
      <c r="O24" s="3923"/>
      <c r="P24" s="3923"/>
      <c r="Q24" s="794"/>
      <c r="R24" s="794"/>
      <c r="S24" s="794"/>
      <c r="T24" s="794"/>
      <c r="U24" s="794"/>
      <c r="V24" s="794"/>
    </row>
    <row r="25" spans="1:22" ht="30" x14ac:dyDescent="0.25">
      <c r="A25" s="1082" t="s">
        <v>530</v>
      </c>
      <c r="B25" s="1848">
        <v>106201743</v>
      </c>
      <c r="C25" s="1287" t="s">
        <v>531</v>
      </c>
      <c r="D25" s="1287">
        <v>8541300000</v>
      </c>
      <c r="E25" s="1348" t="s">
        <v>1948</v>
      </c>
      <c r="F25" s="1335" t="s">
        <v>1949</v>
      </c>
      <c r="G25" s="1280"/>
      <c r="H25" s="1280"/>
      <c r="I25" s="1280"/>
      <c r="J25" s="1280"/>
      <c r="K25" s="1280"/>
      <c r="L25" s="2633" t="s">
        <v>1104</v>
      </c>
    </row>
    <row r="26" spans="1:22" ht="30" x14ac:dyDescent="0.25">
      <c r="A26" s="1082" t="s">
        <v>460</v>
      </c>
      <c r="B26" s="1848">
        <v>106202476</v>
      </c>
      <c r="C26" s="1287" t="s">
        <v>1952</v>
      </c>
      <c r="D26" s="1287">
        <v>8542319000</v>
      </c>
      <c r="E26" s="1349" t="s">
        <v>1953</v>
      </c>
      <c r="F26" s="1335" t="s">
        <v>1954</v>
      </c>
      <c r="G26" s="1347"/>
      <c r="H26" s="1347"/>
      <c r="I26" s="1347" t="s">
        <v>1104</v>
      </c>
      <c r="J26" s="1347"/>
      <c r="K26" s="1347"/>
    </row>
    <row r="27" spans="1:22" x14ac:dyDescent="0.25">
      <c r="A27" s="2362" t="s">
        <v>286</v>
      </c>
      <c r="B27" s="2353">
        <v>106202876</v>
      </c>
      <c r="C27" s="2363" t="s">
        <v>1968</v>
      </c>
      <c r="D27" s="1287">
        <v>8536209090</v>
      </c>
      <c r="E27" s="1349" t="s">
        <v>1969</v>
      </c>
      <c r="F27" s="1336" t="s">
        <v>1970</v>
      </c>
      <c r="G27" s="1280"/>
      <c r="H27" s="1280" t="s">
        <v>1104</v>
      </c>
      <c r="I27" s="1280"/>
      <c r="J27" s="1280"/>
      <c r="K27" s="1280"/>
      <c r="L27" s="142"/>
      <c r="M27" s="142"/>
      <c r="N27" s="751"/>
      <c r="O27" s="142">
        <v>106202884</v>
      </c>
      <c r="P27" s="142" t="s">
        <v>1549</v>
      </c>
      <c r="Q27" s="1286"/>
      <c r="R27" s="1351"/>
      <c r="S27" s="1351"/>
      <c r="T27" s="1351"/>
      <c r="U27" s="1351"/>
      <c r="V27" s="1351"/>
    </row>
    <row r="28" spans="1:22" ht="30" x14ac:dyDescent="0.25">
      <c r="A28" s="2360" t="s">
        <v>286</v>
      </c>
      <c r="B28" s="2353">
        <v>106202880</v>
      </c>
      <c r="C28" s="2354" t="s">
        <v>1974</v>
      </c>
      <c r="D28" s="1287">
        <v>8536209090</v>
      </c>
      <c r="E28" s="1349" t="s">
        <v>1975</v>
      </c>
      <c r="F28" s="1336" t="s">
        <v>1976</v>
      </c>
      <c r="G28" s="1280"/>
      <c r="H28" s="1280" t="s">
        <v>1104</v>
      </c>
      <c r="I28" s="1280"/>
      <c r="J28" s="1280"/>
      <c r="K28" s="1280"/>
      <c r="L28" s="1280"/>
      <c r="M28" s="142"/>
      <c r="N28" s="751"/>
      <c r="O28" s="142">
        <v>106202884</v>
      </c>
      <c r="P28" s="142" t="s">
        <v>1549</v>
      </c>
      <c r="Q28" s="1286"/>
      <c r="R28" s="1351"/>
      <c r="S28" s="1351"/>
      <c r="T28" s="1351"/>
      <c r="U28" s="1351"/>
      <c r="V28" s="1351"/>
    </row>
    <row r="29" spans="1:22" ht="30" x14ac:dyDescent="0.25">
      <c r="A29" s="1285" t="s">
        <v>970</v>
      </c>
      <c r="B29" s="1848">
        <v>106203178</v>
      </c>
      <c r="C29" s="1288" t="s">
        <v>1987</v>
      </c>
      <c r="D29" s="1287">
        <v>8532300000</v>
      </c>
      <c r="E29" s="1348" t="s">
        <v>1437</v>
      </c>
      <c r="F29" s="1336" t="s">
        <v>1438</v>
      </c>
      <c r="G29" s="1347"/>
      <c r="H29" s="1347" t="s">
        <v>1104</v>
      </c>
      <c r="I29" s="1347" t="s">
        <v>1104</v>
      </c>
      <c r="J29" s="1347"/>
      <c r="K29" s="1347"/>
      <c r="N29" s="275"/>
      <c r="O29" s="1347" t="s">
        <v>649</v>
      </c>
      <c r="P29" s="1347"/>
      <c r="Q29" s="99"/>
    </row>
    <row r="30" spans="1:22" s="794" customFormat="1" x14ac:dyDescent="0.25">
      <c r="A30" s="1383"/>
      <c r="B30" s="1848">
        <v>106204785</v>
      </c>
      <c r="C30" s="794" t="s">
        <v>2007</v>
      </c>
      <c r="D30" s="1287" t="s">
        <v>3901</v>
      </c>
      <c r="E30" s="1349" t="s">
        <v>2008</v>
      </c>
      <c r="F30" s="1356" t="s">
        <v>2009</v>
      </c>
      <c r="G30" s="2633"/>
      <c r="H30" s="2633"/>
      <c r="I30" s="2633"/>
      <c r="J30" s="2633"/>
      <c r="K30" s="2633"/>
      <c r="L30" s="2633"/>
      <c r="M30" s="2633"/>
      <c r="N30" s="3923" t="s">
        <v>1104</v>
      </c>
      <c r="O30" s="378"/>
      <c r="P30" s="378"/>
      <c r="Q30" s="411"/>
      <c r="R30" s="1383"/>
      <c r="S30" s="1383"/>
      <c r="T30" s="1383"/>
      <c r="U30" s="1383"/>
      <c r="V30" s="1383"/>
    </row>
    <row r="31" spans="1:22" s="794" customFormat="1" x14ac:dyDescent="0.25">
      <c r="A31" s="48" t="s">
        <v>263</v>
      </c>
      <c r="B31" s="1848">
        <v>106118981</v>
      </c>
      <c r="C31" s="1358" t="s">
        <v>3183</v>
      </c>
      <c r="D31" s="1287">
        <v>8536490000</v>
      </c>
      <c r="E31" s="1383" t="s">
        <v>3116</v>
      </c>
      <c r="F31" s="1356" t="s">
        <v>3117</v>
      </c>
      <c r="G31" s="2633"/>
      <c r="H31" s="2633"/>
      <c r="I31" s="2633" t="s">
        <v>1104</v>
      </c>
      <c r="J31" s="2633"/>
      <c r="K31" s="2633"/>
      <c r="L31" s="3923"/>
      <c r="M31" s="142"/>
      <c r="N31" s="2633"/>
      <c r="O31" s="2633" t="s">
        <v>649</v>
      </c>
      <c r="P31" s="1848" t="s">
        <v>1549</v>
      </c>
      <c r="Q31" s="1383"/>
      <c r="R31" s="1383"/>
      <c r="S31" s="1383"/>
      <c r="T31" s="1383"/>
      <c r="U31" s="1383"/>
      <c r="V31" s="1383"/>
    </row>
    <row r="32" spans="1:22" s="1351" customFormat="1" x14ac:dyDescent="0.25">
      <c r="A32" s="48" t="s">
        <v>263</v>
      </c>
      <c r="B32" s="1848">
        <v>106118116</v>
      </c>
      <c r="C32" s="1358" t="s">
        <v>3184</v>
      </c>
      <c r="D32" s="1287">
        <v>8536490000</v>
      </c>
      <c r="E32" s="1383" t="s">
        <v>3185</v>
      </c>
      <c r="F32" s="1356" t="s">
        <v>3186</v>
      </c>
      <c r="G32" s="2633"/>
      <c r="H32" s="2633"/>
      <c r="I32" s="2633" t="s">
        <v>1104</v>
      </c>
      <c r="J32" s="2633"/>
      <c r="K32" s="2633"/>
      <c r="L32" s="3923"/>
      <c r="M32" s="142"/>
      <c r="N32" s="2633"/>
      <c r="O32" s="2633">
        <v>106118981</v>
      </c>
      <c r="P32" s="1848" t="s">
        <v>1549</v>
      </c>
      <c r="Q32" s="1383"/>
      <c r="R32" s="1383"/>
      <c r="S32" s="1383"/>
      <c r="T32" s="1383"/>
      <c r="U32" s="1383"/>
      <c r="V32" s="1383"/>
    </row>
    <row r="33" spans="1:22" x14ac:dyDescent="0.25">
      <c r="A33" s="1383" t="s">
        <v>263</v>
      </c>
      <c r="B33" s="1848">
        <v>106118976</v>
      </c>
      <c r="C33" s="1358" t="s">
        <v>2831</v>
      </c>
      <c r="D33" s="1287">
        <v>8536209090</v>
      </c>
      <c r="E33" s="1383" t="s">
        <v>3187</v>
      </c>
      <c r="F33" s="1356" t="s">
        <v>3188</v>
      </c>
      <c r="I33" s="2633" t="s">
        <v>1104</v>
      </c>
      <c r="J33" s="3923"/>
      <c r="K33" s="3923"/>
      <c r="L33" s="142"/>
      <c r="N33" s="2633"/>
      <c r="O33" s="2633">
        <v>106118981</v>
      </c>
      <c r="P33" s="2633" t="s">
        <v>1549</v>
      </c>
    </row>
    <row r="34" spans="1:22" ht="60" x14ac:dyDescent="0.25">
      <c r="A34" s="1082" t="s">
        <v>127</v>
      </c>
      <c r="B34" s="3937">
        <v>106205032</v>
      </c>
      <c r="C34" s="1287" t="s">
        <v>2442</v>
      </c>
      <c r="D34" s="1287">
        <v>8536209090</v>
      </c>
      <c r="E34" s="1358" t="s">
        <v>2321</v>
      </c>
      <c r="F34" s="1356" t="s">
        <v>2322</v>
      </c>
      <c r="G34" s="1383"/>
      <c r="J34" s="2633" t="s">
        <v>1104</v>
      </c>
      <c r="P34" s="2633" t="s">
        <v>1549</v>
      </c>
    </row>
    <row r="35" spans="1:22" ht="60" x14ac:dyDescent="0.25">
      <c r="A35" s="1082" t="s">
        <v>285</v>
      </c>
      <c r="B35" s="1848">
        <v>106205033</v>
      </c>
      <c r="C35" s="1287" t="s">
        <v>2443</v>
      </c>
      <c r="D35" s="1287">
        <v>8536209090</v>
      </c>
      <c r="E35" s="1358" t="s">
        <v>2323</v>
      </c>
      <c r="F35" s="1356" t="s">
        <v>2324</v>
      </c>
      <c r="G35" s="1383"/>
      <c r="J35" s="2633" t="s">
        <v>1104</v>
      </c>
      <c r="P35" s="2633" t="s">
        <v>1549</v>
      </c>
    </row>
    <row r="36" spans="1:22" ht="60" x14ac:dyDescent="0.25">
      <c r="A36" s="1082" t="s">
        <v>290</v>
      </c>
      <c r="B36" s="1848">
        <v>106205035</v>
      </c>
      <c r="C36" s="1287" t="s">
        <v>2444</v>
      </c>
      <c r="D36" s="1287">
        <v>8536209090</v>
      </c>
      <c r="E36" s="1358" t="s">
        <v>2382</v>
      </c>
      <c r="F36" s="1356" t="s">
        <v>2383</v>
      </c>
      <c r="G36" s="1383"/>
      <c r="J36" s="2633" t="s">
        <v>1104</v>
      </c>
      <c r="P36" s="2633" t="s">
        <v>1549</v>
      </c>
    </row>
    <row r="37" spans="1:22" ht="15" customHeight="1" x14ac:dyDescent="0.25">
      <c r="A37" s="1082" t="s">
        <v>290</v>
      </c>
      <c r="B37" s="1848">
        <v>106205036</v>
      </c>
      <c r="C37" s="1287" t="s">
        <v>2445</v>
      </c>
      <c r="D37" s="1287">
        <v>8536209090</v>
      </c>
      <c r="E37" s="1358" t="s">
        <v>2319</v>
      </c>
      <c r="F37" s="1356" t="s">
        <v>2320</v>
      </c>
      <c r="G37" s="1383"/>
      <c r="J37" s="2633" t="s">
        <v>1104</v>
      </c>
      <c r="P37" s="2633" t="s">
        <v>1549</v>
      </c>
    </row>
    <row r="38" spans="1:22" ht="30" x14ac:dyDescent="0.25">
      <c r="A38" s="1082" t="s">
        <v>328</v>
      </c>
      <c r="B38" s="1848">
        <v>106205209</v>
      </c>
      <c r="C38" s="1287" t="s">
        <v>2447</v>
      </c>
      <c r="D38" s="1287">
        <v>8536209090</v>
      </c>
      <c r="E38" s="1358" t="s">
        <v>1615</v>
      </c>
      <c r="F38" s="1356" t="s">
        <v>1616</v>
      </c>
      <c r="G38" s="1383"/>
      <c r="J38" s="2633" t="s">
        <v>1104</v>
      </c>
      <c r="P38" s="2633" t="s">
        <v>1549</v>
      </c>
    </row>
    <row r="39" spans="1:22" x14ac:dyDescent="0.25">
      <c r="A39" s="1383" t="s">
        <v>71</v>
      </c>
      <c r="B39" s="1848">
        <v>106204781</v>
      </c>
      <c r="C39" s="1358" t="s">
        <v>2837</v>
      </c>
      <c r="D39" s="1287">
        <v>8536209090</v>
      </c>
      <c r="E39" s="1383" t="s">
        <v>2508</v>
      </c>
      <c r="F39" s="1356" t="s">
        <v>2509</v>
      </c>
      <c r="I39" s="2633" t="s">
        <v>1104</v>
      </c>
      <c r="J39" s="3923"/>
      <c r="K39" s="3923"/>
      <c r="L39" s="142"/>
      <c r="N39" s="2633"/>
      <c r="O39" s="2633">
        <v>106204783</v>
      </c>
      <c r="P39" s="2633" t="s">
        <v>1549</v>
      </c>
    </row>
    <row r="40" spans="1:22" x14ac:dyDescent="0.25">
      <c r="A40" s="48" t="s">
        <v>263</v>
      </c>
      <c r="B40" s="1848">
        <v>106204784</v>
      </c>
      <c r="C40" s="1358" t="s">
        <v>2999</v>
      </c>
      <c r="D40" s="1287">
        <v>8536490000</v>
      </c>
      <c r="E40" s="1383" t="s">
        <v>2938</v>
      </c>
      <c r="F40" s="1356" t="s">
        <v>2939</v>
      </c>
      <c r="I40" s="2633" t="s">
        <v>1104</v>
      </c>
      <c r="K40" s="2633" t="s">
        <v>1104</v>
      </c>
      <c r="L40" s="3923"/>
      <c r="M40" s="142"/>
      <c r="N40" s="2633"/>
      <c r="P40" s="1848" t="s">
        <v>1549</v>
      </c>
    </row>
    <row r="41" spans="1:22" x14ac:dyDescent="0.25">
      <c r="A41" s="48" t="s">
        <v>2801</v>
      </c>
      <c r="B41" s="1848">
        <v>106205250</v>
      </c>
      <c r="C41" s="1358" t="s">
        <v>3002</v>
      </c>
      <c r="D41" s="1287">
        <v>8504409090</v>
      </c>
      <c r="E41" s="1383" t="s">
        <v>2820</v>
      </c>
      <c r="F41" s="1356" t="s">
        <v>2821</v>
      </c>
      <c r="I41" s="2633" t="s">
        <v>1104</v>
      </c>
      <c r="K41" s="2633" t="s">
        <v>1104</v>
      </c>
      <c r="L41" s="3923"/>
      <c r="M41" s="142"/>
      <c r="N41" s="2633"/>
      <c r="P41" s="1848"/>
    </row>
    <row r="42" spans="1:22" x14ac:dyDescent="0.25">
      <c r="A42" s="48" t="s">
        <v>71</v>
      </c>
      <c r="B42" s="1848">
        <v>106206437</v>
      </c>
      <c r="C42" s="1358" t="s">
        <v>3003</v>
      </c>
      <c r="D42" s="1287">
        <v>8536490000</v>
      </c>
      <c r="E42" s="1383" t="s">
        <v>2907</v>
      </c>
      <c r="F42" s="1356" t="s">
        <v>2908</v>
      </c>
      <c r="K42" s="2633" t="s">
        <v>1104</v>
      </c>
      <c r="L42" s="3923"/>
      <c r="M42" s="142"/>
      <c r="N42" s="2633"/>
      <c r="P42" s="1848" t="s">
        <v>1549</v>
      </c>
    </row>
    <row r="43" spans="1:22" s="86" customFormat="1" x14ac:dyDescent="0.25">
      <c r="A43" s="48" t="s">
        <v>71</v>
      </c>
      <c r="B43" s="1848">
        <v>106204782</v>
      </c>
      <c r="C43" s="1358" t="s">
        <v>3011</v>
      </c>
      <c r="D43" s="1287">
        <v>8536209090</v>
      </c>
      <c r="E43" s="1383" t="s">
        <v>2510</v>
      </c>
      <c r="F43" s="1356" t="s">
        <v>2511</v>
      </c>
      <c r="G43" s="2633"/>
      <c r="H43" s="2633"/>
      <c r="I43" s="2633" t="s">
        <v>1104</v>
      </c>
      <c r="J43" s="2633"/>
      <c r="K43" s="2633"/>
      <c r="L43" s="3923"/>
      <c r="M43" s="142"/>
      <c r="N43" s="2633"/>
      <c r="O43" s="2633">
        <v>106204783</v>
      </c>
      <c r="P43" s="1848" t="s">
        <v>1549</v>
      </c>
      <c r="Q43" s="1383"/>
      <c r="R43" s="1383"/>
      <c r="S43" s="1383"/>
      <c r="T43" s="1383"/>
      <c r="U43" s="1383"/>
      <c r="V43" s="1383"/>
    </row>
    <row r="44" spans="1:22" s="86" customFormat="1" x14ac:dyDescent="0.25">
      <c r="A44" s="48" t="s">
        <v>2827</v>
      </c>
      <c r="B44" s="1848">
        <v>106206534</v>
      </c>
      <c r="C44" s="1358" t="s">
        <v>3016</v>
      </c>
      <c r="D44" s="1287">
        <v>8543709099</v>
      </c>
      <c r="E44" s="1383" t="s">
        <v>3053</v>
      </c>
      <c r="F44" s="1356" t="s">
        <v>3054</v>
      </c>
      <c r="G44" s="2633"/>
      <c r="H44" s="2633"/>
      <c r="I44" s="2633" t="s">
        <v>1104</v>
      </c>
      <c r="J44" s="2633"/>
      <c r="K44" s="2633"/>
      <c r="L44" s="3923"/>
      <c r="M44" s="142"/>
      <c r="N44" s="2633"/>
      <c r="O44" s="2633"/>
      <c r="P44" s="1848"/>
      <c r="Q44" s="1383"/>
      <c r="R44" s="1383"/>
      <c r="S44" s="1383"/>
      <c r="T44" s="1383"/>
      <c r="U44" s="1383"/>
      <c r="V44" s="1383"/>
    </row>
    <row r="45" spans="1:22" s="86" customFormat="1" x14ac:dyDescent="0.25">
      <c r="A45" s="48" t="s">
        <v>2824</v>
      </c>
      <c r="B45" s="1848">
        <v>106206535</v>
      </c>
      <c r="C45" s="1358" t="s">
        <v>3052</v>
      </c>
      <c r="D45" s="1287">
        <v>8543709099</v>
      </c>
      <c r="E45" s="1383" t="s">
        <v>3142</v>
      </c>
      <c r="F45" s="1356" t="s">
        <v>3143</v>
      </c>
      <c r="G45" s="2633"/>
      <c r="H45" s="2633"/>
      <c r="I45" s="2633" t="s">
        <v>1104</v>
      </c>
      <c r="J45" s="2633"/>
      <c r="K45" s="2633"/>
      <c r="L45" s="3923"/>
      <c r="M45" s="142"/>
      <c r="N45" s="2633"/>
      <c r="O45" s="2633"/>
      <c r="P45" s="1848"/>
      <c r="Q45" s="1383"/>
      <c r="R45" s="1383"/>
      <c r="S45" s="1383"/>
      <c r="T45" s="1383"/>
      <c r="U45" s="1383"/>
      <c r="V45" s="1383"/>
    </row>
    <row r="46" spans="1:22" s="86" customFormat="1" x14ac:dyDescent="0.25">
      <c r="A46" s="48" t="s">
        <v>3119</v>
      </c>
      <c r="B46" s="1848">
        <v>106206611</v>
      </c>
      <c r="C46" s="1358" t="s">
        <v>3120</v>
      </c>
      <c r="D46" s="1287">
        <v>8504901190</v>
      </c>
      <c r="E46" s="1383" t="s">
        <v>3031</v>
      </c>
      <c r="F46" s="1356" t="s">
        <v>3032</v>
      </c>
      <c r="G46" s="2633"/>
      <c r="H46" s="2633"/>
      <c r="I46" s="2633" t="s">
        <v>1104</v>
      </c>
      <c r="J46" s="2633"/>
      <c r="K46" s="2633"/>
      <c r="L46" s="3923"/>
      <c r="M46" s="142"/>
      <c r="N46" s="2633"/>
      <c r="O46" s="2633"/>
      <c r="P46" s="1848"/>
      <c r="Q46" s="1383"/>
      <c r="R46" s="1383"/>
      <c r="S46" s="1383"/>
      <c r="T46" s="1383"/>
      <c r="U46" s="1383"/>
      <c r="V46" s="1383"/>
    </row>
    <row r="47" spans="1:22" s="86" customFormat="1" x14ac:dyDescent="0.25">
      <c r="A47" s="48" t="s">
        <v>3141</v>
      </c>
      <c r="B47" s="1848">
        <v>106206543</v>
      </c>
      <c r="C47" s="1358" t="s">
        <v>3179</v>
      </c>
      <c r="D47" s="1287">
        <v>8543709099</v>
      </c>
      <c r="E47" s="1383" t="s">
        <v>3142</v>
      </c>
      <c r="F47" s="1356" t="s">
        <v>3143</v>
      </c>
      <c r="G47" s="2633"/>
      <c r="H47" s="2633"/>
      <c r="I47" s="2633" t="s">
        <v>1104</v>
      </c>
      <c r="J47" s="2633"/>
      <c r="K47" s="2633"/>
      <c r="L47" s="3923"/>
      <c r="M47" s="142"/>
      <c r="N47" s="2633"/>
      <c r="O47" s="2633"/>
      <c r="P47" s="1848"/>
      <c r="Q47" s="1383"/>
      <c r="R47" s="1383"/>
      <c r="S47" s="1383"/>
      <c r="T47" s="1383"/>
      <c r="U47" s="1383"/>
      <c r="V47" s="1383"/>
    </row>
    <row r="48" spans="1:22" s="86" customFormat="1" x14ac:dyDescent="0.25">
      <c r="A48" s="48" t="s">
        <v>127</v>
      </c>
      <c r="B48" s="1848">
        <v>106205936</v>
      </c>
      <c r="C48" s="1358" t="s">
        <v>3284</v>
      </c>
      <c r="D48" s="1287">
        <v>8536209090</v>
      </c>
      <c r="E48" s="1383" t="s">
        <v>2904</v>
      </c>
      <c r="F48" s="1356" t="s">
        <v>2905</v>
      </c>
      <c r="G48" s="2633"/>
      <c r="H48" s="2633"/>
      <c r="I48" s="2633"/>
      <c r="J48" s="2633"/>
      <c r="K48" s="2633" t="s">
        <v>1104</v>
      </c>
      <c r="L48" s="3923"/>
      <c r="M48" s="142"/>
      <c r="N48" s="2633"/>
      <c r="O48" s="2633"/>
      <c r="P48" s="2633" t="s">
        <v>1549</v>
      </c>
      <c r="Q48" s="1383"/>
      <c r="R48" s="1383"/>
      <c r="S48" s="1383"/>
      <c r="T48" s="1383"/>
      <c r="U48" s="1383"/>
      <c r="V48" s="1383"/>
    </row>
    <row r="49" spans="1:22" s="86" customFormat="1" x14ac:dyDescent="0.25">
      <c r="A49" s="48" t="s">
        <v>2931</v>
      </c>
      <c r="B49" s="1848">
        <v>106206106</v>
      </c>
      <c r="C49" s="1358" t="s">
        <v>3288</v>
      </c>
      <c r="D49" s="1287">
        <v>8504409090</v>
      </c>
      <c r="E49" s="1383" t="s">
        <v>1951</v>
      </c>
      <c r="F49" s="1356" t="s">
        <v>576</v>
      </c>
      <c r="G49" s="2633"/>
      <c r="H49" s="2633"/>
      <c r="I49" s="2633"/>
      <c r="J49" s="2633"/>
      <c r="K49" s="2633" t="s">
        <v>1104</v>
      </c>
      <c r="L49" s="3923"/>
      <c r="M49" s="142"/>
      <c r="N49" s="2633"/>
      <c r="O49" s="2633"/>
      <c r="P49" s="1848"/>
      <c r="Q49" s="1383"/>
      <c r="R49" s="1383"/>
      <c r="S49" s="1383"/>
      <c r="T49" s="1383"/>
      <c r="U49" s="1383"/>
      <c r="V49" s="1383"/>
    </row>
    <row r="50" spans="1:22" s="86" customFormat="1" x14ac:dyDescent="0.25">
      <c r="A50" s="48" t="s">
        <v>3063</v>
      </c>
      <c r="B50" s="1848">
        <v>106206422</v>
      </c>
      <c r="C50" s="1358" t="s">
        <v>3289</v>
      </c>
      <c r="D50" s="1287">
        <v>8543709099</v>
      </c>
      <c r="E50" s="1383" t="s">
        <v>3073</v>
      </c>
      <c r="F50" s="1356" t="s">
        <v>3078</v>
      </c>
      <c r="G50" s="2633"/>
      <c r="H50" s="2633"/>
      <c r="I50" s="2633"/>
      <c r="J50" s="2633"/>
      <c r="K50" s="2633"/>
      <c r="L50" s="3923"/>
      <c r="M50" s="142"/>
      <c r="N50" s="2633"/>
      <c r="O50" s="2633"/>
      <c r="P50" s="1848"/>
      <c r="Q50" s="1383"/>
      <c r="R50" s="1383"/>
      <c r="S50" s="1383"/>
      <c r="T50" s="1383"/>
      <c r="U50" s="1383"/>
      <c r="V50" s="1383"/>
    </row>
    <row r="51" spans="1:22" x14ac:dyDescent="0.25">
      <c r="A51" s="48" t="s">
        <v>3064</v>
      </c>
      <c r="B51" s="1848">
        <v>106206423</v>
      </c>
      <c r="C51" s="1358" t="s">
        <v>3290</v>
      </c>
      <c r="D51" s="1287">
        <v>8543709099</v>
      </c>
      <c r="E51" s="1383" t="s">
        <v>3074</v>
      </c>
      <c r="F51" s="1356" t="s">
        <v>3079</v>
      </c>
      <c r="L51" s="3923"/>
      <c r="M51" s="142"/>
      <c r="N51" s="2633"/>
      <c r="P51" s="1848"/>
    </row>
    <row r="52" spans="1:22" x14ac:dyDescent="0.25">
      <c r="A52" s="48" t="s">
        <v>3065</v>
      </c>
      <c r="B52" s="1848">
        <v>106206424</v>
      </c>
      <c r="C52" s="1358" t="s">
        <v>3291</v>
      </c>
      <c r="D52" s="1287">
        <v>8543709099</v>
      </c>
      <c r="E52" s="1383" t="s">
        <v>3075</v>
      </c>
      <c r="F52" s="1356" t="s">
        <v>3080</v>
      </c>
      <c r="L52" s="3923"/>
      <c r="M52" s="142"/>
      <c r="N52" s="2633"/>
      <c r="P52" s="1848"/>
    </row>
    <row r="53" spans="1:22" x14ac:dyDescent="0.25">
      <c r="A53" s="48" t="s">
        <v>3066</v>
      </c>
      <c r="B53" s="1848">
        <v>106206425</v>
      </c>
      <c r="C53" s="1358" t="s">
        <v>3292</v>
      </c>
      <c r="D53" s="1287">
        <v>8543709099</v>
      </c>
      <c r="E53" s="1383" t="s">
        <v>3076</v>
      </c>
      <c r="F53" s="1356" t="s">
        <v>3081</v>
      </c>
      <c r="L53" s="3923"/>
      <c r="M53" s="142"/>
      <c r="N53" s="2633"/>
      <c r="P53" s="1848"/>
    </row>
    <row r="54" spans="1:22" x14ac:dyDescent="0.25">
      <c r="A54" s="48" t="s">
        <v>3067</v>
      </c>
      <c r="B54" s="1848">
        <v>106206421</v>
      </c>
      <c r="C54" s="1358" t="s">
        <v>3293</v>
      </c>
      <c r="D54" s="1287">
        <v>8543709099</v>
      </c>
      <c r="E54" s="1383" t="s">
        <v>3077</v>
      </c>
      <c r="F54" s="1356" t="s">
        <v>3082</v>
      </c>
      <c r="L54" s="3923"/>
      <c r="M54" s="142"/>
      <c r="N54" s="2633"/>
      <c r="P54" s="1848"/>
    </row>
    <row r="55" spans="1:22" x14ac:dyDescent="0.25">
      <c r="A55" s="48" t="s">
        <v>71</v>
      </c>
      <c r="B55" s="1848">
        <v>106206386</v>
      </c>
      <c r="C55" s="1358" t="s">
        <v>3294</v>
      </c>
      <c r="D55" s="1287">
        <v>8536209090</v>
      </c>
      <c r="E55" s="1383" t="s">
        <v>2922</v>
      </c>
      <c r="F55" s="1356" t="s">
        <v>2923</v>
      </c>
      <c r="K55" s="2633" t="s">
        <v>1104</v>
      </c>
      <c r="L55" s="3923"/>
      <c r="M55" s="142"/>
      <c r="N55" s="2633"/>
      <c r="P55" s="2633" t="s">
        <v>1549</v>
      </c>
    </row>
    <row r="56" spans="1:22" x14ac:dyDescent="0.25">
      <c r="A56" s="48" t="s">
        <v>138</v>
      </c>
      <c r="B56" s="1848">
        <v>106205336</v>
      </c>
      <c r="C56" s="1358" t="s">
        <v>3299</v>
      </c>
      <c r="D56" s="1287">
        <v>9032900090</v>
      </c>
      <c r="E56" s="1383" t="s">
        <v>1985</v>
      </c>
      <c r="F56" s="1356" t="s">
        <v>1468</v>
      </c>
      <c r="I56" s="2633" t="s">
        <v>1104</v>
      </c>
      <c r="L56" s="3923"/>
      <c r="M56" s="142"/>
      <c r="N56" s="2633"/>
      <c r="O56" s="2633" t="s">
        <v>649</v>
      </c>
      <c r="P56" s="1848"/>
    </row>
    <row r="57" spans="1:22" x14ac:dyDescent="0.25">
      <c r="A57" s="48" t="s">
        <v>71</v>
      </c>
      <c r="B57" s="1848">
        <v>106206537</v>
      </c>
      <c r="C57" s="1358" t="s">
        <v>3335</v>
      </c>
      <c r="D57" s="1287">
        <v>8536209090</v>
      </c>
      <c r="E57" s="1383" t="s">
        <v>3322</v>
      </c>
      <c r="F57" s="1356" t="s">
        <v>3323</v>
      </c>
      <c r="L57" s="3923"/>
      <c r="M57" s="142"/>
      <c r="N57" s="2633"/>
      <c r="P57" s="1848"/>
    </row>
    <row r="58" spans="1:22" x14ac:dyDescent="0.25">
      <c r="A58" s="48" t="s">
        <v>71</v>
      </c>
      <c r="B58" s="1848">
        <v>106206798</v>
      </c>
      <c r="C58" s="1358" t="s">
        <v>3336</v>
      </c>
      <c r="D58" s="1287">
        <v>8536209090</v>
      </c>
      <c r="E58" s="1383" t="s">
        <v>3324</v>
      </c>
      <c r="F58" s="1356" t="s">
        <v>3325</v>
      </c>
      <c r="L58" s="3923"/>
      <c r="M58" s="142"/>
      <c r="N58" s="2633"/>
      <c r="P58" s="1848"/>
    </row>
    <row r="59" spans="1:22" x14ac:dyDescent="0.25">
      <c r="A59" s="48" t="s">
        <v>71</v>
      </c>
      <c r="B59" s="1848">
        <v>106207328</v>
      </c>
      <c r="C59" s="1358" t="s">
        <v>3337</v>
      </c>
      <c r="D59" s="1287">
        <v>8542319000</v>
      </c>
      <c r="E59" s="1383" t="s">
        <v>3326</v>
      </c>
      <c r="F59" s="1356" t="s">
        <v>3327</v>
      </c>
      <c r="L59" s="3923"/>
      <c r="M59" s="142"/>
      <c r="N59" s="2633"/>
      <c r="P59" s="1848"/>
    </row>
    <row r="60" spans="1:22" x14ac:dyDescent="0.25">
      <c r="A60" s="48" t="s">
        <v>71</v>
      </c>
      <c r="B60" s="1848">
        <v>106207329</v>
      </c>
      <c r="C60" s="1358" t="s">
        <v>3338</v>
      </c>
      <c r="D60" s="1287">
        <v>8542319000</v>
      </c>
      <c r="E60" s="1383" t="s">
        <v>3328</v>
      </c>
      <c r="F60" s="1356" t="s">
        <v>3329</v>
      </c>
      <c r="L60" s="3923"/>
      <c r="M60" s="142"/>
      <c r="N60" s="2633"/>
      <c r="P60" s="1848"/>
    </row>
    <row r="61" spans="1:22" s="99" customFormat="1" ht="15.75" customHeight="1" x14ac:dyDescent="0.25">
      <c r="A61" s="48" t="s">
        <v>71</v>
      </c>
      <c r="B61" s="1848">
        <v>106207353</v>
      </c>
      <c r="C61" s="1358" t="s">
        <v>3339</v>
      </c>
      <c r="D61" s="1287">
        <v>8542319000</v>
      </c>
      <c r="E61" s="1383" t="s">
        <v>3330</v>
      </c>
      <c r="F61" s="1356" t="s">
        <v>3331</v>
      </c>
      <c r="G61" s="2633"/>
      <c r="H61" s="2633"/>
      <c r="I61" s="2633"/>
      <c r="J61" s="2633"/>
      <c r="K61" s="2633"/>
      <c r="L61" s="3923"/>
      <c r="M61" s="142"/>
      <c r="N61" s="2633"/>
      <c r="O61" s="2633"/>
      <c r="P61" s="1848"/>
      <c r="Q61" s="1383"/>
      <c r="R61" s="1383"/>
      <c r="S61" s="1383"/>
      <c r="T61" s="1383"/>
      <c r="U61" s="1383"/>
      <c r="V61" s="1383"/>
    </row>
    <row r="62" spans="1:22" x14ac:dyDescent="0.25">
      <c r="A62" s="48" t="s">
        <v>71</v>
      </c>
      <c r="B62" s="1848">
        <v>106207356</v>
      </c>
      <c r="C62" s="1358" t="s">
        <v>3340</v>
      </c>
      <c r="D62" s="1287">
        <v>8536490000</v>
      </c>
      <c r="E62" s="1383" t="s">
        <v>3332</v>
      </c>
      <c r="F62" s="1356" t="s">
        <v>3677</v>
      </c>
      <c r="L62" s="3923"/>
      <c r="M62" s="142"/>
      <c r="N62" s="2633"/>
      <c r="P62" s="1848"/>
    </row>
    <row r="63" spans="1:22" s="99" customFormat="1" ht="15.75" customHeight="1" x14ac:dyDescent="0.25">
      <c r="A63" s="48" t="s">
        <v>71</v>
      </c>
      <c r="B63" s="1848">
        <v>106207363</v>
      </c>
      <c r="C63" s="1358" t="s">
        <v>3341</v>
      </c>
      <c r="D63" s="1287">
        <v>8536490000</v>
      </c>
      <c r="E63" s="1383" t="s">
        <v>3333</v>
      </c>
      <c r="F63" s="1356" t="s">
        <v>3678</v>
      </c>
      <c r="G63" s="2633"/>
      <c r="H63" s="2633"/>
      <c r="I63" s="2633"/>
      <c r="J63" s="2633"/>
      <c r="K63" s="2633"/>
      <c r="L63" s="3923"/>
      <c r="M63" s="142"/>
      <c r="N63" s="2633"/>
      <c r="O63" s="2633"/>
      <c r="P63" s="1848"/>
      <c r="Q63" s="1383"/>
      <c r="R63" s="1383"/>
      <c r="S63" s="1383"/>
      <c r="T63" s="1383"/>
      <c r="U63" s="1383"/>
      <c r="V63" s="1383"/>
    </row>
    <row r="64" spans="1:22" s="99" customFormat="1" ht="15.75" customHeight="1" x14ac:dyDescent="0.25">
      <c r="A64" s="48" t="s">
        <v>71</v>
      </c>
      <c r="B64" s="1848">
        <v>106207366</v>
      </c>
      <c r="C64" s="1358" t="s">
        <v>3342</v>
      </c>
      <c r="D64" s="1287">
        <v>8536490000</v>
      </c>
      <c r="E64" s="1383" t="s">
        <v>3334</v>
      </c>
      <c r="F64" s="1356" t="s">
        <v>3679</v>
      </c>
      <c r="G64" s="2633"/>
      <c r="H64" s="2633"/>
      <c r="I64" s="2633"/>
      <c r="J64" s="2633"/>
      <c r="K64" s="2633"/>
      <c r="L64" s="3923"/>
      <c r="M64" s="142"/>
      <c r="N64" s="2633"/>
      <c r="O64" s="2633"/>
      <c r="P64" s="1848"/>
      <c r="Q64" s="1383"/>
      <c r="R64" s="1383"/>
      <c r="S64" s="1383"/>
      <c r="T64" s="1383"/>
      <c r="U64" s="1383"/>
      <c r="V64" s="1383"/>
    </row>
    <row r="65" spans="1:22" x14ac:dyDescent="0.25">
      <c r="A65" s="1342" t="s">
        <v>3645</v>
      </c>
      <c r="B65" s="1848">
        <v>106115113</v>
      </c>
      <c r="C65" s="3928" t="s">
        <v>3647</v>
      </c>
      <c r="D65" s="1287">
        <v>8536100000</v>
      </c>
      <c r="E65" s="1358" t="s">
        <v>3648</v>
      </c>
      <c r="F65" s="1356" t="s">
        <v>3649</v>
      </c>
      <c r="M65" s="2633" t="s">
        <v>1104</v>
      </c>
      <c r="O65" s="2633" t="s">
        <v>649</v>
      </c>
    </row>
    <row r="66" spans="1:22" s="99" customFormat="1" ht="15.75" customHeight="1" x14ac:dyDescent="0.25">
      <c r="A66" s="1342"/>
      <c r="B66" s="1848">
        <v>106124015</v>
      </c>
      <c r="C66" s="3928" t="s">
        <v>3655</v>
      </c>
      <c r="D66" s="1287">
        <v>8542319000</v>
      </c>
      <c r="E66" s="1358" t="s">
        <v>3674</v>
      </c>
      <c r="F66" s="1356" t="s">
        <v>3675</v>
      </c>
      <c r="G66" s="2633"/>
      <c r="H66" s="2633"/>
      <c r="I66" s="2633"/>
      <c r="J66" s="2633"/>
      <c r="K66" s="2633"/>
      <c r="L66" s="2633"/>
      <c r="M66" s="2633" t="s">
        <v>1104</v>
      </c>
      <c r="N66" s="3923"/>
      <c r="O66" s="2633"/>
      <c r="P66" s="2633"/>
      <c r="Q66" s="1383"/>
      <c r="R66" s="1383"/>
      <c r="S66" s="1383"/>
      <c r="T66" s="1383"/>
      <c r="U66" s="1383"/>
      <c r="V66" s="1383"/>
    </row>
    <row r="67" spans="1:22" s="99" customFormat="1" ht="15.75" customHeight="1" x14ac:dyDescent="0.25">
      <c r="A67" s="1342" t="s">
        <v>3676</v>
      </c>
      <c r="B67" s="1848">
        <v>106123372</v>
      </c>
      <c r="C67" s="3928" t="s">
        <v>3213</v>
      </c>
      <c r="D67" s="1287">
        <v>8542319000</v>
      </c>
      <c r="E67" s="1358" t="s">
        <v>3783</v>
      </c>
      <c r="F67" s="1356" t="s">
        <v>3784</v>
      </c>
      <c r="G67" s="2633"/>
      <c r="H67" s="2633"/>
      <c r="I67" s="2633"/>
      <c r="J67" s="2633"/>
      <c r="K67" s="2633"/>
      <c r="L67" s="2633"/>
      <c r="M67" s="2633" t="s">
        <v>1104</v>
      </c>
      <c r="N67" s="3923"/>
      <c r="O67" s="2633"/>
      <c r="P67" s="2633"/>
      <c r="Q67" s="1383"/>
      <c r="R67" s="1383"/>
      <c r="S67" s="1383"/>
      <c r="T67" s="1383"/>
      <c r="U67" s="1383"/>
      <c r="V67" s="1383"/>
    </row>
    <row r="68" spans="1:22" s="99" customFormat="1" ht="15.75" customHeight="1" x14ac:dyDescent="0.25">
      <c r="A68" s="1342"/>
      <c r="B68" s="1848">
        <v>106208156</v>
      </c>
      <c r="C68" s="3928" t="s">
        <v>3639</v>
      </c>
      <c r="D68" s="1287">
        <v>8536490000</v>
      </c>
      <c r="E68" s="1348" t="s">
        <v>3683</v>
      </c>
      <c r="F68" s="1336" t="s">
        <v>3682</v>
      </c>
      <c r="G68" s="2633"/>
      <c r="H68" s="2633"/>
      <c r="I68" s="2633" t="s">
        <v>1104</v>
      </c>
      <c r="J68" s="2633"/>
      <c r="K68" s="2633"/>
      <c r="L68" s="2633"/>
      <c r="M68" s="2633"/>
      <c r="N68" s="3923"/>
      <c r="O68" s="2633" t="s">
        <v>649</v>
      </c>
      <c r="P68" s="2633"/>
      <c r="Q68" s="1383"/>
      <c r="R68" s="1383"/>
      <c r="S68" s="1383"/>
      <c r="T68" s="1383"/>
      <c r="U68" s="1383"/>
      <c r="V68" s="1383"/>
    </row>
    <row r="69" spans="1:22" s="99" customFormat="1" ht="15.75" customHeight="1" x14ac:dyDescent="0.25">
      <c r="A69" s="1342" t="s">
        <v>3699</v>
      </c>
      <c r="B69" s="1848">
        <v>106112808</v>
      </c>
      <c r="C69" s="3928" t="s">
        <v>3698</v>
      </c>
      <c r="D69" s="1287">
        <v>8536209090</v>
      </c>
      <c r="E69" s="1358" t="s">
        <v>3696</v>
      </c>
      <c r="F69" s="1356" t="s">
        <v>3697</v>
      </c>
      <c r="G69" s="2633"/>
      <c r="H69" s="2633"/>
      <c r="I69" s="2633"/>
      <c r="J69" s="2633"/>
      <c r="K69" s="2633"/>
      <c r="L69" s="2633"/>
      <c r="M69" s="2633" t="s">
        <v>1104</v>
      </c>
      <c r="N69" s="3923"/>
      <c r="O69" s="2633"/>
      <c r="P69" s="2633" t="s">
        <v>1549</v>
      </c>
      <c r="Q69" s="1383"/>
      <c r="R69" s="1383"/>
      <c r="S69" s="1383"/>
      <c r="T69" s="1383"/>
      <c r="U69" s="1383"/>
      <c r="V69" s="1383"/>
    </row>
    <row r="70" spans="1:22" x14ac:dyDescent="0.25">
      <c r="A70" s="1342" t="s">
        <v>263</v>
      </c>
      <c r="B70" s="1848">
        <v>106207101</v>
      </c>
      <c r="C70" s="3928" t="s">
        <v>3700</v>
      </c>
      <c r="D70" s="1287">
        <v>8536490000</v>
      </c>
      <c r="E70" s="1358" t="s">
        <v>3201</v>
      </c>
      <c r="F70" s="1356" t="s">
        <v>3202</v>
      </c>
      <c r="P70" s="2633" t="s">
        <v>1549</v>
      </c>
    </row>
    <row r="71" spans="1:22" ht="30" x14ac:dyDescent="0.25">
      <c r="A71" s="2354" t="s">
        <v>3753</v>
      </c>
      <c r="B71" s="2353">
        <v>106208741</v>
      </c>
      <c r="C71" s="2354" t="s">
        <v>3754</v>
      </c>
      <c r="D71" s="1287">
        <v>8504901190</v>
      </c>
      <c r="E71" s="1348" t="s">
        <v>3755</v>
      </c>
      <c r="F71" s="1336" t="s">
        <v>3756</v>
      </c>
      <c r="G71" s="274"/>
      <c r="H71" s="274" t="s">
        <v>1104</v>
      </c>
      <c r="I71" s="274"/>
      <c r="J71" s="274"/>
      <c r="K71" s="274"/>
      <c r="L71" s="751"/>
      <c r="M71" s="751"/>
      <c r="N71" s="751"/>
      <c r="O71" s="751"/>
      <c r="P71" s="751"/>
      <c r="Q71" s="2227"/>
      <c r="R71" s="371"/>
      <c r="S71" s="371"/>
      <c r="T71" s="371"/>
      <c r="U71" s="371"/>
      <c r="V71" s="371"/>
    </row>
    <row r="72" spans="1:22" x14ac:dyDescent="0.25">
      <c r="A72" s="1342" t="s">
        <v>71</v>
      </c>
      <c r="B72" s="1848">
        <v>106128815</v>
      </c>
      <c r="C72" s="3928" t="s">
        <v>3857</v>
      </c>
      <c r="D72" s="1287">
        <v>8536209090</v>
      </c>
      <c r="E72" s="1358" t="s">
        <v>3778</v>
      </c>
      <c r="F72" s="1356" t="s">
        <v>3779</v>
      </c>
      <c r="I72" s="2633" t="s">
        <v>1104</v>
      </c>
      <c r="M72" s="751"/>
      <c r="P72" s="2633" t="s">
        <v>1549</v>
      </c>
    </row>
    <row r="73" spans="1:22" ht="15.75" customHeight="1" x14ac:dyDescent="0.25">
      <c r="A73" s="1082"/>
      <c r="B73" s="1848">
        <v>106120229</v>
      </c>
      <c r="C73" s="291" t="s">
        <v>2422</v>
      </c>
      <c r="D73" s="1287">
        <v>8536109090</v>
      </c>
      <c r="E73" s="1358" t="s">
        <v>1583</v>
      </c>
      <c r="F73" s="1356" t="s">
        <v>1584</v>
      </c>
      <c r="G73" s="1383"/>
      <c r="J73" s="2633" t="s">
        <v>1104</v>
      </c>
    </row>
    <row r="74" spans="1:22" ht="15.75" customHeight="1" x14ac:dyDescent="0.25">
      <c r="A74" s="1342" t="s">
        <v>3668</v>
      </c>
      <c r="B74" s="1848">
        <v>106120385</v>
      </c>
      <c r="C74" s="3928" t="s">
        <v>3672</v>
      </c>
      <c r="D74" s="1287" t="s">
        <v>3902</v>
      </c>
      <c r="E74" s="1358" t="s">
        <v>3808</v>
      </c>
      <c r="F74" s="1356" t="s">
        <v>3809</v>
      </c>
      <c r="M74" s="2633" t="s">
        <v>1104</v>
      </c>
    </row>
    <row r="75" spans="1:22" ht="15.75" customHeight="1" x14ac:dyDescent="0.25">
      <c r="A75" s="1285" t="s">
        <v>1998</v>
      </c>
      <c r="B75" s="1848">
        <v>106204289</v>
      </c>
      <c r="C75" s="1288" t="s">
        <v>1999</v>
      </c>
      <c r="D75" s="1287" t="s">
        <v>3903</v>
      </c>
      <c r="E75" s="1288" t="s">
        <v>2959</v>
      </c>
      <c r="F75" s="1335" t="s">
        <v>2960</v>
      </c>
      <c r="G75" s="1347"/>
      <c r="H75" s="1347" t="s">
        <v>1104</v>
      </c>
      <c r="I75" s="1347" t="s">
        <v>1104</v>
      </c>
      <c r="J75" s="1347" t="s">
        <v>1104</v>
      </c>
      <c r="K75" s="1347"/>
      <c r="M75" s="2633" t="s">
        <v>1104</v>
      </c>
      <c r="N75" s="3924"/>
      <c r="O75" s="3927" t="s">
        <v>649</v>
      </c>
      <c r="P75" s="3927"/>
      <c r="Q75" s="3926"/>
    </row>
    <row r="76" spans="1:22" ht="15.75" customHeight="1" x14ac:dyDescent="0.25">
      <c r="A76" s="1082" t="s">
        <v>178</v>
      </c>
      <c r="B76" s="1848">
        <v>106104209</v>
      </c>
      <c r="C76" s="1287" t="s">
        <v>1547</v>
      </c>
      <c r="D76" s="1287">
        <v>9032900090</v>
      </c>
      <c r="E76" s="1348" t="s">
        <v>1239</v>
      </c>
      <c r="F76" s="1335" t="s">
        <v>1240</v>
      </c>
      <c r="G76" s="1347"/>
      <c r="H76" s="1347" t="s">
        <v>1104</v>
      </c>
      <c r="I76" s="1347" t="s">
        <v>1104</v>
      </c>
      <c r="J76" s="1347"/>
      <c r="K76" s="1347"/>
      <c r="L76" s="1083"/>
    </row>
    <row r="77" spans="1:22" ht="15.75" customHeight="1" x14ac:dyDescent="0.25">
      <c r="A77" s="1082" t="s">
        <v>276</v>
      </c>
      <c r="B77" s="1848">
        <v>106104211</v>
      </c>
      <c r="C77" s="1287" t="s">
        <v>1745</v>
      </c>
      <c r="D77" s="1287">
        <v>9032900090</v>
      </c>
      <c r="E77" s="1287" t="s">
        <v>1746</v>
      </c>
      <c r="F77" s="1335" t="s">
        <v>1747</v>
      </c>
      <c r="G77" s="1347"/>
      <c r="H77" s="1347" t="s">
        <v>1104</v>
      </c>
      <c r="I77" s="1347"/>
      <c r="J77" s="1347"/>
      <c r="K77" s="1347"/>
      <c r="L77" s="1347"/>
    </row>
    <row r="78" spans="1:22" ht="15.75" customHeight="1" x14ac:dyDescent="0.25">
      <c r="A78" s="1082" t="s">
        <v>192</v>
      </c>
      <c r="B78" s="1848">
        <v>106104212</v>
      </c>
      <c r="C78" s="1287" t="s">
        <v>1748</v>
      </c>
      <c r="D78" s="1287">
        <v>9032900090</v>
      </c>
      <c r="E78" s="1348" t="s">
        <v>1241</v>
      </c>
      <c r="F78" s="1335" t="s">
        <v>1242</v>
      </c>
      <c r="G78" s="1347"/>
      <c r="H78" s="1347" t="s">
        <v>1104</v>
      </c>
      <c r="I78" s="1347" t="s">
        <v>1104</v>
      </c>
      <c r="J78" s="1347"/>
      <c r="K78" s="1347"/>
      <c r="L78" s="1347"/>
    </row>
    <row r="79" spans="1:22" ht="15.75" customHeight="1" x14ac:dyDescent="0.25">
      <c r="A79" s="1082" t="s">
        <v>278</v>
      </c>
      <c r="B79" s="1848">
        <v>106104214</v>
      </c>
      <c r="C79" s="1287" t="s">
        <v>1552</v>
      </c>
      <c r="D79" s="1287">
        <v>9032900090</v>
      </c>
      <c r="E79" s="1287" t="s">
        <v>1749</v>
      </c>
      <c r="F79" s="1335" t="s">
        <v>1750</v>
      </c>
      <c r="G79" s="1347"/>
      <c r="H79" s="1347" t="s">
        <v>1104</v>
      </c>
      <c r="I79" s="1347"/>
      <c r="J79" s="1347"/>
      <c r="K79" s="1347"/>
      <c r="L79" s="1347"/>
      <c r="R79" s="86"/>
      <c r="S79" s="86"/>
      <c r="T79" s="86"/>
      <c r="U79" s="86"/>
      <c r="V79" s="86"/>
    </row>
    <row r="80" spans="1:22" ht="15.75" customHeight="1" x14ac:dyDescent="0.25">
      <c r="A80" s="1082" t="s">
        <v>194</v>
      </c>
      <c r="B80" s="1848">
        <v>106104408</v>
      </c>
      <c r="C80" s="1287" t="s">
        <v>1777</v>
      </c>
      <c r="D80" s="1287">
        <v>9032900090</v>
      </c>
      <c r="E80" s="1287" t="s">
        <v>1778</v>
      </c>
      <c r="F80" s="1335" t="s">
        <v>1469</v>
      </c>
      <c r="G80" s="1347"/>
      <c r="H80" s="1347" t="s">
        <v>1104</v>
      </c>
      <c r="I80" s="1347" t="s">
        <v>1104</v>
      </c>
      <c r="J80" s="1347"/>
      <c r="K80" s="1347"/>
      <c r="P80" s="2633">
        <v>106202970</v>
      </c>
    </row>
    <row r="81" spans="1:22" ht="15.75" customHeight="1" x14ac:dyDescent="0.25">
      <c r="A81" s="1082"/>
      <c r="B81" s="1848">
        <v>106118986</v>
      </c>
      <c r="C81" s="291" t="s">
        <v>2421</v>
      </c>
      <c r="D81" s="1287">
        <v>9032900090</v>
      </c>
      <c r="E81" s="1358" t="s">
        <v>2526</v>
      </c>
      <c r="F81" s="1356" t="s">
        <v>2517</v>
      </c>
      <c r="G81" s="1383"/>
      <c r="J81" s="2633" t="s">
        <v>1104</v>
      </c>
    </row>
    <row r="82" spans="1:22" ht="15.75" customHeight="1" x14ac:dyDescent="0.25">
      <c r="A82" s="1082" t="s">
        <v>844</v>
      </c>
      <c r="B82" s="1848">
        <v>106202972</v>
      </c>
      <c r="C82" s="1287" t="s">
        <v>1984</v>
      </c>
      <c r="D82" s="1287">
        <v>9032900090</v>
      </c>
      <c r="E82" s="1349" t="s">
        <v>1985</v>
      </c>
      <c r="F82" s="1335" t="s">
        <v>1468</v>
      </c>
      <c r="G82" s="1347"/>
      <c r="H82" s="1347" t="s">
        <v>1104</v>
      </c>
      <c r="I82" s="1347"/>
      <c r="J82" s="1347"/>
      <c r="K82" s="1347"/>
      <c r="L82" s="142"/>
      <c r="O82" s="2633" t="s">
        <v>649</v>
      </c>
      <c r="Q82" s="86"/>
    </row>
    <row r="83" spans="1:22" ht="17.25" customHeight="1" x14ac:dyDescent="0.25">
      <c r="A83" s="1082" t="s">
        <v>138</v>
      </c>
      <c r="B83" s="1848">
        <v>106202973</v>
      </c>
      <c r="C83" s="1287" t="s">
        <v>1986</v>
      </c>
      <c r="D83" s="1287">
        <v>9032900090</v>
      </c>
      <c r="E83" s="1349" t="s">
        <v>1985</v>
      </c>
      <c r="F83" s="1335" t="s">
        <v>1468</v>
      </c>
      <c r="G83" s="1347"/>
      <c r="H83" s="1347"/>
      <c r="I83" s="1347" t="s">
        <v>1104</v>
      </c>
      <c r="J83" s="1347"/>
      <c r="K83" s="1347"/>
      <c r="O83" s="2633" t="s">
        <v>649</v>
      </c>
      <c r="P83" s="2633" t="s">
        <v>1549</v>
      </c>
    </row>
    <row r="84" spans="1:22" ht="15.75" customHeight="1" x14ac:dyDescent="0.25">
      <c r="A84" s="1383" t="s">
        <v>263</v>
      </c>
      <c r="B84" s="1848">
        <v>106119494</v>
      </c>
      <c r="C84" s="1358" t="s">
        <v>2833</v>
      </c>
      <c r="D84" s="1287">
        <v>9032900090</v>
      </c>
      <c r="E84" s="1383" t="s">
        <v>2525</v>
      </c>
      <c r="F84" s="1356" t="s">
        <v>2518</v>
      </c>
      <c r="I84" s="2633" t="s">
        <v>1104</v>
      </c>
      <c r="J84" s="3923"/>
      <c r="K84" s="3923"/>
      <c r="L84" s="142"/>
      <c r="N84" s="2633"/>
      <c r="P84" s="1848">
        <v>106118976</v>
      </c>
    </row>
    <row r="85" spans="1:22" ht="15.75" customHeight="1" x14ac:dyDescent="0.25">
      <c r="A85" s="48" t="s">
        <v>71</v>
      </c>
      <c r="B85" s="1848">
        <v>106122926</v>
      </c>
      <c r="C85" s="1358" t="s">
        <v>3005</v>
      </c>
      <c r="D85" s="1287">
        <v>9032900090</v>
      </c>
      <c r="E85" s="1383" t="s">
        <v>2932</v>
      </c>
      <c r="F85" s="1356" t="s">
        <v>2933</v>
      </c>
      <c r="K85" s="2633" t="s">
        <v>1104</v>
      </c>
      <c r="L85" s="3923"/>
      <c r="M85" s="142"/>
      <c r="N85" s="2633"/>
      <c r="P85" s="1848">
        <v>106206437</v>
      </c>
    </row>
    <row r="86" spans="1:22" ht="15.75" customHeight="1" x14ac:dyDescent="0.25">
      <c r="A86" s="48" t="s">
        <v>2902</v>
      </c>
      <c r="B86" s="1848">
        <v>106104448</v>
      </c>
      <c r="C86" s="1358" t="s">
        <v>3007</v>
      </c>
      <c r="D86" s="1287">
        <v>9032108190</v>
      </c>
      <c r="E86" s="1383" t="s">
        <v>2936</v>
      </c>
      <c r="F86" s="1356" t="s">
        <v>2937</v>
      </c>
      <c r="K86" s="2633" t="s">
        <v>1104</v>
      </c>
      <c r="L86" s="3923"/>
      <c r="M86" s="142"/>
      <c r="N86" s="2633"/>
      <c r="P86" s="1848"/>
    </row>
    <row r="87" spans="1:22" ht="15.75" customHeight="1" x14ac:dyDescent="0.25">
      <c r="A87" s="1082" t="s">
        <v>206</v>
      </c>
      <c r="B87" s="1848">
        <v>106201807</v>
      </c>
      <c r="C87" s="1287" t="s">
        <v>1950</v>
      </c>
      <c r="D87" s="1287" t="s">
        <v>3904</v>
      </c>
      <c r="E87" s="1287" t="s">
        <v>1951</v>
      </c>
      <c r="F87" s="1335" t="s">
        <v>576</v>
      </c>
      <c r="G87" s="1347"/>
      <c r="H87" s="1347"/>
      <c r="I87" s="1347" t="s">
        <v>1104</v>
      </c>
      <c r="J87" s="1347"/>
      <c r="K87" s="1347"/>
    </row>
    <row r="88" spans="1:22" ht="15.75" customHeight="1" x14ac:dyDescent="0.25">
      <c r="A88" s="1082" t="s">
        <v>198</v>
      </c>
      <c r="B88" s="1848">
        <v>106110895</v>
      </c>
      <c r="C88" s="1287" t="s">
        <v>199</v>
      </c>
      <c r="D88" s="1287">
        <v>8544200000</v>
      </c>
      <c r="E88" s="1287" t="s">
        <v>1833</v>
      </c>
      <c r="F88" s="1335" t="s">
        <v>572</v>
      </c>
      <c r="G88" s="1347"/>
      <c r="H88" s="1347"/>
      <c r="I88" s="1347" t="s">
        <v>1104</v>
      </c>
      <c r="J88" s="1347"/>
      <c r="K88" s="1347"/>
      <c r="M88" s="3927"/>
    </row>
    <row r="89" spans="1:22" s="1351" customFormat="1" ht="30" x14ac:dyDescent="0.25">
      <c r="A89" s="1082" t="s">
        <v>200</v>
      </c>
      <c r="B89" s="1848">
        <v>106110896</v>
      </c>
      <c r="C89" s="1287" t="s">
        <v>201</v>
      </c>
      <c r="D89" s="1287">
        <v>8544200000</v>
      </c>
      <c r="E89" s="1287" t="s">
        <v>1834</v>
      </c>
      <c r="F89" s="1335" t="s">
        <v>573</v>
      </c>
      <c r="G89" s="1347"/>
      <c r="H89" s="1347"/>
      <c r="I89" s="1347" t="s">
        <v>1104</v>
      </c>
      <c r="J89" s="1347"/>
      <c r="K89" s="1347"/>
      <c r="L89" s="2633"/>
      <c r="M89" s="3927"/>
      <c r="N89" s="3923"/>
      <c r="O89" s="2633"/>
      <c r="P89" s="2633"/>
      <c r="Q89" s="1383"/>
      <c r="R89" s="86"/>
      <c r="S89" s="86"/>
      <c r="T89" s="86"/>
      <c r="U89" s="86"/>
      <c r="V89" s="86"/>
    </row>
    <row r="90" spans="1:22" ht="15" customHeight="1" x14ac:dyDescent="0.25">
      <c r="A90" s="1082" t="s">
        <v>202</v>
      </c>
      <c r="B90" s="1848">
        <v>106110897</v>
      </c>
      <c r="C90" s="1287" t="s">
        <v>203</v>
      </c>
      <c r="D90" s="1287">
        <v>8544200000</v>
      </c>
      <c r="E90" s="1287" t="s">
        <v>1835</v>
      </c>
      <c r="F90" s="1335" t="s">
        <v>574</v>
      </c>
      <c r="G90" s="1347"/>
      <c r="H90" s="1347"/>
      <c r="I90" s="1347" t="s">
        <v>1104</v>
      </c>
      <c r="J90" s="1347"/>
      <c r="K90" s="1347"/>
      <c r="M90" s="3927"/>
      <c r="R90" s="794"/>
      <c r="S90" s="794"/>
      <c r="T90" s="794"/>
      <c r="U90" s="794"/>
      <c r="V90" s="794"/>
    </row>
    <row r="91" spans="1:22" s="86" customFormat="1" ht="30" x14ac:dyDescent="0.25">
      <c r="A91" s="1082" t="s">
        <v>204</v>
      </c>
      <c r="B91" s="1848">
        <v>106110898</v>
      </c>
      <c r="C91" s="1287" t="s">
        <v>205</v>
      </c>
      <c r="D91" s="1287">
        <v>8544200000</v>
      </c>
      <c r="E91" s="1287" t="s">
        <v>1836</v>
      </c>
      <c r="F91" s="1335" t="s">
        <v>575</v>
      </c>
      <c r="G91" s="1347"/>
      <c r="H91" s="1347"/>
      <c r="I91" s="1347" t="s">
        <v>1104</v>
      </c>
      <c r="J91" s="1347"/>
      <c r="K91" s="1347"/>
      <c r="L91" s="142"/>
      <c r="M91" s="3927"/>
      <c r="N91" s="3923"/>
      <c r="O91" s="2633"/>
      <c r="P91" s="2633"/>
      <c r="Q91" s="1383"/>
      <c r="R91" s="1383"/>
      <c r="S91" s="1383"/>
      <c r="T91" s="1383"/>
      <c r="U91" s="1383"/>
      <c r="V91" s="1383"/>
    </row>
    <row r="92" spans="1:22" s="794" customFormat="1" ht="15.75" customHeight="1" x14ac:dyDescent="0.25">
      <c r="A92" s="1082" t="s">
        <v>1598</v>
      </c>
      <c r="B92" s="1848">
        <v>106205206</v>
      </c>
      <c r="C92" s="291" t="s">
        <v>2430</v>
      </c>
      <c r="D92" s="1287">
        <v>8544200000</v>
      </c>
      <c r="E92" s="1358" t="s">
        <v>1599</v>
      </c>
      <c r="F92" s="1356" t="s">
        <v>1600</v>
      </c>
      <c r="G92" s="1383"/>
      <c r="H92" s="2633"/>
      <c r="I92" s="2633"/>
      <c r="J92" s="2633" t="s">
        <v>1104</v>
      </c>
      <c r="K92" s="2633"/>
      <c r="L92" s="2633"/>
      <c r="M92" s="2633"/>
      <c r="N92" s="3923"/>
      <c r="O92" s="2633"/>
      <c r="P92" s="2633"/>
      <c r="Q92" s="1383"/>
      <c r="R92" s="1383"/>
      <c r="S92" s="1383"/>
      <c r="T92" s="1383"/>
      <c r="U92" s="1383"/>
      <c r="V92" s="1383"/>
    </row>
    <row r="93" spans="1:22" ht="15" customHeight="1" x14ac:dyDescent="0.25">
      <c r="A93" s="1082" t="s">
        <v>440</v>
      </c>
      <c r="B93" s="1848">
        <v>106111457</v>
      </c>
      <c r="C93" s="1287" t="s">
        <v>1843</v>
      </c>
      <c r="D93" s="1287">
        <v>8543709099</v>
      </c>
      <c r="E93" s="1358" t="s">
        <v>3136</v>
      </c>
      <c r="F93" s="1356" t="s">
        <v>3137</v>
      </c>
      <c r="G93" s="1383"/>
      <c r="I93" s="2633" t="s">
        <v>1104</v>
      </c>
      <c r="R93" s="3926"/>
      <c r="S93" s="3926"/>
      <c r="T93" s="3926"/>
      <c r="U93" s="3926"/>
      <c r="V93" s="3926"/>
    </row>
    <row r="94" spans="1:22" ht="30" x14ac:dyDescent="0.25">
      <c r="A94" s="1082" t="s">
        <v>518</v>
      </c>
      <c r="B94" s="1848">
        <v>106200854</v>
      </c>
      <c r="C94" s="1287" t="s">
        <v>519</v>
      </c>
      <c r="D94" s="1287">
        <v>8543709099</v>
      </c>
      <c r="E94" s="1358" t="s">
        <v>1925</v>
      </c>
      <c r="F94" s="1356" t="s">
        <v>1926</v>
      </c>
      <c r="G94" s="1383"/>
      <c r="H94" s="2633" t="s">
        <v>1104</v>
      </c>
    </row>
    <row r="95" spans="1:22" s="86" customFormat="1" ht="30" x14ac:dyDescent="0.25">
      <c r="A95" s="1082" t="s">
        <v>438</v>
      </c>
      <c r="B95" s="1848">
        <v>106200855</v>
      </c>
      <c r="C95" s="1287" t="s">
        <v>521</v>
      </c>
      <c r="D95" s="1287">
        <v>8543709099</v>
      </c>
      <c r="E95" s="1358" t="s">
        <v>521</v>
      </c>
      <c r="F95" s="1356" t="s">
        <v>1927</v>
      </c>
      <c r="G95" s="1383"/>
      <c r="H95" s="2633" t="s">
        <v>1104</v>
      </c>
      <c r="I95" s="2633"/>
      <c r="J95" s="2633"/>
      <c r="K95" s="2633"/>
      <c r="L95" s="2633"/>
      <c r="M95" s="142"/>
      <c r="N95" s="3923"/>
      <c r="O95" s="2633"/>
      <c r="P95" s="2633"/>
      <c r="Q95" s="1383"/>
      <c r="R95" s="1383"/>
      <c r="S95" s="1383"/>
      <c r="T95" s="1383"/>
      <c r="U95" s="1383"/>
      <c r="V95" s="1383"/>
    </row>
    <row r="96" spans="1:22" s="3926" customFormat="1" ht="15.75" customHeight="1" x14ac:dyDescent="0.25">
      <c r="A96" s="1082" t="s">
        <v>31</v>
      </c>
      <c r="B96" s="1848">
        <v>106200856</v>
      </c>
      <c r="C96" s="1287" t="s">
        <v>515</v>
      </c>
      <c r="D96" s="1287">
        <v>8543709099</v>
      </c>
      <c r="E96" s="1358" t="s">
        <v>1928</v>
      </c>
      <c r="F96" s="1356" t="s">
        <v>1929</v>
      </c>
      <c r="G96" s="1383"/>
      <c r="H96" s="2633" t="s">
        <v>1104</v>
      </c>
      <c r="I96" s="2633"/>
      <c r="J96" s="2633"/>
      <c r="K96" s="2633"/>
      <c r="L96" s="2633"/>
      <c r="M96" s="2633"/>
      <c r="N96" s="3923"/>
      <c r="O96" s="2633"/>
      <c r="P96" s="2633"/>
      <c r="Q96" s="1383"/>
      <c r="R96" s="1383"/>
      <c r="S96" s="1383"/>
      <c r="T96" s="1383"/>
      <c r="U96" s="1383"/>
      <c r="V96" s="1383"/>
    </row>
    <row r="97" spans="1:22" s="3926" customFormat="1" ht="15.75" customHeight="1" x14ac:dyDescent="0.25">
      <c r="A97" s="1082" t="s">
        <v>270</v>
      </c>
      <c r="B97" s="1848">
        <v>106200858</v>
      </c>
      <c r="C97" s="1287" t="s">
        <v>1930</v>
      </c>
      <c r="D97" s="1287">
        <v>8543709099</v>
      </c>
      <c r="E97" s="1355" t="s">
        <v>1931</v>
      </c>
      <c r="F97" s="1356" t="s">
        <v>1932</v>
      </c>
      <c r="G97" s="1383"/>
      <c r="H97" s="2633" t="s">
        <v>1104</v>
      </c>
      <c r="I97" s="2633"/>
      <c r="J97" s="2633"/>
      <c r="K97" s="2633"/>
      <c r="L97" s="2633"/>
      <c r="M97" s="2633"/>
      <c r="N97" s="3923"/>
      <c r="O97" s="2633"/>
      <c r="P97" s="2633"/>
      <c r="Q97" s="1383"/>
      <c r="R97" s="411"/>
      <c r="S97" s="411"/>
      <c r="T97" s="411"/>
      <c r="U97" s="411"/>
      <c r="V97" s="411"/>
    </row>
    <row r="98" spans="1:22" s="3926" customFormat="1" ht="15.75" customHeight="1" x14ac:dyDescent="0.25">
      <c r="A98" s="1082" t="s">
        <v>47</v>
      </c>
      <c r="B98" s="1848">
        <v>106200859</v>
      </c>
      <c r="C98" s="1287" t="s">
        <v>511</v>
      </c>
      <c r="D98" s="1287">
        <v>8543709099</v>
      </c>
      <c r="E98" s="1358" t="s">
        <v>1933</v>
      </c>
      <c r="F98" s="1356" t="s">
        <v>1934</v>
      </c>
      <c r="G98" s="1347" t="s">
        <v>1104</v>
      </c>
      <c r="H98" s="2633"/>
      <c r="I98" s="2633"/>
      <c r="J98" s="2633"/>
      <c r="K98" s="2633"/>
      <c r="L98" s="2633"/>
      <c r="M98" s="142"/>
      <c r="N98" s="3923"/>
      <c r="O98" s="2633"/>
      <c r="P98" s="2633"/>
      <c r="Q98" s="1383"/>
      <c r="R98" s="86"/>
      <c r="S98" s="86"/>
      <c r="T98" s="86"/>
      <c r="U98" s="86"/>
      <c r="V98" s="86"/>
    </row>
    <row r="99" spans="1:22" s="3926" customFormat="1" ht="15.75" customHeight="1" x14ac:dyDescent="0.25">
      <c r="A99" s="1082" t="s">
        <v>1669</v>
      </c>
      <c r="B99" s="1848">
        <v>106200862</v>
      </c>
      <c r="C99" s="1287" t="s">
        <v>2015</v>
      </c>
      <c r="D99" s="1287">
        <v>8543709099</v>
      </c>
      <c r="E99" s="1358" t="s">
        <v>2016</v>
      </c>
      <c r="F99" s="1356" t="s">
        <v>3265</v>
      </c>
      <c r="G99" s="1383"/>
      <c r="H99" s="2633" t="s">
        <v>1104</v>
      </c>
      <c r="I99" s="2633"/>
      <c r="J99" s="2633"/>
      <c r="K99" s="2633"/>
      <c r="L99" s="2633"/>
      <c r="M99" s="2633"/>
      <c r="N99" s="3923"/>
      <c r="O99" s="2633"/>
      <c r="P99" s="2633"/>
      <c r="Q99" s="1383"/>
      <c r="R99" s="1383"/>
      <c r="S99" s="1383"/>
      <c r="T99" s="1383"/>
      <c r="U99" s="1383"/>
      <c r="V99" s="1383"/>
    </row>
    <row r="100" spans="1:22" s="3926" customFormat="1" ht="15.75" customHeight="1" x14ac:dyDescent="0.25">
      <c r="A100" s="1082" t="s">
        <v>7</v>
      </c>
      <c r="B100" s="1848">
        <v>106200865</v>
      </c>
      <c r="C100" s="1287" t="s">
        <v>505</v>
      </c>
      <c r="D100" s="1287">
        <v>8543709099</v>
      </c>
      <c r="E100" s="1358" t="s">
        <v>1935</v>
      </c>
      <c r="F100" s="1356" t="s">
        <v>1936</v>
      </c>
      <c r="G100" s="1347" t="s">
        <v>1104</v>
      </c>
      <c r="H100" s="2633"/>
      <c r="I100" s="2633"/>
      <c r="J100" s="2633"/>
      <c r="K100" s="2633"/>
      <c r="L100" s="2633"/>
      <c r="M100" s="2633"/>
      <c r="N100" s="3923"/>
      <c r="O100" s="2633"/>
      <c r="P100" s="2633"/>
      <c r="Q100" s="1383"/>
      <c r="R100" s="1383"/>
      <c r="S100" s="1383"/>
      <c r="T100" s="1383"/>
      <c r="U100" s="1383"/>
      <c r="V100" s="1383"/>
    </row>
    <row r="101" spans="1:22" s="3926" customFormat="1" ht="15.75" customHeight="1" x14ac:dyDescent="0.25">
      <c r="A101" s="1082" t="s">
        <v>4</v>
      </c>
      <c r="B101" s="1848">
        <v>106200866</v>
      </c>
      <c r="C101" s="1287" t="s">
        <v>504</v>
      </c>
      <c r="D101" s="1287">
        <v>8543709099</v>
      </c>
      <c r="E101" s="1358" t="s">
        <v>1937</v>
      </c>
      <c r="F101" s="1356" t="s">
        <v>1938</v>
      </c>
      <c r="G101" s="1347" t="s">
        <v>1104</v>
      </c>
      <c r="H101" s="2633"/>
      <c r="I101" s="2633"/>
      <c r="J101" s="2633"/>
      <c r="K101" s="2633"/>
      <c r="L101" s="2633"/>
      <c r="M101" s="2633"/>
      <c r="N101" s="3923"/>
      <c r="O101" s="2633"/>
      <c r="P101" s="2633"/>
      <c r="Q101" s="1383"/>
      <c r="R101" s="1383"/>
      <c r="S101" s="1383"/>
      <c r="T101" s="1383"/>
      <c r="U101" s="1383"/>
      <c r="V101" s="1383"/>
    </row>
    <row r="102" spans="1:22" s="3926" customFormat="1" ht="15.75" customHeight="1" x14ac:dyDescent="0.25">
      <c r="A102" s="1082" t="s">
        <v>10</v>
      </c>
      <c r="B102" s="1848">
        <v>106200867</v>
      </c>
      <c r="C102" s="1287" t="s">
        <v>506</v>
      </c>
      <c r="D102" s="1287">
        <v>8543709099</v>
      </c>
      <c r="E102" s="1358" t="s">
        <v>1939</v>
      </c>
      <c r="F102" s="1356" t="s">
        <v>1940</v>
      </c>
      <c r="G102" s="1347" t="s">
        <v>1104</v>
      </c>
      <c r="H102" s="2633"/>
      <c r="I102" s="2633"/>
      <c r="J102" s="2633"/>
      <c r="K102" s="2633"/>
      <c r="L102" s="2633"/>
      <c r="M102" s="2633"/>
      <c r="N102" s="3923"/>
      <c r="O102" s="2633"/>
      <c r="P102" s="2633"/>
      <c r="Q102" s="1383"/>
      <c r="R102" s="1383"/>
      <c r="S102" s="1383"/>
      <c r="T102" s="1383"/>
      <c r="U102" s="1383"/>
      <c r="V102" s="1383"/>
    </row>
    <row r="103" spans="1:22" s="3926" customFormat="1" ht="15.75" customHeight="1" x14ac:dyDescent="0.25">
      <c r="A103" s="1082" t="s">
        <v>111</v>
      </c>
      <c r="B103" s="1848">
        <v>106200873</v>
      </c>
      <c r="C103" s="1287" t="s">
        <v>1941</v>
      </c>
      <c r="D103" s="1287">
        <v>8543709099</v>
      </c>
      <c r="E103" s="1357" t="s">
        <v>2767</v>
      </c>
      <c r="F103" s="1356" t="s">
        <v>1942</v>
      </c>
      <c r="G103" s="1383"/>
      <c r="H103" s="2633" t="s">
        <v>1104</v>
      </c>
      <c r="I103" s="2633" t="s">
        <v>1104</v>
      </c>
      <c r="J103" s="2633"/>
      <c r="K103" s="2633"/>
      <c r="L103" s="2633"/>
      <c r="M103" s="2633"/>
      <c r="N103" s="3923"/>
      <c r="O103" s="2633"/>
      <c r="P103" s="2633"/>
      <c r="Q103" s="1383"/>
      <c r="R103" s="1383"/>
      <c r="S103" s="1383"/>
      <c r="T103" s="1383"/>
      <c r="U103" s="1383"/>
      <c r="V103" s="1383"/>
    </row>
    <row r="104" spans="1:22" s="3926" customFormat="1" ht="15.75" customHeight="1" x14ac:dyDescent="0.25">
      <c r="A104" s="1082" t="s">
        <v>187</v>
      </c>
      <c r="B104" s="1848">
        <v>106201457</v>
      </c>
      <c r="C104" s="1287" t="s">
        <v>1945</v>
      </c>
      <c r="D104" s="1287">
        <v>8543709099</v>
      </c>
      <c r="E104" s="1358" t="s">
        <v>2775</v>
      </c>
      <c r="F104" s="1356" t="s">
        <v>2785</v>
      </c>
      <c r="G104" s="1383"/>
      <c r="H104" s="2633" t="s">
        <v>1104</v>
      </c>
      <c r="I104" s="2633" t="s">
        <v>1104</v>
      </c>
      <c r="J104" s="2633"/>
      <c r="K104" s="2633"/>
      <c r="L104" s="2633"/>
      <c r="M104" s="2633"/>
      <c r="N104" s="3923"/>
      <c r="O104" s="2633"/>
      <c r="P104" s="2633"/>
      <c r="Q104" s="1383"/>
      <c r="R104" s="1383"/>
      <c r="S104" s="1383"/>
      <c r="T104" s="1383"/>
      <c r="U104" s="1383"/>
      <c r="V104" s="1383"/>
    </row>
    <row r="105" spans="1:22" s="371" customFormat="1" ht="15.75" customHeight="1" x14ac:dyDescent="0.25">
      <c r="A105" s="1082" t="s">
        <v>266</v>
      </c>
      <c r="B105" s="1848">
        <v>106201685</v>
      </c>
      <c r="C105" s="1287" t="s">
        <v>512</v>
      </c>
      <c r="D105" s="1287">
        <v>8543709099</v>
      </c>
      <c r="E105" s="1358" t="s">
        <v>1946</v>
      </c>
      <c r="F105" s="1356" t="s">
        <v>1947</v>
      </c>
      <c r="G105" s="1347" t="s">
        <v>1104</v>
      </c>
      <c r="H105" s="2633"/>
      <c r="I105" s="2633"/>
      <c r="J105" s="2633"/>
      <c r="K105" s="2633"/>
      <c r="L105" s="2633"/>
      <c r="M105" s="2633"/>
      <c r="N105" s="3923"/>
      <c r="O105" s="2633"/>
      <c r="P105" s="2633"/>
      <c r="Q105" s="1383"/>
      <c r="R105" s="1383"/>
      <c r="S105" s="1383"/>
      <c r="T105" s="1383"/>
      <c r="U105" s="1383"/>
      <c r="V105" s="1383"/>
    </row>
    <row r="106" spans="1:22" s="371" customFormat="1" ht="15.75" customHeight="1" x14ac:dyDescent="0.25">
      <c r="A106" s="1082" t="s">
        <v>30</v>
      </c>
      <c r="B106" s="1848">
        <v>106202562</v>
      </c>
      <c r="C106" s="1287" t="s">
        <v>507</v>
      </c>
      <c r="D106" s="1287">
        <v>8543709099</v>
      </c>
      <c r="E106" s="1358" t="s">
        <v>1955</v>
      </c>
      <c r="F106" s="1356" t="s">
        <v>1956</v>
      </c>
      <c r="G106" s="1347" t="s">
        <v>1104</v>
      </c>
      <c r="H106" s="2633"/>
      <c r="I106" s="2633"/>
      <c r="J106" s="2633"/>
      <c r="K106" s="2633"/>
      <c r="L106" s="2633"/>
      <c r="M106" s="2633"/>
      <c r="N106" s="3923"/>
      <c r="O106" s="2633"/>
      <c r="P106" s="2633"/>
      <c r="Q106" s="1383"/>
      <c r="R106" s="1383"/>
      <c r="S106" s="1383"/>
      <c r="T106" s="1383"/>
      <c r="U106" s="1383"/>
      <c r="V106" s="1383"/>
    </row>
    <row r="107" spans="1:22" s="371" customFormat="1" ht="15.75" customHeight="1" x14ac:dyDescent="0.25">
      <c r="A107" s="1082" t="s">
        <v>240</v>
      </c>
      <c r="B107" s="1848">
        <v>106202625</v>
      </c>
      <c r="C107" s="1287" t="s">
        <v>676</v>
      </c>
      <c r="D107" s="1287">
        <v>8543709099</v>
      </c>
      <c r="E107" s="1358" t="s">
        <v>2776</v>
      </c>
      <c r="F107" s="1356" t="s">
        <v>2777</v>
      </c>
      <c r="G107" s="1383"/>
      <c r="H107" s="2633" t="s">
        <v>1104</v>
      </c>
      <c r="I107" s="2633" t="s">
        <v>1104</v>
      </c>
      <c r="J107" s="2633"/>
      <c r="K107" s="2633"/>
      <c r="L107" s="2633"/>
      <c r="M107" s="2633"/>
      <c r="N107" s="3923"/>
      <c r="O107" s="2633"/>
      <c r="P107" s="2633"/>
      <c r="Q107" s="1383"/>
      <c r="R107" s="1383"/>
      <c r="S107" s="1383"/>
      <c r="T107" s="1383"/>
      <c r="U107" s="1383"/>
      <c r="V107" s="1383"/>
    </row>
    <row r="108" spans="1:22" s="371" customFormat="1" ht="15.75" customHeight="1" x14ac:dyDescent="0.25">
      <c r="A108" s="1082" t="s">
        <v>239</v>
      </c>
      <c r="B108" s="1848">
        <v>106202628</v>
      </c>
      <c r="C108" s="1287" t="s">
        <v>1957</v>
      </c>
      <c r="D108" s="1287">
        <v>8543709099</v>
      </c>
      <c r="E108" s="1358" t="s">
        <v>3139</v>
      </c>
      <c r="F108" s="1356" t="s">
        <v>3140</v>
      </c>
      <c r="G108" s="1383"/>
      <c r="H108" s="2633"/>
      <c r="I108" s="2633" t="s">
        <v>1104</v>
      </c>
      <c r="J108" s="2633"/>
      <c r="K108" s="2633"/>
      <c r="L108" s="2633"/>
      <c r="M108" s="2633"/>
      <c r="N108" s="3923"/>
      <c r="O108" s="2633"/>
      <c r="P108" s="2633"/>
      <c r="Q108" s="1383"/>
      <c r="R108" s="1383"/>
      <c r="S108" s="1383"/>
      <c r="T108" s="1383"/>
      <c r="U108" s="1383"/>
      <c r="V108" s="1383"/>
    </row>
    <row r="109" spans="1:22" s="371" customFormat="1" ht="15.75" customHeight="1" x14ac:dyDescent="0.25">
      <c r="A109" s="1082" t="s">
        <v>258</v>
      </c>
      <c r="B109" s="1848">
        <v>106202650</v>
      </c>
      <c r="C109" s="1287" t="s">
        <v>508</v>
      </c>
      <c r="D109" s="1287">
        <v>8543709099</v>
      </c>
      <c r="E109" s="1358" t="s">
        <v>1958</v>
      </c>
      <c r="F109" s="1356" t="s">
        <v>1959</v>
      </c>
      <c r="G109" s="1347" t="s">
        <v>1104</v>
      </c>
      <c r="H109" s="2633"/>
      <c r="I109" s="2633"/>
      <c r="J109" s="2633"/>
      <c r="K109" s="2633"/>
      <c r="L109" s="2633"/>
      <c r="M109" s="2633"/>
      <c r="N109" s="3923"/>
      <c r="O109" s="2633"/>
      <c r="P109" s="2633"/>
      <c r="Q109" s="1383"/>
      <c r="R109" s="1383"/>
      <c r="S109" s="1383"/>
      <c r="T109" s="1383"/>
      <c r="U109" s="1383"/>
      <c r="V109" s="1383"/>
    </row>
    <row r="110" spans="1:22" s="3926" customFormat="1" ht="15.75" customHeight="1" x14ac:dyDescent="0.25">
      <c r="A110" s="1082" t="s">
        <v>249</v>
      </c>
      <c r="B110" s="1848">
        <v>106202651</v>
      </c>
      <c r="C110" s="1287" t="s">
        <v>513</v>
      </c>
      <c r="D110" s="1287">
        <v>8543709099</v>
      </c>
      <c r="E110" s="1358" t="s">
        <v>1960</v>
      </c>
      <c r="F110" s="1356" t="s">
        <v>1961</v>
      </c>
      <c r="G110" s="1347" t="s">
        <v>1104</v>
      </c>
      <c r="H110" s="2633"/>
      <c r="I110" s="2633"/>
      <c r="J110" s="2633"/>
      <c r="K110" s="2633"/>
      <c r="L110" s="2633"/>
      <c r="M110" s="2633"/>
      <c r="N110" s="3923"/>
      <c r="O110" s="2633"/>
      <c r="P110" s="2633"/>
      <c r="Q110" s="1383"/>
      <c r="R110" s="1383"/>
      <c r="S110" s="1383"/>
      <c r="T110" s="1383"/>
      <c r="U110" s="1383"/>
      <c r="V110" s="1383"/>
    </row>
    <row r="111" spans="1:22" s="3926" customFormat="1" ht="15.75" customHeight="1" x14ac:dyDescent="0.25">
      <c r="A111" s="1082" t="s">
        <v>46</v>
      </c>
      <c r="B111" s="1848">
        <v>106203418</v>
      </c>
      <c r="C111" s="1287" t="s">
        <v>514</v>
      </c>
      <c r="D111" s="1287">
        <v>8543709099</v>
      </c>
      <c r="E111" s="1358" t="s">
        <v>1988</v>
      </c>
      <c r="F111" s="1356" t="s">
        <v>1989</v>
      </c>
      <c r="G111" s="1383"/>
      <c r="H111" s="2633" t="s">
        <v>1104</v>
      </c>
      <c r="I111" s="2633"/>
      <c r="J111" s="2633"/>
      <c r="K111" s="2633"/>
      <c r="L111" s="2633"/>
      <c r="M111" s="2633"/>
      <c r="N111" s="3923"/>
      <c r="O111" s="2633"/>
      <c r="P111" s="2633"/>
      <c r="Q111" s="1383"/>
      <c r="R111" s="1383"/>
      <c r="S111" s="1383"/>
      <c r="T111" s="1383"/>
      <c r="U111" s="1383"/>
      <c r="V111" s="1383"/>
    </row>
    <row r="112" spans="1:22" s="3926" customFormat="1" ht="15.75" customHeight="1" x14ac:dyDescent="0.25">
      <c r="A112" s="1082" t="s">
        <v>437</v>
      </c>
      <c r="B112" s="1848">
        <v>106203421</v>
      </c>
      <c r="C112" s="1287" t="s">
        <v>520</v>
      </c>
      <c r="D112" s="1287">
        <v>8543709099</v>
      </c>
      <c r="E112" s="1358" t="s">
        <v>1990</v>
      </c>
      <c r="F112" s="1356" t="s">
        <v>1991</v>
      </c>
      <c r="G112" s="1383"/>
      <c r="H112" s="2633" t="s">
        <v>1104</v>
      </c>
      <c r="I112" s="2633"/>
      <c r="J112" s="2633"/>
      <c r="K112" s="2633"/>
      <c r="L112" s="2633"/>
      <c r="M112" s="2633"/>
      <c r="N112" s="3923"/>
      <c r="O112" s="2633"/>
      <c r="P112" s="2633"/>
      <c r="Q112" s="1383"/>
      <c r="R112" s="1383"/>
      <c r="S112" s="1383"/>
      <c r="T112" s="1383"/>
      <c r="U112" s="1383"/>
      <c r="V112" s="1383"/>
    </row>
    <row r="113" spans="1:22" s="3926" customFormat="1" ht="15.75" customHeight="1" x14ac:dyDescent="0.25">
      <c r="A113" s="1082" t="s">
        <v>516</v>
      </c>
      <c r="B113" s="1848">
        <v>106203422</v>
      </c>
      <c r="C113" s="1287" t="s">
        <v>517</v>
      </c>
      <c r="D113" s="1287">
        <v>8543709099</v>
      </c>
      <c r="E113" s="1358" t="s">
        <v>1992</v>
      </c>
      <c r="F113" s="1356" t="s">
        <v>1993</v>
      </c>
      <c r="G113" s="1383"/>
      <c r="H113" s="2633" t="s">
        <v>1104</v>
      </c>
      <c r="I113" s="2633"/>
      <c r="J113" s="2633"/>
      <c r="K113" s="2633"/>
      <c r="L113" s="2633"/>
      <c r="M113" s="2633"/>
      <c r="N113" s="3923"/>
      <c r="O113" s="2633"/>
      <c r="P113" s="2633"/>
      <c r="Q113" s="1383"/>
      <c r="R113" s="1383"/>
      <c r="S113" s="1383"/>
      <c r="T113" s="1383"/>
      <c r="U113" s="1383"/>
      <c r="V113" s="1383"/>
    </row>
    <row r="114" spans="1:22" ht="30" x14ac:dyDescent="0.25">
      <c r="A114" s="1285" t="s">
        <v>509</v>
      </c>
      <c r="B114" s="1848">
        <v>106203424</v>
      </c>
      <c r="C114" s="1287" t="s">
        <v>510</v>
      </c>
      <c r="D114" s="1287">
        <v>8543709099</v>
      </c>
      <c r="E114" s="1358" t="s">
        <v>1994</v>
      </c>
      <c r="F114" s="1356" t="s">
        <v>1995</v>
      </c>
      <c r="G114" s="1347" t="s">
        <v>1104</v>
      </c>
    </row>
    <row r="115" spans="1:22" ht="30" x14ac:dyDescent="0.25">
      <c r="A115" s="1082" t="s">
        <v>1122</v>
      </c>
      <c r="B115" s="1848">
        <v>106204514</v>
      </c>
      <c r="C115" s="1287" t="s">
        <v>2000</v>
      </c>
      <c r="D115" s="1287">
        <v>8543709099</v>
      </c>
      <c r="E115" s="1358" t="s">
        <v>2778</v>
      </c>
      <c r="F115" s="1356" t="s">
        <v>2786</v>
      </c>
      <c r="G115" s="1383"/>
      <c r="H115" s="2633" t="s">
        <v>1104</v>
      </c>
      <c r="I115" s="2633" t="s">
        <v>1104</v>
      </c>
    </row>
    <row r="116" spans="1:22" ht="30" x14ac:dyDescent="0.25">
      <c r="A116" s="1082" t="s">
        <v>1123</v>
      </c>
      <c r="B116" s="1848">
        <v>106204515</v>
      </c>
      <c r="C116" s="1287" t="s">
        <v>2001</v>
      </c>
      <c r="D116" s="1287">
        <v>8543709099</v>
      </c>
      <c r="E116" s="1358" t="s">
        <v>3145</v>
      </c>
      <c r="F116" s="1356" t="s">
        <v>3146</v>
      </c>
      <c r="G116" s="1383"/>
      <c r="I116" s="2633" t="s">
        <v>1104</v>
      </c>
    </row>
    <row r="117" spans="1:22" ht="30" x14ac:dyDescent="0.25">
      <c r="A117" s="1082" t="s">
        <v>1124</v>
      </c>
      <c r="B117" s="1848">
        <v>106204516</v>
      </c>
      <c r="C117" s="1287" t="s">
        <v>2002</v>
      </c>
      <c r="D117" s="1287">
        <v>8543709099</v>
      </c>
      <c r="E117" s="1358" t="s">
        <v>2779</v>
      </c>
      <c r="F117" s="1356" t="s">
        <v>2782</v>
      </c>
      <c r="G117" s="1383"/>
      <c r="H117" s="2633" t="s">
        <v>1104</v>
      </c>
      <c r="I117" s="2633" t="s">
        <v>1104</v>
      </c>
    </row>
    <row r="118" spans="1:22" ht="30" x14ac:dyDescent="0.25">
      <c r="A118" s="1082" t="s">
        <v>1125</v>
      </c>
      <c r="B118" s="1848">
        <v>106204517</v>
      </c>
      <c r="C118" s="1287" t="s">
        <v>2003</v>
      </c>
      <c r="D118" s="1287">
        <v>8543709099</v>
      </c>
      <c r="E118" s="1358" t="s">
        <v>3148</v>
      </c>
      <c r="F118" s="1356" t="s">
        <v>3149</v>
      </c>
      <c r="G118" s="1383"/>
      <c r="I118" s="2633" t="s">
        <v>1104</v>
      </c>
    </row>
    <row r="119" spans="1:22" ht="30" x14ac:dyDescent="0.25">
      <c r="A119" s="1082" t="s">
        <v>1126</v>
      </c>
      <c r="B119" s="1848">
        <v>106204518</v>
      </c>
      <c r="C119" s="1287" t="s">
        <v>2004</v>
      </c>
      <c r="D119" s="1287">
        <v>8543709099</v>
      </c>
      <c r="E119" s="1358" t="s">
        <v>2780</v>
      </c>
      <c r="F119" s="1356" t="s">
        <v>2783</v>
      </c>
      <c r="G119" s="1383"/>
      <c r="H119" s="2633" t="s">
        <v>1104</v>
      </c>
      <c r="I119" s="2633" t="s">
        <v>1104</v>
      </c>
    </row>
    <row r="120" spans="1:22" s="1351" customFormat="1" ht="15.75" customHeight="1" x14ac:dyDescent="0.25">
      <c r="A120" s="1082" t="s">
        <v>1127</v>
      </c>
      <c r="B120" s="1848">
        <v>106204519</v>
      </c>
      <c r="C120" s="1287" t="s">
        <v>2005</v>
      </c>
      <c r="D120" s="1287">
        <v>8543709099</v>
      </c>
      <c r="E120" s="1358" t="s">
        <v>3151</v>
      </c>
      <c r="F120" s="1356" t="s">
        <v>3152</v>
      </c>
      <c r="G120" s="1383"/>
      <c r="H120" s="2633"/>
      <c r="I120" s="2633" t="s">
        <v>1104</v>
      </c>
      <c r="J120" s="2633"/>
      <c r="K120" s="2633"/>
      <c r="L120" s="2633"/>
      <c r="M120" s="2633"/>
      <c r="N120" s="3923"/>
      <c r="O120" s="2633"/>
      <c r="P120" s="2633"/>
      <c r="Q120" s="1383"/>
      <c r="R120" s="1383"/>
      <c r="S120" s="1383"/>
      <c r="T120" s="1383"/>
      <c r="U120" s="1383"/>
      <c r="V120" s="1383"/>
    </row>
    <row r="121" spans="1:22" s="1115" customFormat="1" ht="15.75" customHeight="1" x14ac:dyDescent="0.25">
      <c r="A121" s="1082" t="s">
        <v>1201</v>
      </c>
      <c r="B121" s="1848">
        <v>106204701</v>
      </c>
      <c r="C121" s="1287" t="s">
        <v>2006</v>
      </c>
      <c r="D121" s="1287">
        <v>8543709099</v>
      </c>
      <c r="E121" s="1355" t="s">
        <v>3748</v>
      </c>
      <c r="F121" s="1356" t="s">
        <v>3749</v>
      </c>
      <c r="G121" s="1383"/>
      <c r="H121" s="2633" t="s">
        <v>1104</v>
      </c>
      <c r="I121" s="2633"/>
      <c r="J121" s="2633"/>
      <c r="K121" s="2633"/>
      <c r="L121" s="2633"/>
      <c r="M121" s="2633"/>
      <c r="N121" s="3923"/>
      <c r="O121" s="2633"/>
      <c r="P121" s="2633"/>
      <c r="Q121" s="1383"/>
      <c r="R121" s="1383"/>
      <c r="S121" s="1383"/>
      <c r="T121" s="1383"/>
      <c r="U121" s="1383"/>
      <c r="V121" s="1383"/>
    </row>
    <row r="122" spans="1:22" s="1351" customFormat="1" ht="15.75" customHeight="1" x14ac:dyDescent="0.25">
      <c r="A122" s="1082" t="s">
        <v>2401</v>
      </c>
      <c r="B122" s="1848">
        <v>106204718</v>
      </c>
      <c r="C122" s="1287" t="s">
        <v>2435</v>
      </c>
      <c r="D122" s="1287">
        <v>8543709099</v>
      </c>
      <c r="E122" s="1358" t="s">
        <v>2389</v>
      </c>
      <c r="F122" s="1356" t="s">
        <v>2390</v>
      </c>
      <c r="G122" s="1383"/>
      <c r="H122" s="2633"/>
      <c r="I122" s="2633"/>
      <c r="J122" s="2633" t="s">
        <v>1104</v>
      </c>
      <c r="K122" s="2633"/>
      <c r="L122" s="2633"/>
      <c r="M122" s="2633"/>
      <c r="N122" s="3923"/>
      <c r="O122" s="2633"/>
      <c r="P122" s="2633"/>
      <c r="Q122" s="1383"/>
      <c r="R122" s="1383"/>
      <c r="S122" s="1383"/>
      <c r="T122" s="1383"/>
      <c r="U122" s="1383"/>
      <c r="V122" s="1383"/>
    </row>
    <row r="123" spans="1:22" ht="15.75" customHeight="1" x14ac:dyDescent="0.25">
      <c r="A123" s="1082" t="s">
        <v>1610</v>
      </c>
      <c r="B123" s="1848">
        <v>106204720</v>
      </c>
      <c r="C123" s="1287" t="s">
        <v>2436</v>
      </c>
      <c r="D123" s="1287">
        <v>8543709099</v>
      </c>
      <c r="E123" s="1358" t="s">
        <v>2331</v>
      </c>
      <c r="F123" s="1356" t="s">
        <v>2332</v>
      </c>
      <c r="G123" s="1383"/>
      <c r="J123" s="2633" t="s">
        <v>1104</v>
      </c>
    </row>
    <row r="124" spans="1:22" ht="15.75" customHeight="1" x14ac:dyDescent="0.25">
      <c r="A124" s="1082" t="s">
        <v>1611</v>
      </c>
      <c r="B124" s="1848">
        <v>106204721</v>
      </c>
      <c r="C124" s="1287" t="s">
        <v>2437</v>
      </c>
      <c r="D124" s="1287">
        <v>8543709099</v>
      </c>
      <c r="E124" s="1358" t="s">
        <v>2333</v>
      </c>
      <c r="F124" s="1356" t="s">
        <v>2334</v>
      </c>
      <c r="G124" s="1383"/>
      <c r="J124" s="2633" t="s">
        <v>1104</v>
      </c>
    </row>
    <row r="125" spans="1:22" ht="15.75" customHeight="1" x14ac:dyDescent="0.25">
      <c r="A125" s="1082" t="s">
        <v>1612</v>
      </c>
      <c r="B125" s="1848">
        <v>106204722</v>
      </c>
      <c r="C125" s="1287" t="s">
        <v>2438</v>
      </c>
      <c r="D125" s="1287">
        <v>8543709099</v>
      </c>
      <c r="E125" s="1358" t="s">
        <v>2335</v>
      </c>
      <c r="F125" s="1356" t="s">
        <v>2336</v>
      </c>
      <c r="G125" s="1383"/>
      <c r="J125" s="2633" t="s">
        <v>1104</v>
      </c>
    </row>
    <row r="126" spans="1:22" s="1351" customFormat="1" ht="15.75" customHeight="1" x14ac:dyDescent="0.25">
      <c r="A126" s="1082" t="s">
        <v>1613</v>
      </c>
      <c r="B126" s="1848">
        <v>106204727</v>
      </c>
      <c r="C126" s="1287" t="s">
        <v>2439</v>
      </c>
      <c r="D126" s="1287">
        <v>8543709099</v>
      </c>
      <c r="E126" s="1358" t="s">
        <v>2337</v>
      </c>
      <c r="F126" s="1356" t="s">
        <v>2338</v>
      </c>
      <c r="G126" s="1383"/>
      <c r="H126" s="2633"/>
      <c r="I126" s="2633"/>
      <c r="J126" s="2633" t="s">
        <v>1104</v>
      </c>
      <c r="K126" s="2633"/>
      <c r="L126" s="2633"/>
      <c r="M126" s="2633"/>
      <c r="N126" s="3923"/>
      <c r="O126" s="2633"/>
      <c r="P126" s="2633"/>
      <c r="Q126" s="1383"/>
      <c r="R126" s="1383"/>
      <c r="S126" s="1383"/>
      <c r="T126" s="1383"/>
      <c r="U126" s="1383"/>
      <c r="V126" s="1383"/>
    </row>
    <row r="127" spans="1:22" s="1351" customFormat="1" ht="15.75" customHeight="1" x14ac:dyDescent="0.25">
      <c r="A127" s="1082" t="s">
        <v>2402</v>
      </c>
      <c r="B127" s="1848">
        <v>106204729</v>
      </c>
      <c r="C127" s="1287" t="s">
        <v>2440</v>
      </c>
      <c r="D127" s="1287">
        <v>8543709099</v>
      </c>
      <c r="E127" s="1358" t="s">
        <v>2391</v>
      </c>
      <c r="F127" s="1356" t="s">
        <v>2392</v>
      </c>
      <c r="G127" s="1383"/>
      <c r="H127" s="2633"/>
      <c r="I127" s="2633"/>
      <c r="J127" s="2633" t="s">
        <v>1104</v>
      </c>
      <c r="K127" s="2633"/>
      <c r="L127" s="2633"/>
      <c r="M127" s="2633"/>
      <c r="N127" s="3923"/>
      <c r="O127" s="2633"/>
      <c r="P127" s="2633"/>
      <c r="Q127" s="1383"/>
      <c r="R127" s="1383"/>
      <c r="S127" s="1383"/>
      <c r="T127" s="1383"/>
      <c r="U127" s="1383"/>
      <c r="V127" s="1383"/>
    </row>
    <row r="128" spans="1:22" s="1351" customFormat="1" ht="15.75" customHeight="1" x14ac:dyDescent="0.25">
      <c r="A128" s="48" t="s">
        <v>2493</v>
      </c>
      <c r="B128" s="1848">
        <v>106205966</v>
      </c>
      <c r="C128" s="1358" t="s">
        <v>3014</v>
      </c>
      <c r="D128" s="1287">
        <v>8543709099</v>
      </c>
      <c r="E128" s="1383" t="s">
        <v>2775</v>
      </c>
      <c r="F128" s="1356" t="s">
        <v>2785</v>
      </c>
      <c r="G128" s="2633"/>
      <c r="H128" s="2633"/>
      <c r="I128" s="2633" t="s">
        <v>1104</v>
      </c>
      <c r="J128" s="2633"/>
      <c r="K128" s="2633"/>
      <c r="L128" s="3923"/>
      <c r="M128" s="142"/>
      <c r="N128" s="2633"/>
      <c r="O128" s="2633"/>
      <c r="P128" s="1848"/>
      <c r="Q128" s="1383"/>
      <c r="R128" s="1383"/>
      <c r="S128" s="1383"/>
      <c r="T128" s="1383"/>
      <c r="U128" s="1383"/>
      <c r="V128" s="1383"/>
    </row>
    <row r="129" spans="1:22" s="751" customFormat="1" ht="15" customHeight="1" x14ac:dyDescent="0.25">
      <c r="A129" s="48" t="s">
        <v>2494</v>
      </c>
      <c r="B129" s="1848">
        <v>106205968</v>
      </c>
      <c r="C129" s="1358" t="s">
        <v>3015</v>
      </c>
      <c r="D129" s="1287">
        <v>8543709099</v>
      </c>
      <c r="E129" s="1383" t="s">
        <v>2776</v>
      </c>
      <c r="F129" s="1356" t="s">
        <v>2777</v>
      </c>
      <c r="G129" s="2633"/>
      <c r="H129" s="2633"/>
      <c r="I129" s="2633" t="s">
        <v>1104</v>
      </c>
      <c r="J129" s="2633"/>
      <c r="K129" s="2633"/>
      <c r="L129" s="3923"/>
      <c r="M129" s="142"/>
      <c r="N129" s="2633"/>
      <c r="O129" s="2633"/>
      <c r="P129" s="1848"/>
      <c r="Q129" s="1383"/>
      <c r="R129" s="1383"/>
      <c r="S129" s="1383"/>
      <c r="T129" s="1383"/>
      <c r="U129" s="1383"/>
      <c r="V129" s="1383"/>
    </row>
    <row r="130" spans="1:22" s="176" customFormat="1" ht="15.75" customHeight="1" x14ac:dyDescent="0.25">
      <c r="A130" s="48" t="s">
        <v>2495</v>
      </c>
      <c r="B130" s="1848">
        <v>106205970</v>
      </c>
      <c r="C130" s="1358" t="s">
        <v>3017</v>
      </c>
      <c r="D130" s="1287">
        <v>8543709099</v>
      </c>
      <c r="E130" s="1383" t="s">
        <v>2778</v>
      </c>
      <c r="F130" s="1356" t="s">
        <v>2786</v>
      </c>
      <c r="G130" s="2633"/>
      <c r="H130" s="2633"/>
      <c r="I130" s="2633" t="s">
        <v>1104</v>
      </c>
      <c r="J130" s="2633"/>
      <c r="K130" s="2633"/>
      <c r="L130" s="3923"/>
      <c r="M130" s="142"/>
      <c r="N130" s="2633"/>
      <c r="O130" s="2633"/>
      <c r="P130" s="1848"/>
      <c r="Q130" s="1383"/>
      <c r="R130" s="1383"/>
      <c r="S130" s="1383"/>
      <c r="T130" s="1383"/>
      <c r="U130" s="1383"/>
      <c r="V130" s="1383"/>
    </row>
    <row r="131" spans="1:22" s="1351" customFormat="1" ht="15.75" customHeight="1" x14ac:dyDescent="0.25">
      <c r="A131" s="48" t="s">
        <v>2496</v>
      </c>
      <c r="B131" s="1848">
        <v>106205972</v>
      </c>
      <c r="C131" s="1358" t="s">
        <v>3018</v>
      </c>
      <c r="D131" s="1287">
        <v>8543709099</v>
      </c>
      <c r="E131" s="1383" t="s">
        <v>2779</v>
      </c>
      <c r="F131" s="1356" t="s">
        <v>2782</v>
      </c>
      <c r="G131" s="2633"/>
      <c r="H131" s="2633"/>
      <c r="I131" s="2633" t="s">
        <v>1104</v>
      </c>
      <c r="J131" s="2633"/>
      <c r="K131" s="2633"/>
      <c r="L131" s="3923"/>
      <c r="M131" s="142"/>
      <c r="N131" s="2633"/>
      <c r="O131" s="2633"/>
      <c r="P131" s="1848"/>
      <c r="Q131" s="1383"/>
      <c r="R131" s="1383"/>
      <c r="S131" s="1383"/>
      <c r="T131" s="1383"/>
      <c r="U131" s="1383"/>
      <c r="V131" s="1383"/>
    </row>
    <row r="132" spans="1:22" s="1351" customFormat="1" ht="15.75" customHeight="1" x14ac:dyDescent="0.25">
      <c r="A132" s="48" t="s">
        <v>2497</v>
      </c>
      <c r="B132" s="1848">
        <v>106205974</v>
      </c>
      <c r="C132" s="1358" t="s">
        <v>3019</v>
      </c>
      <c r="D132" s="1287">
        <v>8543709099</v>
      </c>
      <c r="E132" s="1383" t="s">
        <v>2780</v>
      </c>
      <c r="F132" s="1356" t="s">
        <v>2783</v>
      </c>
      <c r="G132" s="2633"/>
      <c r="H132" s="2633"/>
      <c r="I132" s="2633" t="s">
        <v>1104</v>
      </c>
      <c r="J132" s="2633"/>
      <c r="K132" s="2633"/>
      <c r="L132" s="3923"/>
      <c r="M132" s="142"/>
      <c r="N132" s="2633"/>
      <c r="O132" s="2633"/>
      <c r="P132" s="1848"/>
      <c r="Q132" s="1383"/>
      <c r="R132" s="1383"/>
      <c r="S132" s="1383"/>
      <c r="T132" s="1383"/>
      <c r="U132" s="1383"/>
      <c r="V132" s="1383"/>
    </row>
    <row r="133" spans="1:22" s="1351" customFormat="1" ht="15.75" customHeight="1" x14ac:dyDescent="0.25">
      <c r="A133" s="48" t="s">
        <v>2498</v>
      </c>
      <c r="B133" s="1848">
        <v>106205976</v>
      </c>
      <c r="C133" s="1358" t="s">
        <v>2499</v>
      </c>
      <c r="D133" s="1287">
        <v>8543709099</v>
      </c>
      <c r="E133" s="1383" t="s">
        <v>2781</v>
      </c>
      <c r="F133" s="1356" t="s">
        <v>2784</v>
      </c>
      <c r="G133" s="2633"/>
      <c r="H133" s="2633"/>
      <c r="I133" s="2633" t="s">
        <v>1104</v>
      </c>
      <c r="J133" s="2633"/>
      <c r="K133" s="2633"/>
      <c r="L133" s="3923"/>
      <c r="M133" s="142"/>
      <c r="N133" s="2633"/>
      <c r="O133" s="2633"/>
      <c r="P133" s="1848"/>
      <c r="Q133" s="1383"/>
      <c r="R133" s="1383"/>
      <c r="S133" s="1383"/>
      <c r="T133" s="1383"/>
      <c r="U133" s="1383"/>
      <c r="V133" s="1383"/>
    </row>
    <row r="134" spans="1:22" s="1351" customFormat="1" x14ac:dyDescent="0.25">
      <c r="A134" s="48" t="s">
        <v>3135</v>
      </c>
      <c r="B134" s="1848">
        <v>106205967</v>
      </c>
      <c r="C134" s="1358" t="s">
        <v>3177</v>
      </c>
      <c r="D134" s="1287">
        <v>8543709099</v>
      </c>
      <c r="E134" s="1383" t="s">
        <v>3136</v>
      </c>
      <c r="F134" s="1356" t="s">
        <v>3137</v>
      </c>
      <c r="G134" s="2633"/>
      <c r="H134" s="2633"/>
      <c r="I134" s="2633" t="s">
        <v>1104</v>
      </c>
      <c r="J134" s="2633"/>
      <c r="K134" s="2633"/>
      <c r="L134" s="3923"/>
      <c r="M134" s="142"/>
      <c r="N134" s="2633"/>
      <c r="O134" s="2633"/>
      <c r="P134" s="1848"/>
      <c r="Q134" s="1383"/>
      <c r="R134" s="1383"/>
      <c r="S134" s="1383"/>
      <c r="T134" s="1383"/>
      <c r="U134" s="1383"/>
      <c r="V134" s="1383"/>
    </row>
    <row r="135" spans="1:22" x14ac:dyDescent="0.25">
      <c r="A135" s="48" t="s">
        <v>3138</v>
      </c>
      <c r="B135" s="1848">
        <v>106205969</v>
      </c>
      <c r="C135" s="1358" t="s">
        <v>3178</v>
      </c>
      <c r="D135" s="1287">
        <v>8543709099</v>
      </c>
      <c r="E135" s="1383" t="s">
        <v>3139</v>
      </c>
      <c r="F135" s="1356" t="s">
        <v>3140</v>
      </c>
      <c r="I135" s="2633" t="s">
        <v>1104</v>
      </c>
      <c r="L135" s="3923"/>
      <c r="M135" s="142"/>
      <c r="N135" s="2633"/>
      <c r="P135" s="1848"/>
    </row>
    <row r="136" spans="1:22" x14ac:dyDescent="0.25">
      <c r="A136" s="48" t="s">
        <v>3144</v>
      </c>
      <c r="B136" s="1848">
        <v>106205971</v>
      </c>
      <c r="C136" s="1358" t="s">
        <v>3180</v>
      </c>
      <c r="D136" s="1287">
        <v>8543709099</v>
      </c>
      <c r="E136" s="1383" t="s">
        <v>3145</v>
      </c>
      <c r="F136" s="1356" t="s">
        <v>3146</v>
      </c>
      <c r="I136" s="2633" t="s">
        <v>1104</v>
      </c>
      <c r="L136" s="3923"/>
      <c r="M136" s="142"/>
      <c r="N136" s="2633"/>
      <c r="P136" s="1848"/>
    </row>
    <row r="137" spans="1:22" x14ac:dyDescent="0.25">
      <c r="A137" s="48" t="s">
        <v>3147</v>
      </c>
      <c r="B137" s="1848">
        <v>106205973</v>
      </c>
      <c r="C137" s="1358" t="s">
        <v>3181</v>
      </c>
      <c r="D137" s="1287">
        <v>8543709099</v>
      </c>
      <c r="E137" s="1383" t="s">
        <v>3148</v>
      </c>
      <c r="F137" s="1356" t="s">
        <v>3149</v>
      </c>
      <c r="I137" s="2633" t="s">
        <v>1104</v>
      </c>
      <c r="L137" s="3923"/>
      <c r="M137" s="142"/>
      <c r="N137" s="2633"/>
      <c r="P137" s="1848"/>
    </row>
    <row r="138" spans="1:22" x14ac:dyDescent="0.25">
      <c r="A138" s="48" t="s">
        <v>3150</v>
      </c>
      <c r="B138" s="1848">
        <v>106205975</v>
      </c>
      <c r="C138" s="1358" t="s">
        <v>3182</v>
      </c>
      <c r="D138" s="1287">
        <v>8543709099</v>
      </c>
      <c r="E138" s="1383" t="s">
        <v>3151</v>
      </c>
      <c r="F138" s="1356" t="s">
        <v>3152</v>
      </c>
      <c r="I138" s="2633" t="s">
        <v>1104</v>
      </c>
      <c r="L138" s="3923"/>
      <c r="M138" s="142"/>
      <c r="N138" s="2633"/>
      <c r="P138" s="1848"/>
    </row>
    <row r="139" spans="1:22" ht="45" x14ac:dyDescent="0.25">
      <c r="A139" s="1082" t="s">
        <v>106</v>
      </c>
      <c r="B139" s="1848">
        <v>106200539</v>
      </c>
      <c r="C139" s="1287" t="s">
        <v>1902</v>
      </c>
      <c r="D139" s="1287">
        <v>8542319000</v>
      </c>
      <c r="E139" s="1348" t="s">
        <v>1230</v>
      </c>
      <c r="F139" s="1335" t="s">
        <v>1231</v>
      </c>
      <c r="G139" s="1347"/>
      <c r="H139" s="1347" t="s">
        <v>1104</v>
      </c>
      <c r="I139" s="1347" t="s">
        <v>1104</v>
      </c>
      <c r="J139" s="1347"/>
      <c r="K139" s="1347"/>
      <c r="M139" s="142"/>
      <c r="N139" s="3924"/>
      <c r="O139" s="3927"/>
      <c r="P139" s="3927"/>
      <c r="Q139" s="3926"/>
    </row>
    <row r="140" spans="1:22" s="86" customFormat="1" ht="15" customHeight="1" x14ac:dyDescent="0.25">
      <c r="A140" s="1288" t="s">
        <v>2</v>
      </c>
      <c r="B140" s="1848">
        <v>106200591</v>
      </c>
      <c r="C140" s="1288" t="s">
        <v>472</v>
      </c>
      <c r="D140" s="1287">
        <v>8542319000</v>
      </c>
      <c r="E140" s="2226" t="s">
        <v>1903</v>
      </c>
      <c r="F140" s="1550" t="s">
        <v>1904</v>
      </c>
      <c r="G140" s="275" t="s">
        <v>1104</v>
      </c>
      <c r="H140" s="275" t="s">
        <v>1104</v>
      </c>
      <c r="I140" s="275"/>
      <c r="J140" s="275"/>
      <c r="K140" s="275"/>
      <c r="L140" s="3923"/>
      <c r="M140" s="3923"/>
      <c r="N140" s="751"/>
      <c r="O140" s="751"/>
      <c r="P140" s="751"/>
      <c r="Q140" s="2227"/>
      <c r="R140" s="794"/>
      <c r="S140" s="794"/>
      <c r="T140" s="794"/>
      <c r="U140" s="794"/>
      <c r="V140" s="794"/>
    </row>
    <row r="141" spans="1:22" x14ac:dyDescent="0.25">
      <c r="A141" s="1383" t="s">
        <v>1215</v>
      </c>
      <c r="B141" s="1848">
        <v>106200799</v>
      </c>
      <c r="C141" s="794" t="s">
        <v>1916</v>
      </c>
      <c r="D141" s="1287">
        <v>8542319000</v>
      </c>
      <c r="E141" s="794" t="s">
        <v>1917</v>
      </c>
      <c r="F141" s="1335" t="s">
        <v>1918</v>
      </c>
      <c r="H141" s="2633" t="s">
        <v>1104</v>
      </c>
      <c r="I141" s="2633" t="s">
        <v>1104</v>
      </c>
    </row>
    <row r="142" spans="1:22" s="1351" customFormat="1" x14ac:dyDescent="0.25">
      <c r="A142" s="1383" t="s">
        <v>1632</v>
      </c>
      <c r="B142" s="1848">
        <v>106205458</v>
      </c>
      <c r="C142" s="794" t="s">
        <v>2017</v>
      </c>
      <c r="D142" s="1287">
        <v>8542319000</v>
      </c>
      <c r="E142" s="1349" t="s">
        <v>3033</v>
      </c>
      <c r="F142" s="1496" t="s">
        <v>3034</v>
      </c>
      <c r="G142" s="1383"/>
      <c r="H142" s="1383"/>
      <c r="I142" s="2633" t="s">
        <v>1104</v>
      </c>
      <c r="J142" s="1383"/>
      <c r="K142" s="1383"/>
      <c r="L142" s="1383"/>
      <c r="M142" s="1383"/>
      <c r="N142" s="3923"/>
      <c r="O142" s="2633"/>
      <c r="P142" s="1383"/>
      <c r="Q142" s="1383"/>
      <c r="R142" s="1383"/>
      <c r="S142" s="1383"/>
      <c r="T142" s="1383"/>
      <c r="U142" s="1383"/>
      <c r="V142" s="1383"/>
    </row>
    <row r="143" spans="1:22" ht="15.75" customHeight="1" x14ac:dyDescent="0.25">
      <c r="A143" s="48" t="s">
        <v>2772</v>
      </c>
      <c r="B143" s="1848">
        <v>106205983</v>
      </c>
      <c r="C143" s="1358" t="s">
        <v>3122</v>
      </c>
      <c r="D143" s="1287">
        <v>8542319000</v>
      </c>
      <c r="E143" s="1383" t="s">
        <v>1951</v>
      </c>
      <c r="F143" s="1356" t="s">
        <v>576</v>
      </c>
      <c r="I143" s="2633" t="s">
        <v>1104</v>
      </c>
      <c r="L143" s="3923"/>
      <c r="M143" s="142"/>
      <c r="N143" s="2633"/>
      <c r="P143" s="1848"/>
    </row>
    <row r="144" spans="1:22" ht="15.75" customHeight="1" x14ac:dyDescent="0.25">
      <c r="A144" s="48" t="s">
        <v>3126</v>
      </c>
      <c r="B144" s="1848">
        <v>106206368</v>
      </c>
      <c r="C144" s="1358" t="s">
        <v>3123</v>
      </c>
      <c r="D144" s="1287">
        <v>8542319000</v>
      </c>
      <c r="E144" s="1383" t="s">
        <v>2906</v>
      </c>
      <c r="F144" s="1356" t="s">
        <v>2956</v>
      </c>
      <c r="I144" s="2633" t="s">
        <v>1104</v>
      </c>
      <c r="K144" s="2633" t="s">
        <v>1104</v>
      </c>
      <c r="L144" s="3923"/>
      <c r="M144" s="142"/>
      <c r="N144" s="2633"/>
      <c r="P144" s="1848"/>
    </row>
    <row r="145" spans="1:22" ht="15.75" customHeight="1" x14ac:dyDescent="0.25">
      <c r="A145" s="1342" t="s">
        <v>3280</v>
      </c>
      <c r="B145" s="1848">
        <v>106124036</v>
      </c>
      <c r="C145" s="3928" t="s">
        <v>3281</v>
      </c>
      <c r="D145" s="1287">
        <v>8542319000</v>
      </c>
      <c r="E145" s="1358" t="s">
        <v>3368</v>
      </c>
      <c r="F145" s="1356" t="s">
        <v>3369</v>
      </c>
      <c r="M145" s="751" t="s">
        <v>1104</v>
      </c>
    </row>
    <row r="146" spans="1:22" ht="15.75" customHeight="1" x14ac:dyDescent="0.25">
      <c r="A146" s="1082"/>
      <c r="B146" s="1848">
        <v>106107580</v>
      </c>
      <c r="C146" s="1287" t="s">
        <v>1817</v>
      </c>
      <c r="D146" s="1287">
        <v>8541500000</v>
      </c>
      <c r="E146" s="1349" t="s">
        <v>1277</v>
      </c>
      <c r="F146" s="1338" t="s">
        <v>1278</v>
      </c>
      <c r="G146" s="1347"/>
      <c r="H146" s="1347" t="s">
        <v>1104</v>
      </c>
      <c r="I146" s="1347" t="s">
        <v>1104</v>
      </c>
      <c r="J146" s="1347"/>
      <c r="K146" s="1347"/>
      <c r="L146" s="3927"/>
    </row>
    <row r="147" spans="1:22" s="1351" customFormat="1" ht="15.75" customHeight="1" x14ac:dyDescent="0.25">
      <c r="A147" s="1082" t="s">
        <v>138</v>
      </c>
      <c r="B147" s="1848">
        <v>106104091</v>
      </c>
      <c r="C147" s="1287" t="s">
        <v>1535</v>
      </c>
      <c r="D147" s="1287">
        <v>8536901000</v>
      </c>
      <c r="E147" s="1349" t="s">
        <v>1697</v>
      </c>
      <c r="F147" s="1335" t="s">
        <v>1698</v>
      </c>
      <c r="G147" s="1347"/>
      <c r="H147" s="1347" t="s">
        <v>1104</v>
      </c>
      <c r="I147" s="1347"/>
      <c r="J147" s="1347"/>
      <c r="K147" s="1347"/>
      <c r="L147" s="2633"/>
      <c r="M147" s="2633"/>
      <c r="N147" s="3923"/>
      <c r="O147" s="2633"/>
      <c r="P147" s="2633"/>
      <c r="Q147" s="1383"/>
      <c r="R147" s="1383"/>
      <c r="S147" s="1383"/>
      <c r="T147" s="1383"/>
      <c r="U147" s="1383"/>
      <c r="V147" s="1383"/>
    </row>
    <row r="148" spans="1:22" ht="15.75" customHeight="1" x14ac:dyDescent="0.25">
      <c r="A148" s="1082" t="s">
        <v>217</v>
      </c>
      <c r="B148" s="1848">
        <v>106105140</v>
      </c>
      <c r="C148" s="1287" t="s">
        <v>1541</v>
      </c>
      <c r="D148" s="1287">
        <v>8536901000</v>
      </c>
      <c r="E148" s="1349" t="s">
        <v>1780</v>
      </c>
      <c r="F148" s="1335" t="s">
        <v>1781</v>
      </c>
      <c r="G148" s="1280" t="s">
        <v>1104</v>
      </c>
      <c r="H148" s="1347"/>
      <c r="I148" s="1347"/>
      <c r="J148" s="1347"/>
      <c r="K148" s="1347"/>
      <c r="M148" s="1347"/>
    </row>
    <row r="149" spans="1:22" ht="15.75" customHeight="1" x14ac:dyDescent="0.25">
      <c r="A149" s="1082" t="s">
        <v>219</v>
      </c>
      <c r="B149" s="1848">
        <v>106105141</v>
      </c>
      <c r="C149" s="1287" t="s">
        <v>1540</v>
      </c>
      <c r="D149" s="1287">
        <v>8536901000</v>
      </c>
      <c r="E149" s="1349" t="s">
        <v>3372</v>
      </c>
      <c r="F149" s="1335" t="s">
        <v>1782</v>
      </c>
      <c r="G149" s="1280" t="s">
        <v>1104</v>
      </c>
      <c r="H149" s="1347"/>
      <c r="I149" s="1347"/>
      <c r="J149" s="1347"/>
      <c r="K149" s="1347"/>
      <c r="M149" s="1347"/>
    </row>
    <row r="150" spans="1:22" ht="30" x14ac:dyDescent="0.25">
      <c r="A150" s="1082" t="s">
        <v>218</v>
      </c>
      <c r="B150" s="1848">
        <v>106105150</v>
      </c>
      <c r="C150" s="1287" t="s">
        <v>1783</v>
      </c>
      <c r="D150" s="1287">
        <v>8536901000</v>
      </c>
      <c r="E150" s="1287" t="s">
        <v>2473</v>
      </c>
      <c r="F150" s="1335" t="s">
        <v>1784</v>
      </c>
      <c r="G150" s="1280" t="s">
        <v>1104</v>
      </c>
      <c r="H150" s="1347"/>
      <c r="I150" s="1347"/>
      <c r="J150" s="1347"/>
      <c r="K150" s="1347"/>
      <c r="M150" s="1347"/>
    </row>
    <row r="151" spans="1:22" s="1351" customFormat="1" ht="30" x14ac:dyDescent="0.25">
      <c r="A151" s="1082" t="s">
        <v>220</v>
      </c>
      <c r="B151" s="1848">
        <v>106105151</v>
      </c>
      <c r="C151" s="1287" t="s">
        <v>1785</v>
      </c>
      <c r="D151" s="1287">
        <v>8536901000</v>
      </c>
      <c r="E151" s="1287" t="s">
        <v>2474</v>
      </c>
      <c r="F151" s="1335" t="s">
        <v>1786</v>
      </c>
      <c r="G151" s="1280" t="s">
        <v>1104</v>
      </c>
      <c r="H151" s="1347"/>
      <c r="I151" s="1347"/>
      <c r="J151" s="1347"/>
      <c r="K151" s="1347"/>
      <c r="L151" s="2633"/>
      <c r="M151" s="1347"/>
      <c r="N151" s="3923"/>
      <c r="O151" s="2633"/>
      <c r="P151" s="2633"/>
      <c r="Q151" s="1383"/>
      <c r="R151" s="1383"/>
      <c r="S151" s="1383"/>
      <c r="T151" s="1383"/>
      <c r="U151" s="1383"/>
      <c r="V151" s="1383"/>
    </row>
    <row r="152" spans="1:22" x14ac:dyDescent="0.25">
      <c r="A152" s="1082" t="s">
        <v>539</v>
      </c>
      <c r="B152" s="1848">
        <v>106111217</v>
      </c>
      <c r="C152" s="1287" t="s">
        <v>1545</v>
      </c>
      <c r="D152" s="1287">
        <v>8536901000</v>
      </c>
      <c r="E152" s="1349" t="s">
        <v>1841</v>
      </c>
      <c r="F152" s="1337" t="s">
        <v>1842</v>
      </c>
      <c r="G152" s="1280"/>
      <c r="H152" s="1280"/>
      <c r="I152" s="1280"/>
      <c r="J152" s="1280"/>
      <c r="K152" s="1280"/>
      <c r="L152" s="2633" t="s">
        <v>1104</v>
      </c>
      <c r="R152" s="3926"/>
      <c r="S152" s="3926"/>
      <c r="T152" s="3926"/>
      <c r="U152" s="3926"/>
      <c r="V152" s="3926"/>
    </row>
    <row r="153" spans="1:22" ht="45" x14ac:dyDescent="0.25">
      <c r="A153" s="1082" t="s">
        <v>189</v>
      </c>
      <c r="B153" s="1848">
        <v>106106241</v>
      </c>
      <c r="C153" s="1287" t="s">
        <v>1528</v>
      </c>
      <c r="D153" s="1287">
        <v>8536900190</v>
      </c>
      <c r="E153" s="1348" t="s">
        <v>1238</v>
      </c>
      <c r="F153" s="1335" t="s">
        <v>2573</v>
      </c>
      <c r="G153" s="1347"/>
      <c r="H153" s="1347" t="s">
        <v>1104</v>
      </c>
      <c r="I153" s="1347" t="s">
        <v>1104</v>
      </c>
      <c r="J153" s="1347"/>
      <c r="K153" s="1347"/>
      <c r="L153" s="3927"/>
      <c r="N153" s="275"/>
      <c r="O153" s="1347"/>
      <c r="P153" s="1347"/>
      <c r="Q153" s="99"/>
    </row>
    <row r="154" spans="1:22" ht="30" x14ac:dyDescent="0.25">
      <c r="A154" s="1082" t="s">
        <v>279</v>
      </c>
      <c r="B154" s="1848">
        <v>106106242</v>
      </c>
      <c r="C154" s="1287" t="s">
        <v>1531</v>
      </c>
      <c r="D154" s="1287">
        <v>8536900190</v>
      </c>
      <c r="E154" s="1348" t="s">
        <v>1816</v>
      </c>
      <c r="F154" s="1335" t="s">
        <v>2574</v>
      </c>
      <c r="G154" s="1347"/>
      <c r="H154" s="1347" t="s">
        <v>1104</v>
      </c>
      <c r="I154" s="1347"/>
      <c r="J154" s="1347"/>
      <c r="K154" s="1347"/>
      <c r="L154" s="3927"/>
    </row>
    <row r="155" spans="1:22" x14ac:dyDescent="0.25">
      <c r="A155" s="1082" t="s">
        <v>307</v>
      </c>
      <c r="B155" s="1848">
        <v>106109799</v>
      </c>
      <c r="C155" s="1287" t="s">
        <v>1530</v>
      </c>
      <c r="D155" s="1287">
        <v>8536900190</v>
      </c>
      <c r="E155" s="1349" t="s">
        <v>1818</v>
      </c>
      <c r="F155" s="1335" t="s">
        <v>2575</v>
      </c>
      <c r="G155" s="1347"/>
      <c r="H155" s="1347" t="s">
        <v>1104</v>
      </c>
      <c r="I155" s="1347"/>
      <c r="J155" s="1347"/>
      <c r="K155" s="1347"/>
      <c r="N155" s="275"/>
      <c r="O155" s="1347"/>
      <c r="P155" s="1347"/>
      <c r="Q155" s="99"/>
    </row>
    <row r="156" spans="1:22" x14ac:dyDescent="0.25">
      <c r="A156" s="2352" t="s">
        <v>294</v>
      </c>
      <c r="B156" s="2353">
        <v>106111815</v>
      </c>
      <c r="C156" s="2354" t="s">
        <v>1530</v>
      </c>
      <c r="D156" s="1287">
        <v>8536900190</v>
      </c>
      <c r="E156" s="1349" t="s">
        <v>1367</v>
      </c>
      <c r="F156" s="1336" t="s">
        <v>2576</v>
      </c>
      <c r="G156" s="2355"/>
      <c r="H156" s="1280" t="s">
        <v>1104</v>
      </c>
      <c r="I156" s="2355"/>
      <c r="J156" s="2355"/>
      <c r="K156" s="2355"/>
      <c r="L156" s="142"/>
      <c r="M156" s="142"/>
      <c r="N156" s="274"/>
      <c r="O156" s="1280"/>
      <c r="P156" s="142" t="s">
        <v>1567</v>
      </c>
      <c r="Q156" s="2361"/>
      <c r="R156" s="371"/>
      <c r="S156" s="371"/>
      <c r="T156" s="371"/>
      <c r="U156" s="371"/>
      <c r="V156" s="371"/>
    </row>
    <row r="157" spans="1:22" x14ac:dyDescent="0.25">
      <c r="A157" s="2352" t="s">
        <v>296</v>
      </c>
      <c r="B157" s="2353">
        <v>106111816</v>
      </c>
      <c r="C157" s="2354" t="s">
        <v>1529</v>
      </c>
      <c r="D157" s="1287">
        <v>8536900190</v>
      </c>
      <c r="E157" s="1349" t="s">
        <v>1366</v>
      </c>
      <c r="F157" s="1336" t="s">
        <v>2577</v>
      </c>
      <c r="G157" s="2355"/>
      <c r="H157" s="1280" t="s">
        <v>1104</v>
      </c>
      <c r="I157" s="2355"/>
      <c r="J157" s="2355"/>
      <c r="K157" s="2355"/>
      <c r="L157" s="142"/>
      <c r="M157" s="230"/>
      <c r="N157" s="274"/>
      <c r="O157" s="1280"/>
      <c r="P157" s="1280">
        <v>106113621</v>
      </c>
      <c r="Q157" s="2361"/>
      <c r="R157" s="371"/>
      <c r="S157" s="371"/>
      <c r="T157" s="371"/>
      <c r="U157" s="371"/>
      <c r="V157" s="371"/>
    </row>
    <row r="158" spans="1:22" x14ac:dyDescent="0.25">
      <c r="A158" s="2352"/>
      <c r="B158" s="2353">
        <v>106111992</v>
      </c>
      <c r="C158" s="2364" t="s">
        <v>2409</v>
      </c>
      <c r="D158" s="1287">
        <v>8536900190</v>
      </c>
      <c r="E158" s="1358" t="s">
        <v>2386</v>
      </c>
      <c r="F158" s="2365" t="s">
        <v>2572</v>
      </c>
      <c r="G158" s="1351"/>
      <c r="H158" s="142"/>
      <c r="I158" s="142"/>
      <c r="J158" s="142" t="s">
        <v>1104</v>
      </c>
      <c r="K158" s="142"/>
      <c r="L158" s="142"/>
      <c r="M158" s="142"/>
      <c r="N158" s="751"/>
      <c r="O158" s="142"/>
      <c r="P158" s="142">
        <v>106205035</v>
      </c>
      <c r="Q158" s="1351"/>
      <c r="R158" s="371"/>
      <c r="S158" s="371"/>
      <c r="T158" s="371"/>
      <c r="U158" s="371"/>
      <c r="V158" s="371"/>
    </row>
    <row r="159" spans="1:22" ht="30" x14ac:dyDescent="0.25">
      <c r="A159" s="2360" t="s">
        <v>1271</v>
      </c>
      <c r="B159" s="2353">
        <v>106113634</v>
      </c>
      <c r="C159" s="2354" t="s">
        <v>1873</v>
      </c>
      <c r="D159" s="1287">
        <v>8536900190</v>
      </c>
      <c r="E159" s="1349" t="s">
        <v>1368</v>
      </c>
      <c r="F159" s="1336" t="s">
        <v>2578</v>
      </c>
      <c r="G159" s="1280"/>
      <c r="H159" s="1280" t="s">
        <v>1104</v>
      </c>
      <c r="I159" s="1280"/>
      <c r="J159" s="1280"/>
      <c r="K159" s="1280"/>
      <c r="L159" s="142"/>
      <c r="M159" s="2121"/>
      <c r="N159" s="751"/>
      <c r="O159" s="142"/>
      <c r="P159" s="142">
        <v>106113623</v>
      </c>
      <c r="Q159" s="1351"/>
      <c r="R159" s="1351"/>
      <c r="S159" s="1351"/>
      <c r="T159" s="1351"/>
      <c r="U159" s="1351"/>
      <c r="V159" s="1351"/>
    </row>
    <row r="160" spans="1:22" x14ac:dyDescent="0.25">
      <c r="A160" s="2352"/>
      <c r="B160" s="2353">
        <v>106114314</v>
      </c>
      <c r="C160" s="2354" t="s">
        <v>1251</v>
      </c>
      <c r="D160" s="1287">
        <v>8536900190</v>
      </c>
      <c r="E160" s="1349" t="s">
        <v>1356</v>
      </c>
      <c r="F160" s="1336" t="s">
        <v>2579</v>
      </c>
      <c r="G160" s="1280"/>
      <c r="H160" s="1280" t="s">
        <v>1104</v>
      </c>
      <c r="I160" s="1280"/>
      <c r="J160" s="1280"/>
      <c r="K160" s="1280"/>
      <c r="L160" s="142"/>
      <c r="M160" s="142"/>
      <c r="N160" s="751"/>
      <c r="O160" s="142"/>
      <c r="P160" s="142">
        <v>106204083</v>
      </c>
      <c r="Q160" s="1351">
        <v>76.31</v>
      </c>
      <c r="R160" s="1351"/>
      <c r="S160" s="1351"/>
      <c r="T160" s="1351"/>
      <c r="U160" s="1351"/>
      <c r="V160" s="1351"/>
    </row>
    <row r="161" spans="1:22" x14ac:dyDescent="0.25">
      <c r="A161" s="2352"/>
      <c r="B161" s="2353">
        <v>106116202</v>
      </c>
      <c r="C161" s="2354" t="s">
        <v>1260</v>
      </c>
      <c r="D161" s="1287">
        <v>8536900190</v>
      </c>
      <c r="E161" s="1349" t="s">
        <v>1259</v>
      </c>
      <c r="F161" s="1336" t="s">
        <v>2581</v>
      </c>
      <c r="G161" s="1280"/>
      <c r="H161" s="1280" t="s">
        <v>1104</v>
      </c>
      <c r="I161" s="1280"/>
      <c r="J161" s="1280"/>
      <c r="K161" s="1280"/>
      <c r="L161" s="142"/>
      <c r="M161" s="142"/>
      <c r="N161" s="751"/>
      <c r="O161" s="142"/>
      <c r="P161" s="142"/>
      <c r="Q161" s="1351"/>
      <c r="R161" s="1351"/>
      <c r="S161" s="1351"/>
      <c r="T161" s="1351"/>
      <c r="U161" s="1351"/>
      <c r="V161" s="1351"/>
    </row>
    <row r="162" spans="1:22" x14ac:dyDescent="0.25">
      <c r="A162" s="1383" t="s">
        <v>263</v>
      </c>
      <c r="B162" s="1848">
        <v>106118968</v>
      </c>
      <c r="C162" s="1358" t="s">
        <v>2834</v>
      </c>
      <c r="D162" s="1287">
        <v>8536900190</v>
      </c>
      <c r="E162" s="1383" t="s">
        <v>2524</v>
      </c>
      <c r="F162" s="1356" t="s">
        <v>2519</v>
      </c>
      <c r="I162" s="2633" t="s">
        <v>1104</v>
      </c>
      <c r="J162" s="3923"/>
      <c r="K162" s="3923"/>
      <c r="L162" s="142"/>
      <c r="N162" s="2633"/>
      <c r="P162" s="1848">
        <v>106118976</v>
      </c>
    </row>
    <row r="163" spans="1:22" x14ac:dyDescent="0.25">
      <c r="A163" s="1383" t="s">
        <v>263</v>
      </c>
      <c r="B163" s="1848">
        <v>106118969</v>
      </c>
      <c r="C163" s="1358" t="s">
        <v>2835</v>
      </c>
      <c r="D163" s="1287">
        <v>8536900190</v>
      </c>
      <c r="E163" s="1383" t="s">
        <v>2523</v>
      </c>
      <c r="F163" s="1356" t="s">
        <v>2520</v>
      </c>
      <c r="I163" s="2633" t="s">
        <v>1104</v>
      </c>
      <c r="J163" s="3923"/>
      <c r="K163" s="3923"/>
      <c r="L163" s="142"/>
      <c r="N163" s="2633"/>
      <c r="P163" s="1848">
        <v>106118976</v>
      </c>
    </row>
    <row r="164" spans="1:22" x14ac:dyDescent="0.25">
      <c r="A164" s="48" t="s">
        <v>263</v>
      </c>
      <c r="B164" s="1848">
        <v>106120955</v>
      </c>
      <c r="C164" s="1358" t="s">
        <v>3000</v>
      </c>
      <c r="D164" s="1287">
        <v>8536900190</v>
      </c>
      <c r="E164" s="1383" t="s">
        <v>2809</v>
      </c>
      <c r="F164" s="1356" t="s">
        <v>2810</v>
      </c>
      <c r="I164" s="2633" t="s">
        <v>1104</v>
      </c>
      <c r="K164" s="2633" t="s">
        <v>1104</v>
      </c>
      <c r="L164" s="3923"/>
      <c r="M164" s="142"/>
      <c r="N164" s="2633"/>
      <c r="P164" s="1848">
        <v>106204784</v>
      </c>
    </row>
    <row r="165" spans="1:22" x14ac:dyDescent="0.25">
      <c r="A165" s="1082"/>
      <c r="B165" s="1848">
        <v>106101461</v>
      </c>
      <c r="C165" s="291" t="s">
        <v>2407</v>
      </c>
      <c r="D165" s="1287">
        <v>8536508099</v>
      </c>
      <c r="E165" s="1358" t="s">
        <v>2326</v>
      </c>
      <c r="F165" s="1356" t="s">
        <v>2327</v>
      </c>
      <c r="G165" s="1383"/>
      <c r="J165" s="2633" t="s">
        <v>1104</v>
      </c>
    </row>
    <row r="166" spans="1:22" ht="60" x14ac:dyDescent="0.25">
      <c r="A166" s="1084" t="s">
        <v>305</v>
      </c>
      <c r="B166" s="1848">
        <v>106104215</v>
      </c>
      <c r="C166" s="1287" t="s">
        <v>1751</v>
      </c>
      <c r="D166" s="1287">
        <v>8536508099</v>
      </c>
      <c r="E166" s="1287" t="s">
        <v>1752</v>
      </c>
      <c r="F166" s="1335" t="s">
        <v>1753</v>
      </c>
      <c r="G166" s="1347"/>
      <c r="H166" s="1347" t="s">
        <v>1104</v>
      </c>
      <c r="I166" s="1347"/>
      <c r="J166" s="1347"/>
      <c r="K166" s="1347"/>
      <c r="L166" s="1347"/>
      <c r="R166" s="86"/>
      <c r="S166" s="86"/>
      <c r="T166" s="86"/>
      <c r="U166" s="86"/>
      <c r="V166" s="86"/>
    </row>
    <row r="167" spans="1:22" ht="60" x14ac:dyDescent="0.25">
      <c r="A167" s="1082" t="s">
        <v>292</v>
      </c>
      <c r="B167" s="1848">
        <v>106111805</v>
      </c>
      <c r="C167" s="1287" t="s">
        <v>1849</v>
      </c>
      <c r="D167" s="1287">
        <v>8536508099</v>
      </c>
      <c r="E167" s="1287" t="s">
        <v>1752</v>
      </c>
      <c r="F167" s="1335" t="s">
        <v>1753</v>
      </c>
      <c r="G167" s="1347"/>
      <c r="H167" s="1347" t="s">
        <v>1104</v>
      </c>
      <c r="I167" s="1347"/>
      <c r="J167" s="1347"/>
      <c r="K167" s="1347"/>
      <c r="R167" s="3926"/>
      <c r="S167" s="3926"/>
      <c r="T167" s="3926"/>
      <c r="U167" s="3926"/>
      <c r="V167" s="3926"/>
    </row>
    <row r="168" spans="1:22" x14ac:dyDescent="0.25">
      <c r="A168" s="2352" t="s">
        <v>292</v>
      </c>
      <c r="B168" s="2353">
        <v>106111814</v>
      </c>
      <c r="C168" s="2354" t="s">
        <v>1751</v>
      </c>
      <c r="D168" s="1287">
        <v>8536508099</v>
      </c>
      <c r="E168" s="1349" t="s">
        <v>1553</v>
      </c>
      <c r="F168" s="1336" t="s">
        <v>1554</v>
      </c>
      <c r="G168" s="2355"/>
      <c r="H168" s="1280" t="s">
        <v>1104</v>
      </c>
      <c r="I168" s="2355"/>
      <c r="J168" s="2355"/>
      <c r="K168" s="2355"/>
      <c r="L168" s="230"/>
      <c r="M168" s="142"/>
      <c r="N168" s="751"/>
      <c r="O168" s="142"/>
      <c r="P168" s="142" t="s">
        <v>1567</v>
      </c>
      <c r="Q168" s="1351"/>
      <c r="R168" s="371"/>
      <c r="S168" s="371"/>
      <c r="T168" s="371"/>
      <c r="U168" s="371"/>
      <c r="V168" s="371"/>
    </row>
    <row r="169" spans="1:22" x14ac:dyDescent="0.25">
      <c r="A169" s="2352"/>
      <c r="B169" s="2353">
        <v>106111993</v>
      </c>
      <c r="C169" s="2364" t="s">
        <v>2410</v>
      </c>
      <c r="D169" s="1287">
        <v>8536508099</v>
      </c>
      <c r="E169" s="1358" t="s">
        <v>2326</v>
      </c>
      <c r="F169" s="2365" t="s">
        <v>2327</v>
      </c>
      <c r="G169" s="1351"/>
      <c r="H169" s="142"/>
      <c r="I169" s="142"/>
      <c r="J169" s="142" t="s">
        <v>1104</v>
      </c>
      <c r="K169" s="142"/>
      <c r="L169" s="142"/>
      <c r="M169" s="142"/>
      <c r="N169" s="751"/>
      <c r="O169" s="142"/>
      <c r="P169" s="142">
        <v>106205035</v>
      </c>
      <c r="Q169" s="1351"/>
      <c r="R169" s="371"/>
      <c r="S169" s="371"/>
      <c r="T169" s="371"/>
      <c r="U169" s="371"/>
      <c r="V169" s="371"/>
    </row>
    <row r="170" spans="1:22" x14ac:dyDescent="0.25">
      <c r="A170" s="1082"/>
      <c r="B170" s="1848">
        <v>106112784</v>
      </c>
      <c r="C170" s="291" t="s">
        <v>2411</v>
      </c>
      <c r="D170" s="1287">
        <v>8536508099</v>
      </c>
      <c r="E170" s="1358" t="s">
        <v>2371</v>
      </c>
      <c r="F170" s="1356" t="s">
        <v>2230</v>
      </c>
      <c r="G170" s="1383"/>
      <c r="J170" s="2633" t="s">
        <v>1104</v>
      </c>
    </row>
    <row r="171" spans="1:22" x14ac:dyDescent="0.25">
      <c r="A171" s="1082"/>
      <c r="B171" s="1848">
        <v>106112785</v>
      </c>
      <c r="C171" s="291" t="s">
        <v>2412</v>
      </c>
      <c r="D171" s="1287">
        <v>8536508099</v>
      </c>
      <c r="E171" s="1358" t="s">
        <v>2228</v>
      </c>
      <c r="F171" s="1356" t="s">
        <v>2229</v>
      </c>
      <c r="G171" s="1383"/>
      <c r="J171" s="2633" t="s">
        <v>1104</v>
      </c>
    </row>
    <row r="172" spans="1:22" x14ac:dyDescent="0.25">
      <c r="A172" s="2360" t="s">
        <v>1270</v>
      </c>
      <c r="B172" s="2353">
        <v>106113637</v>
      </c>
      <c r="C172" s="2354" t="s">
        <v>1875</v>
      </c>
      <c r="D172" s="1287">
        <v>8536508099</v>
      </c>
      <c r="E172" s="1349" t="s">
        <v>1617</v>
      </c>
      <c r="F172" s="1336" t="s">
        <v>1618</v>
      </c>
      <c r="G172" s="1280"/>
      <c r="H172" s="1280" t="s">
        <v>1104</v>
      </c>
      <c r="I172" s="1280"/>
      <c r="J172" s="1280"/>
      <c r="K172" s="1280"/>
      <c r="L172" s="142"/>
      <c r="M172" s="2121"/>
      <c r="N172" s="751"/>
      <c r="O172" s="751"/>
      <c r="P172" s="751">
        <v>106113623</v>
      </c>
      <c r="Q172" s="2227"/>
      <c r="R172" s="1351"/>
      <c r="S172" s="1351"/>
      <c r="T172" s="1351"/>
      <c r="U172" s="1351"/>
      <c r="V172" s="1351"/>
    </row>
    <row r="173" spans="1:22" x14ac:dyDescent="0.25">
      <c r="A173" s="48" t="s">
        <v>71</v>
      </c>
      <c r="B173" s="1848">
        <v>106118751</v>
      </c>
      <c r="C173" s="1358" t="s">
        <v>1751</v>
      </c>
      <c r="D173" s="1287">
        <v>8536508099</v>
      </c>
      <c r="E173" s="1383" t="s">
        <v>2540</v>
      </c>
      <c r="F173" s="1356" t="s">
        <v>2541</v>
      </c>
      <c r="I173" s="2633" t="s">
        <v>1104</v>
      </c>
      <c r="L173" s="3923"/>
      <c r="M173" s="142"/>
      <c r="N173" s="2633"/>
      <c r="P173" s="1848">
        <v>106204782</v>
      </c>
    </row>
    <row r="174" spans="1:22" x14ac:dyDescent="0.25">
      <c r="A174" s="1383" t="s">
        <v>71</v>
      </c>
      <c r="B174" s="1848">
        <v>106101464</v>
      </c>
      <c r="C174" s="1358" t="s">
        <v>2839</v>
      </c>
      <c r="D174" s="1287">
        <v>8536501199</v>
      </c>
      <c r="E174" s="1383" t="s">
        <v>2542</v>
      </c>
      <c r="F174" s="1356" t="s">
        <v>2543</v>
      </c>
      <c r="I174" s="2633" t="s">
        <v>1104</v>
      </c>
      <c r="J174" s="3923"/>
      <c r="K174" s="3923"/>
      <c r="L174" s="142"/>
      <c r="N174" s="2633"/>
      <c r="P174" s="1848">
        <v>106204781</v>
      </c>
    </row>
    <row r="175" spans="1:22" x14ac:dyDescent="0.25">
      <c r="A175" s="1082" t="s">
        <v>1593</v>
      </c>
      <c r="B175" s="1848">
        <v>106101089</v>
      </c>
      <c r="C175" s="291" t="s">
        <v>2406</v>
      </c>
      <c r="D175" s="1287">
        <v>8536500000</v>
      </c>
      <c r="E175" s="1358" t="s">
        <v>1594</v>
      </c>
      <c r="F175" s="1356" t="s">
        <v>1595</v>
      </c>
      <c r="G175" s="1383"/>
      <c r="J175" s="2633" t="s">
        <v>1104</v>
      </c>
    </row>
    <row r="176" spans="1:22" x14ac:dyDescent="0.25">
      <c r="A176" s="1082"/>
      <c r="B176" s="1848">
        <v>106118336</v>
      </c>
      <c r="C176" s="291" t="s">
        <v>2416</v>
      </c>
      <c r="D176" s="1287">
        <v>8536500000</v>
      </c>
      <c r="E176" s="1358" t="s">
        <v>2527</v>
      </c>
      <c r="F176" s="1356" t="s">
        <v>2528</v>
      </c>
      <c r="G176" s="1383"/>
      <c r="J176" s="2633" t="s">
        <v>1104</v>
      </c>
    </row>
    <row r="177" spans="1:22" s="794" customFormat="1" x14ac:dyDescent="0.25">
      <c r="A177" s="1082" t="s">
        <v>1565</v>
      </c>
      <c r="B177" s="1848">
        <v>106100918</v>
      </c>
      <c r="C177" s="1287" t="s">
        <v>1539</v>
      </c>
      <c r="D177" s="1287">
        <v>8536490000</v>
      </c>
      <c r="E177" s="1349" t="s">
        <v>1679</v>
      </c>
      <c r="F177" s="1335" t="s">
        <v>1680</v>
      </c>
      <c r="G177" s="1083"/>
      <c r="H177" s="1347" t="s">
        <v>1104</v>
      </c>
      <c r="I177" s="1083"/>
      <c r="J177" s="1083"/>
      <c r="K177" s="1083"/>
      <c r="L177" s="2633"/>
      <c r="M177" s="142"/>
      <c r="N177" s="3923"/>
      <c r="O177" s="2633"/>
      <c r="P177" s="2633"/>
      <c r="Q177" s="1383"/>
      <c r="R177" s="1351"/>
      <c r="S177" s="1351"/>
      <c r="T177" s="1351"/>
      <c r="U177" s="1351"/>
      <c r="V177" s="1351"/>
    </row>
    <row r="178" spans="1:22" x14ac:dyDescent="0.25">
      <c r="A178" s="1084" t="s">
        <v>315</v>
      </c>
      <c r="B178" s="1848">
        <v>106101018</v>
      </c>
      <c r="C178" s="1287" t="s">
        <v>1533</v>
      </c>
      <c r="D178" s="1287">
        <v>8536490000</v>
      </c>
      <c r="E178" s="1349" t="s">
        <v>1681</v>
      </c>
      <c r="F178" s="1335" t="s">
        <v>1681</v>
      </c>
      <c r="G178" s="1083"/>
      <c r="H178" s="1347" t="s">
        <v>1104</v>
      </c>
      <c r="I178" s="1083"/>
      <c r="J178" s="1083"/>
      <c r="K178" s="1083"/>
      <c r="N178" s="275"/>
      <c r="O178" s="1347"/>
      <c r="P178" s="1347"/>
      <c r="Q178" s="99"/>
    </row>
    <row r="179" spans="1:22" s="794" customFormat="1" x14ac:dyDescent="0.25">
      <c r="A179" s="1082" t="s">
        <v>1562</v>
      </c>
      <c r="B179" s="1848">
        <v>106104081</v>
      </c>
      <c r="C179" s="1287" t="s">
        <v>1544</v>
      </c>
      <c r="D179" s="1287">
        <v>8536490000</v>
      </c>
      <c r="E179" s="1349" t="s">
        <v>1693</v>
      </c>
      <c r="F179" s="1335" t="s">
        <v>1694</v>
      </c>
      <c r="G179" s="1347"/>
      <c r="H179" s="1347" t="s">
        <v>1104</v>
      </c>
      <c r="I179" s="1347"/>
      <c r="J179" s="1347"/>
      <c r="K179" s="1347"/>
      <c r="L179" s="2633"/>
      <c r="M179" s="2633"/>
      <c r="N179" s="3923"/>
      <c r="O179" s="2633"/>
      <c r="P179" s="2633"/>
      <c r="Q179" s="1383"/>
      <c r="R179" s="1383"/>
      <c r="S179" s="1383"/>
      <c r="T179" s="1383"/>
      <c r="U179" s="1383"/>
      <c r="V179" s="1383"/>
    </row>
    <row r="180" spans="1:22" x14ac:dyDescent="0.25">
      <c r="A180" s="1082" t="s">
        <v>1563</v>
      </c>
      <c r="B180" s="1848">
        <v>106104084</v>
      </c>
      <c r="C180" s="1287" t="s">
        <v>1543</v>
      </c>
      <c r="D180" s="1287">
        <v>8536490000</v>
      </c>
      <c r="E180" s="1349" t="s">
        <v>1354</v>
      </c>
      <c r="F180" s="1335" t="s">
        <v>1355</v>
      </c>
      <c r="G180" s="1347"/>
      <c r="H180" s="1347" t="s">
        <v>1104</v>
      </c>
      <c r="I180" s="1347" t="s">
        <v>1104</v>
      </c>
      <c r="J180" s="1347"/>
      <c r="K180" s="1347"/>
      <c r="P180" s="2633">
        <v>106204083</v>
      </c>
      <c r="Q180" s="1383">
        <v>239</v>
      </c>
      <c r="R180" s="99"/>
      <c r="S180" s="99"/>
      <c r="T180" s="99"/>
      <c r="U180" s="99"/>
      <c r="V180" s="99"/>
    </row>
    <row r="181" spans="1:22" x14ac:dyDescent="0.25">
      <c r="A181" s="1082" t="s">
        <v>1699</v>
      </c>
      <c r="B181" s="1848">
        <v>106104092</v>
      </c>
      <c r="C181" s="1288" t="s">
        <v>1700</v>
      </c>
      <c r="D181" s="1287">
        <v>8536490000</v>
      </c>
      <c r="E181" s="1349" t="s">
        <v>1361</v>
      </c>
      <c r="F181" s="1335" t="s">
        <v>1362</v>
      </c>
      <c r="G181" s="1347"/>
      <c r="H181" s="1347" t="s">
        <v>1104</v>
      </c>
      <c r="I181" s="1347" t="s">
        <v>1104</v>
      </c>
      <c r="J181" s="1347"/>
      <c r="K181" s="1347"/>
      <c r="P181" s="2633" t="s">
        <v>1567</v>
      </c>
      <c r="Q181" s="1383">
        <v>52.17</v>
      </c>
    </row>
    <row r="182" spans="1:22" s="794" customFormat="1" x14ac:dyDescent="0.25">
      <c r="A182" s="1285" t="s">
        <v>1701</v>
      </c>
      <c r="B182" s="1848">
        <v>106104093</v>
      </c>
      <c r="C182" s="1287" t="s">
        <v>1536</v>
      </c>
      <c r="D182" s="1287">
        <v>8536490000</v>
      </c>
      <c r="E182" s="1349" t="s">
        <v>1702</v>
      </c>
      <c r="F182" s="1335" t="s">
        <v>1703</v>
      </c>
      <c r="G182" s="1083" t="s">
        <v>1104</v>
      </c>
      <c r="H182" s="1347" t="s">
        <v>1104</v>
      </c>
      <c r="I182" s="1083"/>
      <c r="J182" s="1083"/>
      <c r="K182" s="1083"/>
      <c r="L182" s="2633"/>
      <c r="M182" s="1347"/>
      <c r="N182" s="3923"/>
      <c r="O182" s="2633"/>
      <c r="P182" s="2633" t="s">
        <v>1551</v>
      </c>
      <c r="Q182" s="1383"/>
      <c r="R182" s="1383"/>
      <c r="S182" s="1383"/>
      <c r="T182" s="1383"/>
      <c r="U182" s="1383"/>
      <c r="V182" s="1383"/>
    </row>
    <row r="183" spans="1:22" x14ac:dyDescent="0.25">
      <c r="A183" s="1082" t="s">
        <v>1565</v>
      </c>
      <c r="B183" s="1848">
        <v>106104094</v>
      </c>
      <c r="C183" s="1287" t="s">
        <v>1536</v>
      </c>
      <c r="D183" s="1287">
        <v>8536490000</v>
      </c>
      <c r="E183" s="1349" t="s">
        <v>1575</v>
      </c>
      <c r="F183" s="1335" t="s">
        <v>1576</v>
      </c>
      <c r="G183" s="1347"/>
      <c r="H183" s="1347" t="s">
        <v>1104</v>
      </c>
      <c r="I183" s="1347" t="s">
        <v>1104</v>
      </c>
      <c r="J183" s="1347"/>
      <c r="K183" s="1347"/>
      <c r="M183" s="1347"/>
      <c r="P183" s="2633">
        <v>106204083</v>
      </c>
      <c r="Q183" s="86">
        <v>10</v>
      </c>
    </row>
    <row r="184" spans="1:22" ht="30" x14ac:dyDescent="0.25">
      <c r="A184" s="1082" t="s">
        <v>473</v>
      </c>
      <c r="B184" s="1848">
        <v>106104096</v>
      </c>
      <c r="C184" s="1287" t="s">
        <v>1537</v>
      </c>
      <c r="D184" s="1287">
        <v>8536490000</v>
      </c>
      <c r="E184" s="1349" t="s">
        <v>1704</v>
      </c>
      <c r="F184" s="1339" t="s">
        <v>1705</v>
      </c>
      <c r="G184" s="1347"/>
      <c r="H184" s="1347" t="s">
        <v>1104</v>
      </c>
      <c r="I184" s="1347"/>
      <c r="J184" s="1347"/>
      <c r="K184" s="1347"/>
    </row>
    <row r="185" spans="1:22" x14ac:dyDescent="0.25">
      <c r="A185" s="1084" t="s">
        <v>315</v>
      </c>
      <c r="B185" s="1848">
        <v>106104110</v>
      </c>
      <c r="C185" s="1287" t="s">
        <v>1486</v>
      </c>
      <c r="D185" s="1287">
        <v>8536490000</v>
      </c>
      <c r="E185" s="1349" t="s">
        <v>1712</v>
      </c>
      <c r="F185" s="1335" t="s">
        <v>1712</v>
      </c>
      <c r="G185" s="1347"/>
      <c r="H185" s="1347" t="s">
        <v>1104</v>
      </c>
      <c r="I185" s="1347"/>
      <c r="J185" s="1347"/>
      <c r="K185" s="1347"/>
      <c r="Q185" s="1383">
        <v>679</v>
      </c>
    </row>
    <row r="186" spans="1:22" x14ac:dyDescent="0.25">
      <c r="A186" s="1082" t="s">
        <v>21</v>
      </c>
      <c r="B186" s="1848">
        <v>106104113</v>
      </c>
      <c r="C186" s="1287" t="s">
        <v>1480</v>
      </c>
      <c r="D186" s="1287">
        <v>8536490000</v>
      </c>
      <c r="E186" s="1349" t="s">
        <v>1713</v>
      </c>
      <c r="F186" s="1335" t="s">
        <v>1713</v>
      </c>
      <c r="G186" s="1347" t="s">
        <v>1104</v>
      </c>
      <c r="H186" s="1347"/>
      <c r="I186" s="1347"/>
      <c r="J186" s="1347"/>
      <c r="K186" s="1347"/>
    </row>
    <row r="187" spans="1:22" x14ac:dyDescent="0.25">
      <c r="A187" s="1082" t="s">
        <v>61</v>
      </c>
      <c r="B187" s="1848">
        <v>106104116</v>
      </c>
      <c r="C187" s="1287" t="s">
        <v>1485</v>
      </c>
      <c r="D187" s="1287">
        <v>8536490000</v>
      </c>
      <c r="E187" s="1349" t="s">
        <v>1714</v>
      </c>
      <c r="F187" s="1335" t="s">
        <v>1714</v>
      </c>
      <c r="G187" s="1347" t="s">
        <v>1104</v>
      </c>
      <c r="H187" s="1347"/>
      <c r="I187" s="1347"/>
      <c r="J187" s="1347"/>
      <c r="K187" s="1347"/>
    </row>
    <row r="188" spans="1:22" x14ac:dyDescent="0.25">
      <c r="A188" s="1084" t="s">
        <v>315</v>
      </c>
      <c r="B188" s="1848">
        <v>106104119</v>
      </c>
      <c r="C188" s="1287" t="s">
        <v>1532</v>
      </c>
      <c r="D188" s="1287">
        <v>8536490000</v>
      </c>
      <c r="E188" s="1349" t="s">
        <v>1363</v>
      </c>
      <c r="F188" s="1335" t="s">
        <v>1363</v>
      </c>
      <c r="G188" s="1083"/>
      <c r="H188" s="1347" t="s">
        <v>1104</v>
      </c>
      <c r="I188" s="1083" t="s">
        <v>1104</v>
      </c>
      <c r="J188" s="1083"/>
      <c r="K188" s="1083"/>
      <c r="N188" s="275"/>
      <c r="O188" s="1347"/>
      <c r="P188" s="1347">
        <v>106204083</v>
      </c>
      <c r="Q188" s="99">
        <v>1627</v>
      </c>
    </row>
    <row r="189" spans="1:22" x14ac:dyDescent="0.25">
      <c r="A189" s="1082" t="s">
        <v>102</v>
      </c>
      <c r="B189" s="1848">
        <v>106104126</v>
      </c>
      <c r="C189" s="1287" t="s">
        <v>1715</v>
      </c>
      <c r="D189" s="1287">
        <v>8536490000</v>
      </c>
      <c r="E189" s="1349" t="s">
        <v>1505</v>
      </c>
      <c r="F189" s="1335" t="s">
        <v>1506</v>
      </c>
      <c r="G189" s="1347"/>
      <c r="H189" s="1347" t="s">
        <v>1104</v>
      </c>
      <c r="I189" s="1347" t="s">
        <v>1104</v>
      </c>
      <c r="J189" s="1347"/>
      <c r="K189" s="1347"/>
      <c r="N189" s="3924"/>
      <c r="O189" s="3927"/>
      <c r="P189" s="3927">
        <v>106204083</v>
      </c>
      <c r="Q189" s="3926">
        <v>53.35</v>
      </c>
    </row>
    <row r="190" spans="1:22" ht="45" x14ac:dyDescent="0.25">
      <c r="A190" s="1084" t="s">
        <v>315</v>
      </c>
      <c r="B190" s="1848">
        <v>106104127</v>
      </c>
      <c r="C190" s="1287" t="s">
        <v>1716</v>
      </c>
      <c r="D190" s="1287">
        <v>8536490000</v>
      </c>
      <c r="E190" s="1348" t="s">
        <v>1717</v>
      </c>
      <c r="F190" s="1335" t="s">
        <v>1718</v>
      </c>
      <c r="G190" s="1347"/>
      <c r="H190" s="1347" t="s">
        <v>1104</v>
      </c>
      <c r="I190" s="1347"/>
      <c r="J190" s="1347"/>
      <c r="K190" s="1347"/>
    </row>
    <row r="191" spans="1:22" s="411" customFormat="1" ht="15.75" customHeight="1" x14ac:dyDescent="0.25">
      <c r="A191" s="1082" t="s">
        <v>1566</v>
      </c>
      <c r="B191" s="1848">
        <v>106104128</v>
      </c>
      <c r="C191" s="1563" t="s">
        <v>1719</v>
      </c>
      <c r="D191" s="1287">
        <v>8536490000</v>
      </c>
      <c r="E191" s="1349" t="s">
        <v>1720</v>
      </c>
      <c r="F191" s="1335" t="s">
        <v>1721</v>
      </c>
      <c r="G191" s="1347"/>
      <c r="H191" s="1347" t="s">
        <v>1104</v>
      </c>
      <c r="I191" s="1347"/>
      <c r="J191" s="1347"/>
      <c r="K191" s="1347"/>
      <c r="L191" s="2633"/>
      <c r="M191" s="2633"/>
      <c r="N191" s="3924"/>
      <c r="O191" s="3927"/>
      <c r="P191" s="3927"/>
      <c r="Q191" s="3926"/>
      <c r="R191" s="1383"/>
      <c r="S191" s="1383"/>
      <c r="T191" s="1383"/>
      <c r="U191" s="1383"/>
      <c r="V191" s="1383"/>
    </row>
    <row r="192" spans="1:22" s="86" customFormat="1" x14ac:dyDescent="0.25">
      <c r="A192" s="1288" t="s">
        <v>1724</v>
      </c>
      <c r="B192" s="1848">
        <v>106104130</v>
      </c>
      <c r="C192" s="1288" t="s">
        <v>1725</v>
      </c>
      <c r="D192" s="1287">
        <v>8536490000</v>
      </c>
      <c r="E192" s="1549" t="s">
        <v>1726</v>
      </c>
      <c r="F192" s="1550" t="s">
        <v>1727</v>
      </c>
      <c r="G192" s="275" t="s">
        <v>1104</v>
      </c>
      <c r="H192" s="275"/>
      <c r="I192" s="275"/>
      <c r="J192" s="275"/>
      <c r="K192" s="275"/>
      <c r="L192" s="751"/>
      <c r="M192" s="3923"/>
      <c r="N192" s="3923"/>
      <c r="O192" s="3923"/>
      <c r="P192" s="3923"/>
      <c r="Q192" s="794"/>
      <c r="R192" s="794"/>
      <c r="S192" s="794"/>
      <c r="T192" s="794"/>
      <c r="U192" s="794"/>
      <c r="V192" s="794"/>
    </row>
    <row r="193" spans="1:22" x14ac:dyDescent="0.25">
      <c r="A193" s="1082" t="s">
        <v>21</v>
      </c>
      <c r="B193" s="1848">
        <v>106110160</v>
      </c>
      <c r="C193" s="1287" t="s">
        <v>1482</v>
      </c>
      <c r="D193" s="1287">
        <v>8536490000</v>
      </c>
      <c r="E193" s="1349" t="s">
        <v>1819</v>
      </c>
      <c r="F193" s="1335" t="s">
        <v>1819</v>
      </c>
      <c r="G193" s="1347" t="s">
        <v>1104</v>
      </c>
      <c r="H193" s="1347"/>
      <c r="I193" s="1347"/>
      <c r="J193" s="1347"/>
      <c r="K193" s="1347"/>
      <c r="L193" s="3927"/>
    </row>
    <row r="194" spans="1:22" x14ac:dyDescent="0.25">
      <c r="A194" s="1349" t="s">
        <v>1564</v>
      </c>
      <c r="B194" s="1848">
        <v>106113578</v>
      </c>
      <c r="C194" s="1287" t="s">
        <v>1257</v>
      </c>
      <c r="D194" s="1287">
        <v>8536490000</v>
      </c>
      <c r="E194" s="1349" t="s">
        <v>1258</v>
      </c>
      <c r="F194" s="1335" t="s">
        <v>1258</v>
      </c>
      <c r="G194" s="1347"/>
      <c r="H194" s="1347" t="s">
        <v>1104</v>
      </c>
      <c r="I194" s="1347"/>
      <c r="J194" s="1347"/>
      <c r="K194" s="1347"/>
      <c r="R194" s="1115"/>
      <c r="S194" s="1115"/>
      <c r="T194" s="1115"/>
      <c r="U194" s="1115"/>
      <c r="V194" s="1115"/>
    </row>
    <row r="195" spans="1:22" x14ac:dyDescent="0.25">
      <c r="A195" s="2352" t="s">
        <v>97</v>
      </c>
      <c r="B195" s="2353">
        <v>106113580</v>
      </c>
      <c r="C195" s="2354" t="s">
        <v>1426</v>
      </c>
      <c r="D195" s="1287">
        <v>8536490000</v>
      </c>
      <c r="E195" s="1349" t="s">
        <v>1476</v>
      </c>
      <c r="F195" s="1336" t="s">
        <v>1477</v>
      </c>
      <c r="G195" s="1280"/>
      <c r="H195" s="1280" t="s">
        <v>1104</v>
      </c>
      <c r="I195" s="1280" t="s">
        <v>1104</v>
      </c>
      <c r="J195" s="1280"/>
      <c r="K195" s="1280"/>
      <c r="L195" s="2122"/>
      <c r="M195" s="142"/>
      <c r="N195" s="751"/>
      <c r="O195" s="142" t="s">
        <v>649</v>
      </c>
      <c r="P195" s="142"/>
      <c r="Q195" s="1351"/>
      <c r="R195" s="1351"/>
      <c r="S195" s="1351"/>
      <c r="T195" s="1351"/>
      <c r="U195" s="1351"/>
      <c r="V195" s="1351"/>
    </row>
    <row r="196" spans="1:22" ht="45" x14ac:dyDescent="0.25">
      <c r="A196" s="2360" t="s">
        <v>67</v>
      </c>
      <c r="B196" s="2353">
        <v>106113588</v>
      </c>
      <c r="C196" s="2354" t="s">
        <v>1261</v>
      </c>
      <c r="D196" s="1287">
        <v>8536490000</v>
      </c>
      <c r="E196" s="1348" t="s">
        <v>1710</v>
      </c>
      <c r="F196" s="1336" t="s">
        <v>1711</v>
      </c>
      <c r="G196" s="1280"/>
      <c r="H196" s="1280" t="s">
        <v>1104</v>
      </c>
      <c r="I196" s="1280"/>
      <c r="J196" s="1280"/>
      <c r="K196" s="1280"/>
      <c r="L196" s="1280"/>
      <c r="M196" s="142"/>
      <c r="N196" s="751"/>
      <c r="O196" s="142"/>
      <c r="P196" s="142" t="s">
        <v>1550</v>
      </c>
      <c r="Q196" s="1351"/>
      <c r="R196" s="1351"/>
      <c r="S196" s="1351"/>
      <c r="T196" s="1351"/>
      <c r="U196" s="1351"/>
      <c r="V196" s="1351"/>
    </row>
    <row r="197" spans="1:22" x14ac:dyDescent="0.25">
      <c r="A197" s="2360" t="s">
        <v>340</v>
      </c>
      <c r="B197" s="2353">
        <v>106113636</v>
      </c>
      <c r="C197" s="2354" t="s">
        <v>1874</v>
      </c>
      <c r="D197" s="1287">
        <v>8536490000</v>
      </c>
      <c r="E197" s="1349" t="s">
        <v>1273</v>
      </c>
      <c r="F197" s="1336" t="s">
        <v>1274</v>
      </c>
      <c r="G197" s="1280"/>
      <c r="H197" s="1280" t="s">
        <v>1104</v>
      </c>
      <c r="I197" s="1280"/>
      <c r="J197" s="1280"/>
      <c r="K197" s="1280"/>
      <c r="L197" s="142"/>
      <c r="M197" s="2121"/>
      <c r="N197" s="751"/>
      <c r="O197" s="142"/>
      <c r="P197" s="142">
        <v>106113623</v>
      </c>
      <c r="Q197" s="1351"/>
      <c r="R197" s="1351"/>
      <c r="S197" s="1351"/>
      <c r="T197" s="1351"/>
      <c r="U197" s="1351"/>
      <c r="V197" s="1351"/>
    </row>
    <row r="198" spans="1:22" x14ac:dyDescent="0.25">
      <c r="A198" s="1082" t="s">
        <v>21</v>
      </c>
      <c r="B198" s="1848">
        <v>106113689</v>
      </c>
      <c r="C198" s="1287" t="s">
        <v>1483</v>
      </c>
      <c r="D198" s="1287">
        <v>8536490000</v>
      </c>
      <c r="E198" s="1349" t="s">
        <v>1876</v>
      </c>
      <c r="F198" s="1335" t="s">
        <v>1876</v>
      </c>
      <c r="G198" s="1347" t="s">
        <v>1104</v>
      </c>
      <c r="H198" s="1347"/>
      <c r="I198" s="1347"/>
      <c r="J198" s="1347"/>
      <c r="K198" s="1347"/>
    </row>
    <row r="199" spans="1:22" s="794" customFormat="1" x14ac:dyDescent="0.25">
      <c r="A199" s="1082" t="s">
        <v>21</v>
      </c>
      <c r="B199" s="1848">
        <v>106114215</v>
      </c>
      <c r="C199" s="1287" t="s">
        <v>1481</v>
      </c>
      <c r="D199" s="1287">
        <v>8536490000</v>
      </c>
      <c r="E199" s="1349" t="s">
        <v>1881</v>
      </c>
      <c r="F199" s="1335" t="s">
        <v>1881</v>
      </c>
      <c r="G199" s="1347" t="s">
        <v>1104</v>
      </c>
      <c r="H199" s="1347"/>
      <c r="I199" s="1347"/>
      <c r="J199" s="1347"/>
      <c r="K199" s="1347"/>
      <c r="L199" s="2633"/>
      <c r="M199" s="3922"/>
      <c r="N199" s="3923"/>
      <c r="O199" s="2633"/>
      <c r="P199" s="2633"/>
      <c r="Q199" s="1383"/>
      <c r="R199" s="86"/>
      <c r="S199" s="86"/>
      <c r="T199" s="86"/>
      <c r="U199" s="86"/>
      <c r="V199" s="86"/>
    </row>
    <row r="200" spans="1:22" s="794" customFormat="1" x14ac:dyDescent="0.25">
      <c r="A200" s="1082" t="s">
        <v>21</v>
      </c>
      <c r="B200" s="1848">
        <v>106114255</v>
      </c>
      <c r="C200" s="1287" t="s">
        <v>1484</v>
      </c>
      <c r="D200" s="1287">
        <v>8536490000</v>
      </c>
      <c r="E200" s="1349" t="s">
        <v>1882</v>
      </c>
      <c r="F200" s="1335" t="s">
        <v>1882</v>
      </c>
      <c r="G200" s="1347" t="s">
        <v>1104</v>
      </c>
      <c r="H200" s="1273"/>
      <c r="I200" s="1274"/>
      <c r="J200" s="1274"/>
      <c r="K200" s="1274"/>
      <c r="L200" s="142"/>
      <c r="M200" s="2633"/>
      <c r="N200" s="3923"/>
      <c r="O200" s="2633"/>
      <c r="P200" s="2633"/>
      <c r="Q200" s="1383"/>
      <c r="R200" s="1383"/>
      <c r="S200" s="1383"/>
      <c r="T200" s="1383"/>
      <c r="U200" s="1383"/>
      <c r="V200" s="1383"/>
    </row>
    <row r="201" spans="1:22" ht="30" x14ac:dyDescent="0.25">
      <c r="A201" s="2360" t="s">
        <v>1272</v>
      </c>
      <c r="B201" s="2353">
        <v>106114790</v>
      </c>
      <c r="C201" s="2354" t="s">
        <v>1889</v>
      </c>
      <c r="D201" s="1287">
        <v>8536490000</v>
      </c>
      <c r="E201" s="1349" t="s">
        <v>1369</v>
      </c>
      <c r="F201" s="1336" t="s">
        <v>2580</v>
      </c>
      <c r="G201" s="1280"/>
      <c r="H201" s="1280" t="s">
        <v>1104</v>
      </c>
      <c r="I201" s="1280"/>
      <c r="J201" s="1280"/>
      <c r="K201" s="1280"/>
      <c r="L201" s="142"/>
      <c r="M201" s="2121"/>
      <c r="N201" s="751"/>
      <c r="O201" s="142"/>
      <c r="P201" s="142">
        <v>106113623</v>
      </c>
      <c r="Q201" s="1351"/>
      <c r="R201" s="1351"/>
      <c r="S201" s="1351"/>
      <c r="T201" s="1351"/>
      <c r="U201" s="1351"/>
      <c r="V201" s="1351"/>
    </row>
    <row r="202" spans="1:22" x14ac:dyDescent="0.25">
      <c r="A202" s="1082" t="s">
        <v>1590</v>
      </c>
      <c r="B202" s="1848">
        <v>106118326</v>
      </c>
      <c r="C202" s="291" t="s">
        <v>2413</v>
      </c>
      <c r="D202" s="1287">
        <v>8536490000</v>
      </c>
      <c r="E202" s="1358" t="s">
        <v>2313</v>
      </c>
      <c r="F202" s="1356" t="s">
        <v>2314</v>
      </c>
      <c r="G202" s="1383"/>
      <c r="J202" s="2633" t="s">
        <v>1104</v>
      </c>
    </row>
    <row r="203" spans="1:22" x14ac:dyDescent="0.25">
      <c r="A203" s="1082" t="s">
        <v>301</v>
      </c>
      <c r="B203" s="1848">
        <v>106118330</v>
      </c>
      <c r="C203" s="291" t="s">
        <v>2415</v>
      </c>
      <c r="D203" s="1287">
        <v>8536490000</v>
      </c>
      <c r="E203" s="1358" t="s">
        <v>1706</v>
      </c>
      <c r="F203" s="1356" t="s">
        <v>2325</v>
      </c>
      <c r="G203" s="1383"/>
      <c r="J203" s="2633" t="s">
        <v>1104</v>
      </c>
    </row>
    <row r="204" spans="1:22" x14ac:dyDescent="0.25">
      <c r="A204" s="1082" t="s">
        <v>1590</v>
      </c>
      <c r="B204" s="1848">
        <v>106118341</v>
      </c>
      <c r="C204" s="291" t="s">
        <v>2418</v>
      </c>
      <c r="D204" s="1287">
        <v>8536490000</v>
      </c>
      <c r="E204" s="1358" t="s">
        <v>2397</v>
      </c>
      <c r="F204" s="1356" t="s">
        <v>2398</v>
      </c>
      <c r="G204" s="1383"/>
      <c r="J204" s="2633" t="s">
        <v>1104</v>
      </c>
      <c r="P204" s="2633" t="s">
        <v>1549</v>
      </c>
    </row>
    <row r="205" spans="1:22" x14ac:dyDescent="0.25">
      <c r="A205" s="1082" t="s">
        <v>21</v>
      </c>
      <c r="B205" s="2353">
        <v>106203894</v>
      </c>
      <c r="C205" s="2354" t="s">
        <v>1255</v>
      </c>
      <c r="D205" s="1287">
        <v>8536490000</v>
      </c>
      <c r="E205" s="1349" t="s">
        <v>1253</v>
      </c>
      <c r="F205" s="1336" t="s">
        <v>1254</v>
      </c>
      <c r="G205" s="1280"/>
      <c r="H205" s="1280" t="s">
        <v>1104</v>
      </c>
      <c r="I205" s="1280" t="s">
        <v>1104</v>
      </c>
      <c r="J205" s="1280"/>
      <c r="K205" s="1280"/>
      <c r="L205" s="142"/>
      <c r="M205" s="142"/>
      <c r="N205" s="751"/>
      <c r="O205" s="142">
        <v>106113580</v>
      </c>
      <c r="P205" s="142" t="s">
        <v>1549</v>
      </c>
      <c r="Q205" s="1286"/>
      <c r="R205" s="1351"/>
      <c r="S205" s="1351"/>
      <c r="T205" s="1351"/>
      <c r="U205" s="1351"/>
      <c r="V205" s="1351"/>
    </row>
    <row r="206" spans="1:22" x14ac:dyDescent="0.25">
      <c r="A206" s="2352" t="s">
        <v>21</v>
      </c>
      <c r="B206" s="2353">
        <v>106204083</v>
      </c>
      <c r="C206" s="2354" t="s">
        <v>1250</v>
      </c>
      <c r="D206" s="1287">
        <v>8536490000</v>
      </c>
      <c r="E206" s="1349" t="s">
        <v>1357</v>
      </c>
      <c r="F206" s="1336" t="s">
        <v>1358</v>
      </c>
      <c r="G206" s="1280"/>
      <c r="H206" s="1280" t="s">
        <v>1104</v>
      </c>
      <c r="I206" s="1280"/>
      <c r="J206" s="1280"/>
      <c r="K206" s="1280"/>
      <c r="L206" s="142"/>
      <c r="M206" s="142"/>
      <c r="N206" s="751"/>
      <c r="O206" s="142">
        <v>106113580</v>
      </c>
      <c r="P206" s="142" t="s">
        <v>1549</v>
      </c>
      <c r="Q206" s="1351">
        <v>1627</v>
      </c>
      <c r="R206" s="1351"/>
      <c r="S206" s="1351"/>
      <c r="T206" s="1351"/>
      <c r="U206" s="1351"/>
      <c r="V206" s="1351"/>
    </row>
    <row r="207" spans="1:22" x14ac:dyDescent="0.25">
      <c r="A207" s="48" t="s">
        <v>71</v>
      </c>
      <c r="B207" s="1848">
        <v>106119673</v>
      </c>
      <c r="C207" s="1358" t="s">
        <v>3004</v>
      </c>
      <c r="D207" s="1287">
        <v>8536490000</v>
      </c>
      <c r="E207" s="1383" t="s">
        <v>2807</v>
      </c>
      <c r="F207" s="1356" t="s">
        <v>2808</v>
      </c>
      <c r="I207" s="2633" t="s">
        <v>1104</v>
      </c>
      <c r="K207" s="2633" t="s">
        <v>1104</v>
      </c>
      <c r="L207" s="3923"/>
      <c r="M207" s="142"/>
      <c r="N207" s="2633"/>
      <c r="P207" s="1848">
        <v>106206437</v>
      </c>
    </row>
    <row r="208" spans="1:22" x14ac:dyDescent="0.25">
      <c r="A208" s="48" t="s">
        <v>71</v>
      </c>
      <c r="B208" s="1848">
        <v>106118750</v>
      </c>
      <c r="C208" s="1358" t="s">
        <v>1700</v>
      </c>
      <c r="D208" s="1287">
        <v>8536490000</v>
      </c>
      <c r="E208" s="1383" t="s">
        <v>2514</v>
      </c>
      <c r="F208" s="1356" t="s">
        <v>2539</v>
      </c>
      <c r="I208" s="2633" t="s">
        <v>1104</v>
      </c>
      <c r="L208" s="3923"/>
      <c r="M208" s="142"/>
      <c r="N208" s="2633"/>
      <c r="P208" s="1848">
        <v>106204782</v>
      </c>
    </row>
    <row r="209" spans="1:22" x14ac:dyDescent="0.25">
      <c r="A209" s="48" t="s">
        <v>3109</v>
      </c>
      <c r="B209" s="1848">
        <v>106119150</v>
      </c>
      <c r="C209" s="1358" t="s">
        <v>3224</v>
      </c>
      <c r="D209" s="1287">
        <v>8536490000</v>
      </c>
      <c r="E209" s="1383" t="s">
        <v>3110</v>
      </c>
      <c r="F209" s="1356" t="s">
        <v>3110</v>
      </c>
      <c r="I209" s="2633" t="s">
        <v>1104</v>
      </c>
      <c r="L209" s="3923"/>
      <c r="M209" s="142"/>
      <c r="N209" s="2633"/>
      <c r="O209" s="2633" t="s">
        <v>649</v>
      </c>
      <c r="P209" s="1848"/>
    </row>
    <row r="210" spans="1:22" x14ac:dyDescent="0.25">
      <c r="A210" s="48" t="s">
        <v>2486</v>
      </c>
      <c r="B210" s="1848">
        <v>106125296</v>
      </c>
      <c r="C210" s="1358" t="s">
        <v>3118</v>
      </c>
      <c r="D210" s="1287">
        <v>8536490000</v>
      </c>
      <c r="E210" s="1383" t="s">
        <v>2587</v>
      </c>
      <c r="F210" s="1356" t="s">
        <v>2587</v>
      </c>
      <c r="I210" s="2633" t="s">
        <v>1104</v>
      </c>
      <c r="L210" s="3923"/>
      <c r="M210" s="142"/>
      <c r="N210" s="2633"/>
      <c r="P210" s="1848"/>
    </row>
    <row r="211" spans="1:22" s="1351" customFormat="1" x14ac:dyDescent="0.25">
      <c r="A211" s="48" t="s">
        <v>21</v>
      </c>
      <c r="B211" s="1848">
        <v>106101050</v>
      </c>
      <c r="C211" s="1358" t="s">
        <v>3295</v>
      </c>
      <c r="D211" s="1287">
        <v>8536490000</v>
      </c>
      <c r="E211" s="1383" t="s">
        <v>2924</v>
      </c>
      <c r="F211" s="1356" t="s">
        <v>2925</v>
      </c>
      <c r="G211" s="2633"/>
      <c r="H211" s="2633"/>
      <c r="I211" s="2633"/>
      <c r="J211" s="2633"/>
      <c r="K211" s="2633" t="s">
        <v>1104</v>
      </c>
      <c r="L211" s="3923"/>
      <c r="M211" s="142"/>
      <c r="N211" s="2633"/>
      <c r="O211" s="2633"/>
      <c r="P211" s="1848"/>
      <c r="Q211" s="1383"/>
      <c r="R211" s="1383"/>
      <c r="S211" s="1383"/>
      <c r="T211" s="1383"/>
      <c r="U211" s="1383"/>
      <c r="V211" s="1383"/>
    </row>
    <row r="212" spans="1:22" s="1351" customFormat="1" x14ac:dyDescent="0.25">
      <c r="A212" s="48" t="s">
        <v>2283</v>
      </c>
      <c r="B212" s="1848">
        <v>106206387</v>
      </c>
      <c r="C212" s="1358" t="s">
        <v>3297</v>
      </c>
      <c r="D212" s="1287">
        <v>8536490000</v>
      </c>
      <c r="E212" s="1383" t="s">
        <v>2926</v>
      </c>
      <c r="F212" s="1356" t="s">
        <v>2927</v>
      </c>
      <c r="G212" s="2633"/>
      <c r="H212" s="2633"/>
      <c r="I212" s="2633"/>
      <c r="J212" s="2633"/>
      <c r="K212" s="2633" t="s">
        <v>1104</v>
      </c>
      <c r="L212" s="3923"/>
      <c r="M212" s="142"/>
      <c r="N212" s="2633"/>
      <c r="O212" s="2633"/>
      <c r="P212" s="2633" t="s">
        <v>1549</v>
      </c>
      <c r="Q212" s="1383"/>
      <c r="R212" s="1383"/>
      <c r="S212" s="1383"/>
      <c r="T212" s="1383"/>
      <c r="U212" s="1383"/>
      <c r="V212" s="1383"/>
    </row>
    <row r="213" spans="1:22" s="1351" customFormat="1" ht="30" x14ac:dyDescent="0.25">
      <c r="A213" s="1082"/>
      <c r="B213" s="1848">
        <v>106105697</v>
      </c>
      <c r="C213" s="1287" t="s">
        <v>1216</v>
      </c>
      <c r="D213" s="1287">
        <v>8536301090</v>
      </c>
      <c r="E213" s="1349" t="s">
        <v>1275</v>
      </c>
      <c r="F213" s="1335" t="s">
        <v>1276</v>
      </c>
      <c r="G213" s="2633" t="s">
        <v>1104</v>
      </c>
      <c r="H213" s="2633"/>
      <c r="I213" s="2633"/>
      <c r="J213" s="2633"/>
      <c r="K213" s="2633"/>
      <c r="L213" s="2633"/>
      <c r="M213" s="378"/>
      <c r="N213" s="3923"/>
      <c r="O213" s="2633"/>
      <c r="P213" s="2633"/>
      <c r="Q213" s="1383"/>
      <c r="R213" s="99"/>
      <c r="S213" s="99"/>
      <c r="T213" s="99"/>
      <c r="U213" s="99"/>
      <c r="V213" s="99"/>
    </row>
    <row r="214" spans="1:22" s="1351" customFormat="1" x14ac:dyDescent="0.25">
      <c r="A214" s="1082"/>
      <c r="B214" s="1848">
        <v>106105698</v>
      </c>
      <c r="C214" s="1287" t="s">
        <v>1218</v>
      </c>
      <c r="D214" s="1287">
        <v>8536301090</v>
      </c>
      <c r="E214" s="1349" t="s">
        <v>1560</v>
      </c>
      <c r="F214" s="1335" t="s">
        <v>1561</v>
      </c>
      <c r="G214" s="2633" t="s">
        <v>1104</v>
      </c>
      <c r="H214" s="2633"/>
      <c r="I214" s="2633"/>
      <c r="J214" s="2633"/>
      <c r="K214" s="2633"/>
      <c r="L214" s="2633"/>
      <c r="M214" s="378"/>
      <c r="N214" s="3923"/>
      <c r="O214" s="2633"/>
      <c r="P214" s="2633"/>
      <c r="Q214" s="1383"/>
      <c r="R214" s="99"/>
      <c r="S214" s="99"/>
      <c r="T214" s="99"/>
      <c r="U214" s="99"/>
      <c r="V214" s="99"/>
    </row>
    <row r="215" spans="1:22" s="1351" customFormat="1" x14ac:dyDescent="0.25">
      <c r="A215" s="2352"/>
      <c r="B215" s="2353">
        <v>106112878</v>
      </c>
      <c r="C215" s="2354" t="s">
        <v>1557</v>
      </c>
      <c r="D215" s="1287">
        <v>8536301090</v>
      </c>
      <c r="E215" s="1349" t="s">
        <v>1558</v>
      </c>
      <c r="F215" s="1336" t="s">
        <v>1559</v>
      </c>
      <c r="G215" s="1280" t="s">
        <v>1104</v>
      </c>
      <c r="H215" s="1280" t="s">
        <v>1104</v>
      </c>
      <c r="I215" s="1280" t="s">
        <v>1104</v>
      </c>
      <c r="J215" s="1280"/>
      <c r="K215" s="1280"/>
      <c r="L215" s="751"/>
      <c r="M215" s="2122"/>
      <c r="N215" s="751"/>
      <c r="O215" s="142"/>
      <c r="P215" s="142"/>
    </row>
    <row r="216" spans="1:22" s="1351" customFormat="1" x14ac:dyDescent="0.25">
      <c r="A216" s="48" t="s">
        <v>2891</v>
      </c>
      <c r="B216" s="1848">
        <v>106105692</v>
      </c>
      <c r="C216" s="1358" t="s">
        <v>3209</v>
      </c>
      <c r="D216" s="1287">
        <v>8536301090</v>
      </c>
      <c r="E216" s="1383" t="s">
        <v>3210</v>
      </c>
      <c r="F216" s="1356" t="s">
        <v>3211</v>
      </c>
      <c r="G216" s="2633"/>
      <c r="H216" s="2633"/>
      <c r="I216" s="2633"/>
      <c r="J216" s="2633"/>
      <c r="K216" s="2633" t="s">
        <v>1104</v>
      </c>
      <c r="L216" s="3923"/>
      <c r="M216" s="142"/>
      <c r="N216" s="2633"/>
      <c r="O216" s="2633"/>
      <c r="P216" s="1848"/>
      <c r="Q216" s="1383"/>
      <c r="R216" s="1383"/>
      <c r="S216" s="1383"/>
      <c r="T216" s="1383"/>
      <c r="U216" s="1383"/>
      <c r="V216" s="1383"/>
    </row>
    <row r="217" spans="1:22" s="1351" customFormat="1" x14ac:dyDescent="0.25">
      <c r="A217" s="48" t="s">
        <v>2803</v>
      </c>
      <c r="B217" s="1848">
        <v>106116452</v>
      </c>
      <c r="C217" s="1358" t="s">
        <v>3001</v>
      </c>
      <c r="D217" s="1287">
        <v>8536301090</v>
      </c>
      <c r="E217" s="1383" t="s">
        <v>2814</v>
      </c>
      <c r="F217" s="1356" t="s">
        <v>2813</v>
      </c>
      <c r="G217" s="2633"/>
      <c r="H217" s="2633"/>
      <c r="I217" s="2633" t="s">
        <v>1104</v>
      </c>
      <c r="J217" s="2633"/>
      <c r="K217" s="2633" t="s">
        <v>1104</v>
      </c>
      <c r="L217" s="3923"/>
      <c r="M217" s="142"/>
      <c r="N217" s="2633"/>
      <c r="O217" s="2633" t="s">
        <v>649</v>
      </c>
      <c r="P217" s="1848"/>
      <c r="Q217" s="1383"/>
      <c r="R217" s="1383"/>
      <c r="S217" s="1383"/>
      <c r="T217" s="1383"/>
      <c r="U217" s="1383"/>
      <c r="V217" s="1383"/>
    </row>
    <row r="218" spans="1:22" s="1351" customFormat="1" x14ac:dyDescent="0.25">
      <c r="A218" s="48" t="s">
        <v>2930</v>
      </c>
      <c r="B218" s="1848">
        <v>106122954</v>
      </c>
      <c r="C218" s="1358" t="s">
        <v>3006</v>
      </c>
      <c r="D218" s="1287">
        <v>8536301090</v>
      </c>
      <c r="E218" s="1383" t="s">
        <v>2773</v>
      </c>
      <c r="F218" s="1356" t="s">
        <v>2774</v>
      </c>
      <c r="G218" s="2633"/>
      <c r="H218" s="2633"/>
      <c r="I218" s="2633" t="s">
        <v>1104</v>
      </c>
      <c r="J218" s="2633"/>
      <c r="K218" s="2633" t="s">
        <v>1104</v>
      </c>
      <c r="L218" s="3923"/>
      <c r="M218" s="142"/>
      <c r="N218" s="2633"/>
      <c r="O218" s="2633"/>
      <c r="P218" s="1848"/>
      <c r="Q218" s="1383"/>
      <c r="R218" s="1383"/>
      <c r="S218" s="1383"/>
      <c r="T218" s="1383"/>
      <c r="U218" s="1383"/>
      <c r="V218" s="1383"/>
    </row>
    <row r="219" spans="1:22" s="1351" customFormat="1" x14ac:dyDescent="0.25">
      <c r="A219" s="48" t="s">
        <v>2895</v>
      </c>
      <c r="B219" s="1848">
        <v>106108526</v>
      </c>
      <c r="C219" s="1358" t="s">
        <v>3286</v>
      </c>
      <c r="D219" s="1287">
        <v>8536301090</v>
      </c>
      <c r="E219" s="1383" t="s">
        <v>2971</v>
      </c>
      <c r="F219" s="1356" t="s">
        <v>2972</v>
      </c>
      <c r="G219" s="2633"/>
      <c r="H219" s="2633"/>
      <c r="I219" s="2633"/>
      <c r="J219" s="2633"/>
      <c r="K219" s="2633"/>
      <c r="L219" s="3923"/>
      <c r="M219" s="142"/>
      <c r="N219" s="2633"/>
      <c r="O219" s="2633"/>
      <c r="P219" s="1848"/>
      <c r="Q219" s="1383"/>
      <c r="R219" s="1383"/>
      <c r="S219" s="1383"/>
      <c r="T219" s="1383"/>
      <c r="U219" s="1383"/>
      <c r="V219" s="1383"/>
    </row>
    <row r="220" spans="1:22" s="1351" customFormat="1" x14ac:dyDescent="0.25">
      <c r="A220" s="48" t="s">
        <v>2805</v>
      </c>
      <c r="B220" s="1848">
        <v>106121538</v>
      </c>
      <c r="C220" s="1358" t="s">
        <v>3298</v>
      </c>
      <c r="D220" s="1287">
        <v>8536301090</v>
      </c>
      <c r="E220" s="1383" t="s">
        <v>2906</v>
      </c>
      <c r="F220" s="1356" t="s">
        <v>2956</v>
      </c>
      <c r="G220" s="2633"/>
      <c r="H220" s="2633"/>
      <c r="I220" s="2633" t="s">
        <v>1104</v>
      </c>
      <c r="J220" s="2633"/>
      <c r="K220" s="2633"/>
      <c r="L220" s="3923"/>
      <c r="M220" s="142"/>
      <c r="N220" s="2633"/>
      <c r="O220" s="2633"/>
      <c r="P220" s="1848"/>
      <c r="Q220" s="1383"/>
      <c r="R220" s="1383"/>
      <c r="S220" s="1383"/>
      <c r="T220" s="1383"/>
      <c r="U220" s="1383"/>
      <c r="V220" s="1383"/>
    </row>
    <row r="221" spans="1:22" x14ac:dyDescent="0.25">
      <c r="A221" s="48" t="s">
        <v>2600</v>
      </c>
      <c r="B221" s="1848">
        <v>106123347</v>
      </c>
      <c r="C221" s="1358" t="s">
        <v>3300</v>
      </c>
      <c r="D221" s="1287">
        <v>8536301090</v>
      </c>
      <c r="E221" s="1383" t="s">
        <v>2816</v>
      </c>
      <c r="F221" s="1356" t="s">
        <v>2817</v>
      </c>
      <c r="I221" s="2633" t="s">
        <v>1104</v>
      </c>
      <c r="L221" s="3923"/>
      <c r="M221" s="142"/>
      <c r="N221" s="2633"/>
      <c r="O221" s="2633" t="s">
        <v>649</v>
      </c>
      <c r="P221" s="1848"/>
    </row>
    <row r="222" spans="1:22" ht="45" x14ac:dyDescent="0.25">
      <c r="A222" s="1084" t="s">
        <v>946</v>
      </c>
      <c r="B222" s="1848">
        <v>106101723</v>
      </c>
      <c r="C222" s="1287" t="s">
        <v>1690</v>
      </c>
      <c r="D222" s="1287">
        <v>8536300000</v>
      </c>
      <c r="E222" s="1348" t="s">
        <v>1691</v>
      </c>
      <c r="F222" s="1335" t="s">
        <v>1692</v>
      </c>
      <c r="G222" s="1347" t="s">
        <v>1104</v>
      </c>
      <c r="H222" s="1347" t="s">
        <v>1104</v>
      </c>
      <c r="I222" s="1347"/>
      <c r="J222" s="1347"/>
      <c r="K222" s="1347"/>
      <c r="L222" s="142"/>
      <c r="M222" s="142"/>
      <c r="N222" s="275"/>
      <c r="O222" s="1347">
        <v>106111795</v>
      </c>
      <c r="P222" s="1347"/>
      <c r="Q222" s="99"/>
    </row>
    <row r="223" spans="1:22" ht="45" x14ac:dyDescent="0.25">
      <c r="A223" s="1082" t="s">
        <v>469</v>
      </c>
      <c r="B223" s="1848">
        <v>106104232</v>
      </c>
      <c r="C223" s="1287" t="s">
        <v>1769</v>
      </c>
      <c r="D223" s="1287">
        <v>8536300000</v>
      </c>
      <c r="E223" s="1348" t="s">
        <v>1770</v>
      </c>
      <c r="F223" s="1335" t="s">
        <v>1771</v>
      </c>
      <c r="G223" s="1347" t="s">
        <v>1104</v>
      </c>
      <c r="H223" s="1347" t="s">
        <v>1104</v>
      </c>
      <c r="I223" s="1347" t="s">
        <v>1104</v>
      </c>
      <c r="J223" s="1347"/>
      <c r="K223" s="1347"/>
      <c r="O223" s="2633">
        <v>106105880</v>
      </c>
      <c r="R223" s="86"/>
      <c r="S223" s="86"/>
      <c r="T223" s="86"/>
      <c r="U223" s="86"/>
      <c r="V223" s="86"/>
    </row>
    <row r="224" spans="1:22" ht="45" x14ac:dyDescent="0.25">
      <c r="A224" s="1082" t="s">
        <v>134</v>
      </c>
      <c r="B224" s="1848">
        <v>106104397</v>
      </c>
      <c r="C224" s="1287" t="s">
        <v>1774</v>
      </c>
      <c r="D224" s="1287">
        <v>8536300000</v>
      </c>
      <c r="E224" s="1348" t="s">
        <v>1775</v>
      </c>
      <c r="F224" s="1335" t="s">
        <v>1776</v>
      </c>
      <c r="G224" s="1347"/>
      <c r="H224" s="1347" t="s">
        <v>1104</v>
      </c>
      <c r="I224" s="1347" t="s">
        <v>1104</v>
      </c>
      <c r="J224" s="1347"/>
      <c r="K224" s="1347"/>
      <c r="M224" s="1347"/>
    </row>
    <row r="225" spans="1:22" ht="45" x14ac:dyDescent="0.25">
      <c r="A225" s="1082" t="s">
        <v>122</v>
      </c>
      <c r="B225" s="1848">
        <v>106105880</v>
      </c>
      <c r="C225" s="1287" t="s">
        <v>1806</v>
      </c>
      <c r="D225" s="1287">
        <v>8536300000</v>
      </c>
      <c r="E225" s="1348" t="s">
        <v>1243</v>
      </c>
      <c r="F225" s="1335" t="s">
        <v>1244</v>
      </c>
      <c r="G225" s="1347"/>
      <c r="H225" s="1347" t="s">
        <v>1104</v>
      </c>
      <c r="I225" s="1347" t="s">
        <v>1104</v>
      </c>
      <c r="J225" s="1347"/>
      <c r="K225" s="1347"/>
      <c r="O225" s="2633" t="s">
        <v>649</v>
      </c>
    </row>
    <row r="226" spans="1:22" ht="45" x14ac:dyDescent="0.25">
      <c r="A226" s="1082" t="s">
        <v>341</v>
      </c>
      <c r="B226" s="1848">
        <v>106110170</v>
      </c>
      <c r="C226" s="1287" t="s">
        <v>1823</v>
      </c>
      <c r="D226" s="1287">
        <v>8536300000</v>
      </c>
      <c r="E226" s="1348" t="s">
        <v>2478</v>
      </c>
      <c r="F226" s="1335" t="s">
        <v>2479</v>
      </c>
      <c r="G226" s="1280" t="s">
        <v>1104</v>
      </c>
      <c r="H226" s="1347"/>
      <c r="I226" s="1347"/>
      <c r="J226" s="1347"/>
      <c r="K226" s="1347"/>
      <c r="L226" s="3923"/>
      <c r="O226" s="2633" t="s">
        <v>649</v>
      </c>
    </row>
    <row r="227" spans="1:22" ht="60" x14ac:dyDescent="0.25">
      <c r="A227" s="1082" t="s">
        <v>134</v>
      </c>
      <c r="B227" s="1848">
        <v>106111794</v>
      </c>
      <c r="C227" s="1287" t="s">
        <v>1844</v>
      </c>
      <c r="D227" s="1287">
        <v>8536300000</v>
      </c>
      <c r="E227" s="1348" t="s">
        <v>3047</v>
      </c>
      <c r="F227" s="1335" t="s">
        <v>3048</v>
      </c>
      <c r="G227" s="1347"/>
      <c r="H227" s="1347" t="s">
        <v>1104</v>
      </c>
      <c r="I227" s="1347"/>
      <c r="J227" s="1347"/>
      <c r="K227" s="1347"/>
      <c r="M227" s="1347"/>
      <c r="O227" s="2633">
        <v>106111795</v>
      </c>
      <c r="R227" s="3926"/>
      <c r="S227" s="3926"/>
      <c r="T227" s="3926"/>
      <c r="U227" s="3926"/>
      <c r="V227" s="3926"/>
    </row>
    <row r="228" spans="1:22" ht="45" x14ac:dyDescent="0.25">
      <c r="A228" s="1082" t="s">
        <v>289</v>
      </c>
      <c r="B228" s="1848">
        <v>106111795</v>
      </c>
      <c r="C228" s="1287" t="s">
        <v>1845</v>
      </c>
      <c r="D228" s="1287">
        <v>8536300000</v>
      </c>
      <c r="E228" s="1348" t="s">
        <v>3049</v>
      </c>
      <c r="F228" s="1335" t="s">
        <v>3050</v>
      </c>
      <c r="G228" s="1347"/>
      <c r="H228" s="1347" t="s">
        <v>1104</v>
      </c>
      <c r="I228" s="1347"/>
      <c r="J228" s="1347"/>
      <c r="K228" s="1347"/>
      <c r="N228" s="275"/>
      <c r="O228" s="1347" t="s">
        <v>649</v>
      </c>
      <c r="P228" s="1347"/>
      <c r="Q228" s="99"/>
      <c r="R228" s="3926"/>
      <c r="S228" s="3926"/>
      <c r="T228" s="3926"/>
      <c r="U228" s="3926"/>
      <c r="V228" s="3926"/>
    </row>
    <row r="229" spans="1:22" s="1351" customFormat="1" x14ac:dyDescent="0.25">
      <c r="A229" s="1082" t="s">
        <v>341</v>
      </c>
      <c r="B229" s="1848">
        <v>106113993</v>
      </c>
      <c r="C229" s="1287" t="s">
        <v>2431</v>
      </c>
      <c r="D229" s="1287">
        <v>8536300000</v>
      </c>
      <c r="E229" s="1358" t="s">
        <v>2315</v>
      </c>
      <c r="F229" s="1356" t="s">
        <v>2316</v>
      </c>
      <c r="G229" s="1383"/>
      <c r="H229" s="2633"/>
      <c r="I229" s="2633"/>
      <c r="J229" s="2633" t="s">
        <v>1104</v>
      </c>
      <c r="K229" s="2633"/>
      <c r="L229" s="2633"/>
      <c r="M229" s="2633"/>
      <c r="N229" s="3923"/>
      <c r="O229" s="2633"/>
      <c r="P229" s="2633"/>
      <c r="Q229" s="1383"/>
      <c r="R229" s="1383"/>
      <c r="S229" s="1383"/>
      <c r="T229" s="1383"/>
      <c r="U229" s="1383"/>
      <c r="V229" s="1383"/>
    </row>
    <row r="230" spans="1:22" s="1351" customFormat="1" x14ac:dyDescent="0.25">
      <c r="A230" s="1082" t="s">
        <v>341</v>
      </c>
      <c r="B230" s="1848">
        <v>106127312</v>
      </c>
      <c r="C230" s="1287" t="s">
        <v>3636</v>
      </c>
      <c r="D230" s="1287">
        <v>8536300000</v>
      </c>
      <c r="E230" s="1358" t="s">
        <v>3637</v>
      </c>
      <c r="F230" s="1356" t="s">
        <v>3638</v>
      </c>
      <c r="G230" s="1383"/>
      <c r="H230" s="2633"/>
      <c r="I230" s="2633" t="s">
        <v>1104</v>
      </c>
      <c r="J230" s="2633"/>
      <c r="K230" s="2633"/>
      <c r="L230" s="2633"/>
      <c r="M230" s="2633"/>
      <c r="N230" s="3923"/>
      <c r="O230" s="2633"/>
      <c r="P230" s="2633"/>
      <c r="Q230" s="1383"/>
      <c r="R230" s="1383"/>
      <c r="S230" s="1383"/>
      <c r="T230" s="1383"/>
      <c r="U230" s="1383"/>
      <c r="V230" s="1383"/>
    </row>
    <row r="231" spans="1:22" s="86" customFormat="1" ht="45" x14ac:dyDescent="0.25">
      <c r="A231" s="1082" t="s">
        <v>261</v>
      </c>
      <c r="B231" s="1848">
        <v>106114700</v>
      </c>
      <c r="C231" s="1287" t="s">
        <v>1887</v>
      </c>
      <c r="D231" s="1287">
        <v>8536300000</v>
      </c>
      <c r="E231" s="1348" t="s">
        <v>1770</v>
      </c>
      <c r="F231" s="1335" t="s">
        <v>1771</v>
      </c>
      <c r="G231" s="1280"/>
      <c r="H231" s="1347" t="s">
        <v>1104</v>
      </c>
      <c r="I231" s="1347" t="s">
        <v>1104</v>
      </c>
      <c r="J231" s="1347"/>
      <c r="K231" s="1347"/>
      <c r="L231" s="2633" t="s">
        <v>1104</v>
      </c>
      <c r="M231" s="2633" t="s">
        <v>1104</v>
      </c>
      <c r="N231" s="3923"/>
      <c r="O231" s="1565" t="s">
        <v>1489</v>
      </c>
      <c r="P231" s="1565"/>
      <c r="Q231" s="1383"/>
      <c r="R231" s="1383"/>
      <c r="S231" s="1383"/>
      <c r="T231" s="1383"/>
      <c r="U231" s="1383"/>
      <c r="V231" s="1383"/>
    </row>
    <row r="232" spans="1:22" ht="45" x14ac:dyDescent="0.25">
      <c r="A232" s="1082" t="s">
        <v>122</v>
      </c>
      <c r="B232" s="1848">
        <v>106114701</v>
      </c>
      <c r="C232" s="1287" t="s">
        <v>1888</v>
      </c>
      <c r="D232" s="1287">
        <v>8536300000</v>
      </c>
      <c r="E232" s="1348" t="s">
        <v>1243</v>
      </c>
      <c r="F232" s="1335" t="s">
        <v>1244</v>
      </c>
      <c r="G232" s="1347"/>
      <c r="H232" s="1347" t="s">
        <v>1104</v>
      </c>
      <c r="I232" s="1347" t="s">
        <v>1104</v>
      </c>
      <c r="J232" s="1347" t="s">
        <v>1104</v>
      </c>
      <c r="K232" s="1347"/>
      <c r="L232" s="142"/>
      <c r="O232" s="2633" t="s">
        <v>649</v>
      </c>
    </row>
    <row r="233" spans="1:22" x14ac:dyDescent="0.25">
      <c r="A233" s="1082" t="s">
        <v>341</v>
      </c>
      <c r="B233" s="1848">
        <v>106120234</v>
      </c>
      <c r="C233" s="291" t="s">
        <v>2425</v>
      </c>
      <c r="D233" s="1287">
        <v>8536300000</v>
      </c>
      <c r="E233" s="1358" t="s">
        <v>2393</v>
      </c>
      <c r="F233" s="1356" t="s">
        <v>2394</v>
      </c>
      <c r="G233" s="1383"/>
      <c r="J233" s="2633" t="s">
        <v>1104</v>
      </c>
      <c r="P233" s="2633" t="s">
        <v>1549</v>
      </c>
    </row>
    <row r="234" spans="1:22" x14ac:dyDescent="0.25">
      <c r="A234" s="1082" t="s">
        <v>341</v>
      </c>
      <c r="B234" s="1848">
        <v>106120236</v>
      </c>
      <c r="C234" s="291" t="s">
        <v>2432</v>
      </c>
      <c r="D234" s="1287">
        <v>8536300000</v>
      </c>
      <c r="E234" s="1358" t="s">
        <v>2395</v>
      </c>
      <c r="F234" s="1335" t="s">
        <v>2396</v>
      </c>
      <c r="G234" s="1383"/>
      <c r="J234" s="2633" t="s">
        <v>1104</v>
      </c>
      <c r="P234" s="2633" t="s">
        <v>1549</v>
      </c>
    </row>
    <row r="235" spans="1:22" x14ac:dyDescent="0.25">
      <c r="A235" s="48" t="s">
        <v>122</v>
      </c>
      <c r="B235" s="1848">
        <v>106125374</v>
      </c>
      <c r="C235" s="1358" t="s">
        <v>3274</v>
      </c>
      <c r="D235" s="1287">
        <v>8536300000</v>
      </c>
      <c r="E235" s="1383" t="s">
        <v>3275</v>
      </c>
      <c r="F235" s="1356" t="s">
        <v>3276</v>
      </c>
      <c r="I235" s="2633" t="s">
        <v>1104</v>
      </c>
      <c r="L235" s="3923"/>
      <c r="M235" s="142"/>
      <c r="N235" s="2633"/>
      <c r="P235" s="1848"/>
    </row>
    <row r="236" spans="1:22" ht="30" x14ac:dyDescent="0.25">
      <c r="A236" s="1084" t="s">
        <v>305</v>
      </c>
      <c r="B236" s="1848">
        <v>106101159</v>
      </c>
      <c r="C236" s="1287" t="s">
        <v>771</v>
      </c>
      <c r="D236" s="1287">
        <v>8536209090</v>
      </c>
      <c r="E236" s="1349" t="s">
        <v>1685</v>
      </c>
      <c r="F236" s="1335" t="s">
        <v>1686</v>
      </c>
      <c r="G236" s="1347"/>
      <c r="H236" s="1347" t="s">
        <v>1104</v>
      </c>
      <c r="I236" s="1347"/>
      <c r="J236" s="1347"/>
      <c r="K236" s="1347"/>
      <c r="L236" s="142"/>
    </row>
    <row r="237" spans="1:22" ht="45" x14ac:dyDescent="0.25">
      <c r="A237" s="1082" t="s">
        <v>274</v>
      </c>
      <c r="B237" s="1848">
        <v>106104164</v>
      </c>
      <c r="C237" s="1287" t="s">
        <v>1733</v>
      </c>
      <c r="D237" s="1287">
        <v>8536209090</v>
      </c>
      <c r="E237" s="1349" t="s">
        <v>1734</v>
      </c>
      <c r="F237" s="1339" t="s">
        <v>1735</v>
      </c>
      <c r="G237" s="1347"/>
      <c r="H237" s="1347" t="s">
        <v>1104</v>
      </c>
      <c r="I237" s="1347"/>
      <c r="J237" s="1347"/>
      <c r="K237" s="1347"/>
      <c r="L237" s="1083"/>
    </row>
    <row r="238" spans="1:22" ht="30" x14ac:dyDescent="0.25">
      <c r="A238" s="1082" t="s">
        <v>263</v>
      </c>
      <c r="B238" s="1848">
        <v>106104169</v>
      </c>
      <c r="C238" s="1287" t="s">
        <v>1555</v>
      </c>
      <c r="D238" s="1287">
        <v>8536209090</v>
      </c>
      <c r="E238" s="1349" t="s">
        <v>1736</v>
      </c>
      <c r="F238" s="1339" t="s">
        <v>1737</v>
      </c>
      <c r="G238" s="1280"/>
      <c r="H238" s="1280"/>
      <c r="I238" s="1280"/>
      <c r="J238" s="1280"/>
      <c r="K238" s="1280"/>
      <c r="L238" s="2633" t="s">
        <v>1104</v>
      </c>
    </row>
    <row r="239" spans="1:22" ht="45" x14ac:dyDescent="0.25">
      <c r="A239" s="1082" t="s">
        <v>1113</v>
      </c>
      <c r="B239" s="1848">
        <v>106104223</v>
      </c>
      <c r="C239" s="1287" t="s">
        <v>1763</v>
      </c>
      <c r="D239" s="1287">
        <v>8536209090</v>
      </c>
      <c r="E239" s="1348" t="s">
        <v>1764</v>
      </c>
      <c r="F239" s="1335" t="s">
        <v>1765</v>
      </c>
      <c r="G239" s="1347"/>
      <c r="H239" s="1347" t="s">
        <v>1104</v>
      </c>
      <c r="I239" s="1347" t="s">
        <v>1104</v>
      </c>
      <c r="J239" s="1347"/>
      <c r="K239" s="1347"/>
      <c r="P239" s="2633">
        <v>106202882</v>
      </c>
      <c r="Q239" s="1383">
        <v>238</v>
      </c>
      <c r="R239" s="86"/>
      <c r="S239" s="86"/>
      <c r="T239" s="86"/>
      <c r="U239" s="86"/>
      <c r="V239" s="86"/>
    </row>
    <row r="240" spans="1:22" x14ac:dyDescent="0.25">
      <c r="A240" s="2352" t="s">
        <v>159</v>
      </c>
      <c r="B240" s="2353">
        <v>106110473</v>
      </c>
      <c r="C240" s="2354" t="s">
        <v>1832</v>
      </c>
      <c r="D240" s="1287">
        <v>8536209090</v>
      </c>
      <c r="E240" s="1349" t="s">
        <v>1364</v>
      </c>
      <c r="F240" s="1336" t="s">
        <v>1365</v>
      </c>
      <c r="G240" s="1280"/>
      <c r="H240" s="1280" t="s">
        <v>1104</v>
      </c>
      <c r="I240" s="1280" t="s">
        <v>1104</v>
      </c>
      <c r="J240" s="1280"/>
      <c r="K240" s="1280"/>
      <c r="L240" s="142"/>
      <c r="M240" s="2121"/>
      <c r="N240" s="751"/>
      <c r="O240" s="142"/>
      <c r="P240" s="142" t="s">
        <v>1567</v>
      </c>
      <c r="Q240" s="1351">
        <v>2474.2800000000002</v>
      </c>
      <c r="R240" s="1351"/>
      <c r="S240" s="1351"/>
      <c r="T240" s="1351"/>
      <c r="U240" s="1351"/>
      <c r="V240" s="1351"/>
    </row>
    <row r="241" spans="1:22" x14ac:dyDescent="0.25">
      <c r="A241" s="1084" t="s">
        <v>305</v>
      </c>
      <c r="B241" s="1848">
        <v>106111802</v>
      </c>
      <c r="C241" s="1287" t="s">
        <v>1846</v>
      </c>
      <c r="D241" s="1287">
        <v>8536209090</v>
      </c>
      <c r="E241" s="1349" t="s">
        <v>1847</v>
      </c>
      <c r="F241" s="1335" t="s">
        <v>1848</v>
      </c>
      <c r="G241" s="1347"/>
      <c r="H241" s="1347" t="s">
        <v>1104</v>
      </c>
      <c r="I241" s="1347"/>
      <c r="J241" s="1347"/>
      <c r="K241" s="1347"/>
      <c r="M241" s="142"/>
      <c r="O241" s="3923"/>
      <c r="P241" s="3923"/>
      <c r="Q241" s="3923">
        <v>1160.3599999999999</v>
      </c>
      <c r="R241" s="3926"/>
      <c r="S241" s="3926"/>
      <c r="T241" s="3926"/>
      <c r="U241" s="3926"/>
      <c r="V241" s="3926"/>
    </row>
    <row r="242" spans="1:22" ht="30" x14ac:dyDescent="0.25">
      <c r="A242" s="1082" t="s">
        <v>263</v>
      </c>
      <c r="B242" s="1848">
        <v>106112685</v>
      </c>
      <c r="C242" s="1287" t="s">
        <v>1527</v>
      </c>
      <c r="D242" s="1287">
        <v>8536209090</v>
      </c>
      <c r="E242" s="1349" t="s">
        <v>1853</v>
      </c>
      <c r="F242" s="1339" t="s">
        <v>1854</v>
      </c>
      <c r="G242" s="1280" t="s">
        <v>1104</v>
      </c>
      <c r="H242" s="1347"/>
      <c r="I242" s="1347"/>
      <c r="J242" s="1347"/>
      <c r="K242" s="1347"/>
      <c r="N242" s="2625"/>
      <c r="O242" s="378"/>
      <c r="P242" s="378"/>
      <c r="Q242" s="411"/>
    </row>
    <row r="243" spans="1:22" ht="30" x14ac:dyDescent="0.25">
      <c r="A243" s="1082" t="s">
        <v>263</v>
      </c>
      <c r="B243" s="1848">
        <v>106110287</v>
      </c>
      <c r="C243" s="1287" t="s">
        <v>2828</v>
      </c>
      <c r="D243" s="1287">
        <v>8536209090</v>
      </c>
      <c r="E243" s="1349" t="s">
        <v>2829</v>
      </c>
      <c r="F243" s="1339" t="s">
        <v>2830</v>
      </c>
      <c r="G243" s="1280" t="s">
        <v>1104</v>
      </c>
      <c r="H243" s="1347"/>
      <c r="I243" s="1347"/>
      <c r="J243" s="1347"/>
      <c r="K243" s="1347"/>
      <c r="N243" s="2625"/>
      <c r="O243" s="378"/>
      <c r="P243" s="378"/>
      <c r="Q243" s="411"/>
    </row>
    <row r="244" spans="1:22" x14ac:dyDescent="0.25">
      <c r="A244" s="2360" t="s">
        <v>71</v>
      </c>
      <c r="B244" s="2353">
        <v>106113605</v>
      </c>
      <c r="C244" s="2354" t="s">
        <v>1866</v>
      </c>
      <c r="D244" s="1287">
        <v>8536209090</v>
      </c>
      <c r="E244" s="1349" t="s">
        <v>1265</v>
      </c>
      <c r="F244" s="1336" t="s">
        <v>1266</v>
      </c>
      <c r="G244" s="1280"/>
      <c r="H244" s="1766" t="s">
        <v>1104</v>
      </c>
      <c r="I244" s="1280"/>
      <c r="J244" s="1280"/>
      <c r="K244" s="1280"/>
      <c r="L244" s="142"/>
      <c r="M244" s="2121"/>
      <c r="N244" s="751"/>
      <c r="O244" s="142"/>
      <c r="P244" s="142">
        <v>106113623</v>
      </c>
      <c r="Q244" s="1351"/>
      <c r="R244" s="1351"/>
      <c r="S244" s="1351"/>
      <c r="T244" s="1351"/>
      <c r="U244" s="1351"/>
      <c r="V244" s="1351"/>
    </row>
    <row r="245" spans="1:22" ht="30" x14ac:dyDescent="0.25">
      <c r="A245" s="2360" t="s">
        <v>71</v>
      </c>
      <c r="B245" s="2353">
        <v>106113621</v>
      </c>
      <c r="C245" s="2354" t="s">
        <v>1867</v>
      </c>
      <c r="D245" s="1287">
        <v>8536209090</v>
      </c>
      <c r="E245" s="1349" t="s">
        <v>1359</v>
      </c>
      <c r="F245" s="1336" t="s">
        <v>1360</v>
      </c>
      <c r="G245" s="1280"/>
      <c r="H245" s="1766" t="s">
        <v>1104</v>
      </c>
      <c r="I245" s="1280"/>
      <c r="J245" s="1280"/>
      <c r="K245" s="1280"/>
      <c r="L245" s="142"/>
      <c r="M245" s="2121"/>
      <c r="N245" s="751"/>
      <c r="O245" s="1564">
        <v>106113624</v>
      </c>
      <c r="P245" s="142" t="s">
        <v>1549</v>
      </c>
      <c r="Q245" s="1286"/>
      <c r="R245" s="1351"/>
      <c r="S245" s="1351"/>
      <c r="T245" s="1351"/>
      <c r="U245" s="1351"/>
      <c r="V245" s="1351"/>
    </row>
    <row r="246" spans="1:22" x14ac:dyDescent="0.25">
      <c r="A246" s="2360" t="s">
        <v>71</v>
      </c>
      <c r="B246" s="2353">
        <v>106113623</v>
      </c>
      <c r="C246" s="2354" t="s">
        <v>1868</v>
      </c>
      <c r="D246" s="1287">
        <v>8536209090</v>
      </c>
      <c r="E246" s="1349" t="s">
        <v>1263</v>
      </c>
      <c r="F246" s="1336" t="s">
        <v>1264</v>
      </c>
      <c r="G246" s="1280"/>
      <c r="H246" s="1766" t="s">
        <v>1104</v>
      </c>
      <c r="I246" s="1280"/>
      <c r="J246" s="1280"/>
      <c r="K246" s="1280"/>
      <c r="L246" s="142"/>
      <c r="M246" s="2121"/>
      <c r="N246" s="751"/>
      <c r="O246" s="1564">
        <v>106113624</v>
      </c>
      <c r="P246" s="142" t="s">
        <v>1549</v>
      </c>
      <c r="Q246" s="1286"/>
      <c r="R246" s="751"/>
      <c r="S246" s="751"/>
      <c r="T246" s="751"/>
      <c r="U246" s="751"/>
      <c r="V246" s="751"/>
    </row>
    <row r="247" spans="1:22" s="1351" customFormat="1" x14ac:dyDescent="0.25">
      <c r="A247" s="2352" t="s">
        <v>71</v>
      </c>
      <c r="B247" s="2353">
        <v>106113624</v>
      </c>
      <c r="C247" s="2354" t="s">
        <v>1869</v>
      </c>
      <c r="D247" s="1287">
        <v>8536209090</v>
      </c>
      <c r="E247" s="1349" t="s">
        <v>1870</v>
      </c>
      <c r="F247" s="1336" t="s">
        <v>1871</v>
      </c>
      <c r="G247" s="1280"/>
      <c r="H247" s="1280" t="s">
        <v>1104</v>
      </c>
      <c r="I247" s="1280"/>
      <c r="J247" s="1280"/>
      <c r="K247" s="1280"/>
      <c r="L247" s="142"/>
      <c r="M247" s="142"/>
      <c r="N247" s="751"/>
      <c r="O247" s="142" t="s">
        <v>649</v>
      </c>
      <c r="P247" s="142"/>
      <c r="Q247" s="1286"/>
      <c r="R247" s="176"/>
      <c r="S247" s="176"/>
      <c r="T247" s="176"/>
      <c r="U247" s="176"/>
      <c r="V247" s="176"/>
    </row>
    <row r="248" spans="1:22" x14ac:dyDescent="0.25">
      <c r="A248" s="1082" t="s">
        <v>290</v>
      </c>
      <c r="B248" s="1848">
        <v>106118327</v>
      </c>
      <c r="C248" s="291" t="s">
        <v>2414</v>
      </c>
      <c r="D248" s="1287">
        <v>8536209090</v>
      </c>
      <c r="E248" s="1358" t="s">
        <v>2317</v>
      </c>
      <c r="F248" s="1356" t="s">
        <v>2318</v>
      </c>
      <c r="G248" s="1383"/>
      <c r="J248" s="2633" t="s">
        <v>1104</v>
      </c>
    </row>
    <row r="249" spans="1:22" x14ac:dyDescent="0.25">
      <c r="A249" s="1082" t="s">
        <v>290</v>
      </c>
      <c r="B249" s="1848">
        <v>106118338</v>
      </c>
      <c r="C249" s="291" t="s">
        <v>2417</v>
      </c>
      <c r="D249" s="1287">
        <v>8536209090</v>
      </c>
      <c r="E249" s="1358" t="s">
        <v>2384</v>
      </c>
      <c r="F249" s="1356" t="s">
        <v>2385</v>
      </c>
      <c r="G249" s="1383"/>
      <c r="J249" s="2633" t="s">
        <v>1104</v>
      </c>
    </row>
    <row r="250" spans="1:22" x14ac:dyDescent="0.25">
      <c r="A250" s="1082"/>
      <c r="B250" s="1848">
        <v>106120328</v>
      </c>
      <c r="C250" s="1287" t="s">
        <v>2433</v>
      </c>
      <c r="D250" s="1287">
        <v>8536209090</v>
      </c>
      <c r="E250" s="1358" t="s">
        <v>2533</v>
      </c>
      <c r="F250" s="1356" t="s">
        <v>2534</v>
      </c>
      <c r="G250" s="1383"/>
      <c r="J250" s="2633" t="s">
        <v>1104</v>
      </c>
    </row>
    <row r="251" spans="1:22" ht="30" x14ac:dyDescent="0.25">
      <c r="A251" s="2352" t="s">
        <v>159</v>
      </c>
      <c r="B251" s="2353">
        <v>106202891</v>
      </c>
      <c r="C251" s="2354" t="s">
        <v>1983</v>
      </c>
      <c r="D251" s="1287">
        <v>8536209090</v>
      </c>
      <c r="E251" s="1349" t="s">
        <v>1870</v>
      </c>
      <c r="F251" s="1336" t="s">
        <v>1871</v>
      </c>
      <c r="G251" s="274"/>
      <c r="H251" s="274"/>
      <c r="I251" s="1280" t="s">
        <v>1104</v>
      </c>
      <c r="J251" s="1280"/>
      <c r="K251" s="1280"/>
      <c r="L251" s="142"/>
      <c r="M251" s="142"/>
      <c r="N251" s="751"/>
      <c r="O251" s="142" t="s">
        <v>649</v>
      </c>
      <c r="P251" s="142"/>
      <c r="Q251" s="1351"/>
      <c r="R251" s="1351"/>
      <c r="S251" s="1351"/>
      <c r="T251" s="1351"/>
      <c r="U251" s="1351"/>
      <c r="V251" s="1351"/>
    </row>
    <row r="252" spans="1:22" ht="30" x14ac:dyDescent="0.25">
      <c r="A252" s="2352" t="s">
        <v>263</v>
      </c>
      <c r="B252" s="2353">
        <v>106205029</v>
      </c>
      <c r="C252" s="2354" t="s">
        <v>2441</v>
      </c>
      <c r="D252" s="1287">
        <v>8536209090</v>
      </c>
      <c r="E252" s="1358" t="s">
        <v>2531</v>
      </c>
      <c r="F252" s="2365" t="s">
        <v>2532</v>
      </c>
      <c r="G252" s="1351"/>
      <c r="H252" s="142"/>
      <c r="I252" s="142"/>
      <c r="J252" s="142" t="s">
        <v>1104</v>
      </c>
      <c r="K252" s="142"/>
      <c r="L252" s="142"/>
      <c r="M252" s="142"/>
      <c r="N252" s="751"/>
      <c r="O252" s="142"/>
      <c r="P252" s="142" t="s">
        <v>1549</v>
      </c>
      <c r="Q252" s="1351"/>
      <c r="R252" s="1351"/>
      <c r="S252" s="1351"/>
      <c r="T252" s="1351"/>
      <c r="U252" s="1351"/>
      <c r="V252" s="1351"/>
    </row>
    <row r="253" spans="1:22" ht="30" x14ac:dyDescent="0.25">
      <c r="A253" s="1082" t="s">
        <v>263</v>
      </c>
      <c r="B253" s="1848">
        <v>106205172</v>
      </c>
      <c r="C253" s="1287" t="s">
        <v>2446</v>
      </c>
      <c r="D253" s="1287">
        <v>8536209090</v>
      </c>
      <c r="E253" s="1358" t="s">
        <v>2537</v>
      </c>
      <c r="F253" s="1356" t="s">
        <v>2538</v>
      </c>
      <c r="G253" s="1383"/>
      <c r="J253" s="2633" t="s">
        <v>1104</v>
      </c>
      <c r="P253" s="2633" t="s">
        <v>1549</v>
      </c>
    </row>
    <row r="254" spans="1:22" x14ac:dyDescent="0.25">
      <c r="A254" s="1383" t="s">
        <v>263</v>
      </c>
      <c r="B254" s="1848">
        <v>106118967</v>
      </c>
      <c r="C254" s="1358" t="s">
        <v>2832</v>
      </c>
      <c r="D254" s="1287">
        <v>8536209090</v>
      </c>
      <c r="E254" s="1383" t="s">
        <v>3189</v>
      </c>
      <c r="F254" s="1356" t="s">
        <v>3190</v>
      </c>
      <c r="I254" s="2633" t="s">
        <v>1104</v>
      </c>
      <c r="J254" s="3923"/>
      <c r="K254" s="3923"/>
      <c r="L254" s="142"/>
      <c r="N254" s="2633"/>
      <c r="P254" s="1848">
        <v>106118976</v>
      </c>
    </row>
    <row r="255" spans="1:22" x14ac:dyDescent="0.25">
      <c r="A255" s="1383" t="s">
        <v>71</v>
      </c>
      <c r="B255" s="1848">
        <v>106101365</v>
      </c>
      <c r="C255" s="1358" t="s">
        <v>2838</v>
      </c>
      <c r="D255" s="1287">
        <v>8536209090</v>
      </c>
      <c r="E255" s="1383" t="s">
        <v>2504</v>
      </c>
      <c r="F255" s="1356" t="s">
        <v>2505</v>
      </c>
      <c r="I255" s="2633" t="s">
        <v>1104</v>
      </c>
      <c r="J255" s="3923"/>
      <c r="K255" s="3923"/>
      <c r="L255" s="142"/>
      <c r="N255" s="2633"/>
      <c r="P255" s="1848">
        <v>106204781</v>
      </c>
    </row>
    <row r="256" spans="1:22" x14ac:dyDescent="0.25">
      <c r="A256" s="1383" t="s">
        <v>71</v>
      </c>
      <c r="B256" s="1848">
        <v>106110738</v>
      </c>
      <c r="C256" s="1358" t="s">
        <v>2840</v>
      </c>
      <c r="D256" s="1287">
        <v>8536209090</v>
      </c>
      <c r="E256" s="1383" t="s">
        <v>2554</v>
      </c>
      <c r="F256" s="1356" t="s">
        <v>2555</v>
      </c>
      <c r="I256" s="2633" t="s">
        <v>1104</v>
      </c>
      <c r="J256" s="3923"/>
      <c r="K256" s="3923"/>
      <c r="L256" s="142"/>
      <c r="N256" s="2633"/>
      <c r="P256" s="1848">
        <v>106204781</v>
      </c>
    </row>
    <row r="257" spans="1:22" x14ac:dyDescent="0.25">
      <c r="A257" s="48" t="s">
        <v>71</v>
      </c>
      <c r="B257" s="1848">
        <v>106204783</v>
      </c>
      <c r="C257" s="1358" t="s">
        <v>3010</v>
      </c>
      <c r="D257" s="1287">
        <v>8536209090</v>
      </c>
      <c r="E257" s="1383" t="s">
        <v>2512</v>
      </c>
      <c r="F257" s="1356" t="s">
        <v>2513</v>
      </c>
      <c r="I257" s="2633" t="s">
        <v>1104</v>
      </c>
      <c r="L257" s="3923"/>
      <c r="M257" s="142"/>
      <c r="N257" s="2633"/>
      <c r="O257" s="2633" t="s">
        <v>649</v>
      </c>
      <c r="P257" s="1848" t="s">
        <v>1549</v>
      </c>
    </row>
    <row r="258" spans="1:22" s="1351" customFormat="1" x14ac:dyDescent="0.25">
      <c r="A258" s="48" t="s">
        <v>71</v>
      </c>
      <c r="B258" s="1848">
        <v>106118749</v>
      </c>
      <c r="C258" s="1358" t="s">
        <v>3012</v>
      </c>
      <c r="D258" s="1287">
        <v>8536209090</v>
      </c>
      <c r="E258" s="1383" t="s">
        <v>2506</v>
      </c>
      <c r="F258" s="1356" t="s">
        <v>2507</v>
      </c>
      <c r="G258" s="2633"/>
      <c r="H258" s="2633"/>
      <c r="I258" s="2633" t="s">
        <v>1104</v>
      </c>
      <c r="J258" s="2633"/>
      <c r="K258" s="2633"/>
      <c r="L258" s="3923"/>
      <c r="M258" s="142"/>
      <c r="N258" s="2633"/>
      <c r="O258" s="2633"/>
      <c r="P258" s="1848">
        <v>106204782</v>
      </c>
      <c r="Q258" s="1383"/>
      <c r="R258" s="1383"/>
      <c r="S258" s="1383"/>
      <c r="T258" s="1383"/>
      <c r="U258" s="1383"/>
      <c r="V258" s="1383"/>
    </row>
    <row r="259" spans="1:22" x14ac:dyDescent="0.25">
      <c r="A259" s="48" t="s">
        <v>71</v>
      </c>
      <c r="B259" s="1848">
        <v>106205256</v>
      </c>
      <c r="C259" s="1358" t="s">
        <v>3013</v>
      </c>
      <c r="D259" s="1287">
        <v>8536209090</v>
      </c>
      <c r="E259" s="1383" t="s">
        <v>2556</v>
      </c>
      <c r="F259" s="1356" t="s">
        <v>2557</v>
      </c>
      <c r="I259" s="2633" t="s">
        <v>1104</v>
      </c>
      <c r="L259" s="3923"/>
      <c r="M259" s="142"/>
      <c r="N259" s="2633"/>
      <c r="P259" s="1848">
        <v>106204782</v>
      </c>
    </row>
    <row r="260" spans="1:22" x14ac:dyDescent="0.25">
      <c r="A260" s="48" t="s">
        <v>263</v>
      </c>
      <c r="B260" s="1848">
        <v>106118132</v>
      </c>
      <c r="C260" s="1358" t="s">
        <v>3282</v>
      </c>
      <c r="D260" s="1287">
        <v>8536209090</v>
      </c>
      <c r="E260" s="1383" t="s">
        <v>2975</v>
      </c>
      <c r="F260" s="1356" t="s">
        <v>2976</v>
      </c>
      <c r="I260" s="2633" t="s">
        <v>1104</v>
      </c>
      <c r="K260" s="2633" t="s">
        <v>1104</v>
      </c>
      <c r="L260" s="3923"/>
      <c r="M260" s="142"/>
      <c r="N260" s="2633"/>
      <c r="P260" s="1848"/>
    </row>
    <row r="261" spans="1:22" x14ac:dyDescent="0.25">
      <c r="A261" s="48" t="s">
        <v>263</v>
      </c>
      <c r="B261" s="1848">
        <v>106119671</v>
      </c>
      <c r="C261" s="1358" t="s">
        <v>3283</v>
      </c>
      <c r="D261" s="1287">
        <v>8536209090</v>
      </c>
      <c r="E261" s="1383" t="s">
        <v>2977</v>
      </c>
      <c r="F261" s="1356" t="s">
        <v>2978</v>
      </c>
      <c r="I261" s="2633" t="s">
        <v>1104</v>
      </c>
      <c r="K261" s="2633" t="s">
        <v>1104</v>
      </c>
      <c r="L261" s="3923"/>
      <c r="M261" s="142"/>
      <c r="N261" s="2633"/>
      <c r="P261" s="1848"/>
    </row>
    <row r="262" spans="1:22" ht="45" x14ac:dyDescent="0.25">
      <c r="A262" s="1082" t="s">
        <v>65</v>
      </c>
      <c r="B262" s="1848">
        <v>106101558</v>
      </c>
      <c r="C262" s="1287" t="s">
        <v>1687</v>
      </c>
      <c r="D262" s="1287">
        <v>8536201090</v>
      </c>
      <c r="E262" s="1348" t="s">
        <v>1688</v>
      </c>
      <c r="F262" s="1335" t="s">
        <v>1689</v>
      </c>
      <c r="G262" s="1347"/>
      <c r="H262" s="1347" t="s">
        <v>1104</v>
      </c>
      <c r="I262" s="1347"/>
      <c r="J262" s="1347"/>
      <c r="K262" s="1347"/>
      <c r="O262" s="1347">
        <v>106114372</v>
      </c>
      <c r="Q262" s="1383">
        <v>155</v>
      </c>
    </row>
    <row r="263" spans="1:22" x14ac:dyDescent="0.25">
      <c r="A263" s="1285"/>
      <c r="B263" s="1848">
        <v>106104195</v>
      </c>
      <c r="C263" s="1288" t="s">
        <v>1742</v>
      </c>
      <c r="D263" s="1287">
        <v>8536201090</v>
      </c>
      <c r="E263" s="1349" t="s">
        <v>1743</v>
      </c>
      <c r="F263" s="1335" t="s">
        <v>1744</v>
      </c>
      <c r="G263" s="1347"/>
      <c r="H263" s="1347"/>
      <c r="I263" s="1347"/>
      <c r="J263" s="1347"/>
      <c r="K263" s="1347"/>
      <c r="M263" s="2633" t="s">
        <v>1104</v>
      </c>
    </row>
    <row r="264" spans="1:22" x14ac:dyDescent="0.25">
      <c r="A264" s="1082" t="s">
        <v>477</v>
      </c>
      <c r="B264" s="1848">
        <v>106104218</v>
      </c>
      <c r="C264" s="1287" t="s">
        <v>1754</v>
      </c>
      <c r="D264" s="1287">
        <v>8536201090</v>
      </c>
      <c r="E264" s="1349" t="s">
        <v>1755</v>
      </c>
      <c r="F264" s="1335" t="s">
        <v>1756</v>
      </c>
      <c r="G264" s="1347"/>
      <c r="H264" s="1347" t="s">
        <v>1104</v>
      </c>
      <c r="I264" s="1347"/>
      <c r="J264" s="1347"/>
      <c r="K264" s="1347"/>
      <c r="L264" s="1347"/>
      <c r="R264" s="86"/>
      <c r="S264" s="86"/>
      <c r="T264" s="86"/>
      <c r="U264" s="86"/>
      <c r="V264" s="86"/>
    </row>
    <row r="265" spans="1:22" ht="45" x14ac:dyDescent="0.25">
      <c r="A265" s="1285" t="s">
        <v>1112</v>
      </c>
      <c r="B265" s="1848">
        <v>106104221</v>
      </c>
      <c r="C265" s="1288" t="s">
        <v>1760</v>
      </c>
      <c r="D265" s="1287">
        <v>8536201090</v>
      </c>
      <c r="E265" s="1348" t="s">
        <v>1761</v>
      </c>
      <c r="F265" s="1335" t="s">
        <v>1762</v>
      </c>
      <c r="G265" s="1347" t="s">
        <v>1104</v>
      </c>
      <c r="H265" s="1347" t="s">
        <v>1104</v>
      </c>
      <c r="I265" s="1347" t="s">
        <v>1104</v>
      </c>
      <c r="J265" s="1347"/>
      <c r="K265" s="1347"/>
      <c r="P265" s="2633">
        <v>106202880</v>
      </c>
      <c r="Q265" s="1383">
        <v>111</v>
      </c>
      <c r="R265" s="86"/>
      <c r="S265" s="86"/>
      <c r="T265" s="86"/>
      <c r="U265" s="86"/>
      <c r="V265" s="86"/>
    </row>
    <row r="266" spans="1:22" ht="45" x14ac:dyDescent="0.25">
      <c r="A266" s="1082" t="s">
        <v>1114</v>
      </c>
      <c r="B266" s="1848">
        <v>106104229</v>
      </c>
      <c r="C266" s="1287" t="s">
        <v>1766</v>
      </c>
      <c r="D266" s="1287">
        <v>8536201090</v>
      </c>
      <c r="E266" s="1348" t="s">
        <v>1767</v>
      </c>
      <c r="F266" s="1335" t="s">
        <v>1768</v>
      </c>
      <c r="G266" s="1347"/>
      <c r="H266" s="1347" t="s">
        <v>1104</v>
      </c>
      <c r="I266" s="1347" t="s">
        <v>1104</v>
      </c>
      <c r="J266" s="1347"/>
      <c r="K266" s="1347"/>
      <c r="O266" s="2633">
        <v>106114372</v>
      </c>
      <c r="P266" s="302"/>
      <c r="Q266" s="1383">
        <v>115</v>
      </c>
      <c r="R266" s="86"/>
      <c r="S266" s="86"/>
      <c r="T266" s="86"/>
      <c r="U266" s="86"/>
      <c r="V266" s="86"/>
    </row>
    <row r="267" spans="1:22" x14ac:dyDescent="0.25">
      <c r="A267" s="1084" t="s">
        <v>65</v>
      </c>
      <c r="B267" s="1848">
        <v>106113582</v>
      </c>
      <c r="C267" s="1287" t="s">
        <v>1857</v>
      </c>
      <c r="D267" s="1287">
        <v>8536201090</v>
      </c>
      <c r="E267" s="1349" t="s">
        <v>1858</v>
      </c>
      <c r="F267" s="1335" t="s">
        <v>1859</v>
      </c>
      <c r="G267" s="1347"/>
      <c r="H267" s="1347" t="s">
        <v>1104</v>
      </c>
      <c r="I267" s="1347"/>
      <c r="J267" s="1347"/>
      <c r="K267" s="1347"/>
      <c r="L267" s="1347"/>
      <c r="P267" s="2633">
        <v>106202874</v>
      </c>
    </row>
    <row r="268" spans="1:22" x14ac:dyDescent="0.25">
      <c r="A268" s="1084" t="s">
        <v>285</v>
      </c>
      <c r="B268" s="1848">
        <v>106113584</v>
      </c>
      <c r="C268" s="1287" t="s">
        <v>1860</v>
      </c>
      <c r="D268" s="1287">
        <v>8536201090</v>
      </c>
      <c r="E268" s="1349" t="s">
        <v>1861</v>
      </c>
      <c r="F268" s="1335" t="s">
        <v>1862</v>
      </c>
      <c r="G268" s="1347"/>
      <c r="H268" s="1347" t="s">
        <v>1104</v>
      </c>
      <c r="I268" s="1347"/>
      <c r="J268" s="1347"/>
      <c r="K268" s="1347"/>
      <c r="L268" s="1347"/>
      <c r="P268" s="2633">
        <v>106202875</v>
      </c>
    </row>
    <row r="269" spans="1:22" x14ac:dyDescent="0.25">
      <c r="A269" s="1285" t="s">
        <v>286</v>
      </c>
      <c r="B269" s="1848">
        <v>106113585</v>
      </c>
      <c r="C269" s="1288" t="s">
        <v>1863</v>
      </c>
      <c r="D269" s="1287">
        <v>8536201090</v>
      </c>
      <c r="E269" s="1349" t="s">
        <v>1864</v>
      </c>
      <c r="F269" s="1335" t="s">
        <v>1865</v>
      </c>
      <c r="G269" s="1347"/>
      <c r="H269" s="1347" t="s">
        <v>1104</v>
      </c>
      <c r="I269" s="1347"/>
      <c r="J269" s="1347"/>
      <c r="K269" s="1347"/>
      <c r="P269" s="2633">
        <v>106202876</v>
      </c>
    </row>
    <row r="270" spans="1:22" ht="30" x14ac:dyDescent="0.25">
      <c r="A270" s="2360" t="s">
        <v>1267</v>
      </c>
      <c r="B270" s="2353">
        <v>106113632</v>
      </c>
      <c r="C270" s="2354" t="s">
        <v>1872</v>
      </c>
      <c r="D270" s="1287">
        <v>8536201090</v>
      </c>
      <c r="E270" s="1348" t="s">
        <v>1268</v>
      </c>
      <c r="F270" s="1336" t="s">
        <v>1269</v>
      </c>
      <c r="G270" s="1280"/>
      <c r="H270" s="1280" t="s">
        <v>1104</v>
      </c>
      <c r="I270" s="1280"/>
      <c r="J270" s="1280"/>
      <c r="K270" s="1280"/>
      <c r="L270" s="142"/>
      <c r="M270" s="2121"/>
      <c r="N270" s="751"/>
      <c r="O270" s="142"/>
      <c r="P270" s="142">
        <v>106113623</v>
      </c>
      <c r="Q270" s="1351"/>
      <c r="R270" s="1351"/>
      <c r="S270" s="1351"/>
      <c r="T270" s="1351"/>
      <c r="U270" s="1351"/>
      <c r="V270" s="1351"/>
    </row>
    <row r="271" spans="1:22" x14ac:dyDescent="0.25">
      <c r="A271" s="2360" t="s">
        <v>65</v>
      </c>
      <c r="B271" s="2353">
        <v>106202874</v>
      </c>
      <c r="C271" s="2354" t="s">
        <v>1962</v>
      </c>
      <c r="D271" s="1287">
        <v>8536201090</v>
      </c>
      <c r="E271" s="1349" t="s">
        <v>1963</v>
      </c>
      <c r="F271" s="1336" t="s">
        <v>1964</v>
      </c>
      <c r="G271" s="1280"/>
      <c r="H271" s="1280" t="s">
        <v>1104</v>
      </c>
      <c r="I271" s="1280"/>
      <c r="J271" s="1280"/>
      <c r="K271" s="1280"/>
      <c r="L271" s="1280"/>
      <c r="M271" s="142"/>
      <c r="N271" s="751"/>
      <c r="O271" s="1564">
        <v>106202886</v>
      </c>
      <c r="P271" s="1564" t="s">
        <v>1549</v>
      </c>
      <c r="Q271" s="1351"/>
      <c r="R271" s="1351"/>
      <c r="S271" s="1351"/>
      <c r="T271" s="1351"/>
      <c r="U271" s="1351"/>
      <c r="V271" s="1351"/>
    </row>
    <row r="272" spans="1:22" x14ac:dyDescent="0.25">
      <c r="A272" s="2360" t="s">
        <v>285</v>
      </c>
      <c r="B272" s="2353">
        <v>106202875</v>
      </c>
      <c r="C272" s="2354" t="s">
        <v>1965</v>
      </c>
      <c r="D272" s="1287">
        <v>8536201090</v>
      </c>
      <c r="E272" s="1349" t="s">
        <v>1966</v>
      </c>
      <c r="F272" s="1336" t="s">
        <v>1967</v>
      </c>
      <c r="G272" s="1280"/>
      <c r="H272" s="1280" t="s">
        <v>1104</v>
      </c>
      <c r="I272" s="1280"/>
      <c r="J272" s="1280"/>
      <c r="K272" s="1280"/>
      <c r="L272" s="1280"/>
      <c r="M272" s="142"/>
      <c r="N272" s="751"/>
      <c r="O272" s="1564">
        <v>106202883</v>
      </c>
      <c r="P272" s="1564" t="s">
        <v>1549</v>
      </c>
      <c r="Q272" s="1351"/>
      <c r="R272" s="1351"/>
      <c r="S272" s="1351"/>
      <c r="T272" s="1351"/>
      <c r="U272" s="1351"/>
      <c r="V272" s="1351"/>
    </row>
    <row r="273" spans="1:22" x14ac:dyDescent="0.25">
      <c r="A273" s="2362" t="s">
        <v>285</v>
      </c>
      <c r="B273" s="2353">
        <v>106202879</v>
      </c>
      <c r="C273" s="2363" t="s">
        <v>1971</v>
      </c>
      <c r="D273" s="1287">
        <v>8536201090</v>
      </c>
      <c r="E273" s="1349" t="s">
        <v>1972</v>
      </c>
      <c r="F273" s="1336" t="s">
        <v>1973</v>
      </c>
      <c r="G273" s="1280"/>
      <c r="H273" s="1280" t="s">
        <v>1104</v>
      </c>
      <c r="I273" s="1280"/>
      <c r="J273" s="1280"/>
      <c r="K273" s="1280"/>
      <c r="L273" s="142"/>
      <c r="M273" s="142"/>
      <c r="N273" s="751"/>
      <c r="O273" s="1564">
        <v>106202883</v>
      </c>
      <c r="P273" s="1564" t="s">
        <v>1549</v>
      </c>
      <c r="Q273" s="1351"/>
      <c r="R273" s="1351"/>
      <c r="S273" s="1351"/>
      <c r="T273" s="1351"/>
      <c r="U273" s="1351"/>
      <c r="V273" s="1351"/>
    </row>
    <row r="274" spans="1:22" x14ac:dyDescent="0.25">
      <c r="A274" s="2362" t="s">
        <v>65</v>
      </c>
      <c r="B274" s="2353">
        <v>106202882</v>
      </c>
      <c r="C274" s="2363" t="s">
        <v>1977</v>
      </c>
      <c r="D274" s="1287">
        <v>8536201090</v>
      </c>
      <c r="E274" s="1349" t="s">
        <v>1978</v>
      </c>
      <c r="F274" s="1336" t="s">
        <v>1979</v>
      </c>
      <c r="G274" s="1280"/>
      <c r="H274" s="1280" t="s">
        <v>1104</v>
      </c>
      <c r="I274" s="1280"/>
      <c r="J274" s="1280"/>
      <c r="K274" s="1280"/>
      <c r="L274" s="142"/>
      <c r="M274" s="142"/>
      <c r="N274" s="751"/>
      <c r="O274" s="1564">
        <v>106202886</v>
      </c>
      <c r="P274" s="1564" t="s">
        <v>1549</v>
      </c>
      <c r="Q274" s="1351"/>
      <c r="R274" s="1351"/>
      <c r="S274" s="1351"/>
      <c r="T274" s="1351"/>
      <c r="U274" s="1351"/>
      <c r="V274" s="1351"/>
    </row>
    <row r="275" spans="1:22" ht="30" x14ac:dyDescent="0.25">
      <c r="A275" s="2352" t="s">
        <v>95</v>
      </c>
      <c r="B275" s="2353">
        <v>106202883</v>
      </c>
      <c r="C275" s="2354" t="s">
        <v>1980</v>
      </c>
      <c r="D275" s="1287">
        <v>8536201090</v>
      </c>
      <c r="E275" s="1349" t="s">
        <v>1303</v>
      </c>
      <c r="F275" s="1336" t="s">
        <v>1304</v>
      </c>
      <c r="G275" s="1280"/>
      <c r="H275" s="1280" t="s">
        <v>1104</v>
      </c>
      <c r="I275" s="1280" t="s">
        <v>1104</v>
      </c>
      <c r="J275" s="1280"/>
      <c r="K275" s="1280"/>
      <c r="L275" s="142"/>
      <c r="M275" s="142"/>
      <c r="N275" s="751"/>
      <c r="O275" s="142" t="s">
        <v>649</v>
      </c>
      <c r="P275" s="142"/>
      <c r="Q275" s="1351"/>
      <c r="R275" s="1351"/>
      <c r="S275" s="1351"/>
      <c r="T275" s="1351"/>
      <c r="U275" s="1351"/>
      <c r="V275" s="1351"/>
    </row>
    <row r="276" spans="1:22" x14ac:dyDescent="0.25">
      <c r="A276" s="2352" t="s">
        <v>93</v>
      </c>
      <c r="B276" s="2353">
        <v>106202884</v>
      </c>
      <c r="C276" s="2354" t="s">
        <v>1981</v>
      </c>
      <c r="D276" s="1287">
        <v>8536201090</v>
      </c>
      <c r="E276" s="1349" t="s">
        <v>1307</v>
      </c>
      <c r="F276" s="1336" t="s">
        <v>1308</v>
      </c>
      <c r="G276" s="1280"/>
      <c r="H276" s="1280" t="s">
        <v>1104</v>
      </c>
      <c r="I276" s="1280" t="s">
        <v>1104</v>
      </c>
      <c r="J276" s="1280"/>
      <c r="K276" s="1280"/>
      <c r="L276" s="142"/>
      <c r="M276" s="142"/>
      <c r="N276" s="751"/>
      <c r="O276" s="142" t="s">
        <v>649</v>
      </c>
      <c r="P276" s="142"/>
      <c r="Q276" s="1351"/>
      <c r="R276" s="1351"/>
      <c r="S276" s="1351"/>
      <c r="T276" s="1351"/>
      <c r="U276" s="1351"/>
      <c r="V276" s="1351"/>
    </row>
    <row r="277" spans="1:22" x14ac:dyDescent="0.25">
      <c r="A277" s="2352" t="s">
        <v>91</v>
      </c>
      <c r="B277" s="2353">
        <v>106202886</v>
      </c>
      <c r="C277" s="2354" t="s">
        <v>1982</v>
      </c>
      <c r="D277" s="1287">
        <v>8536201090</v>
      </c>
      <c r="E277" s="1349" t="s">
        <v>1305</v>
      </c>
      <c r="F277" s="1336" t="s">
        <v>1306</v>
      </c>
      <c r="G277" s="1280"/>
      <c r="H277" s="1280" t="s">
        <v>1104</v>
      </c>
      <c r="I277" s="1280" t="s">
        <v>1104</v>
      </c>
      <c r="J277" s="1280"/>
      <c r="K277" s="1280"/>
      <c r="L277" s="142"/>
      <c r="M277" s="142"/>
      <c r="N277" s="751"/>
      <c r="O277" s="142" t="s">
        <v>649</v>
      </c>
      <c r="P277" s="142"/>
      <c r="Q277" s="1351"/>
      <c r="R277" s="1351"/>
      <c r="S277" s="1351"/>
      <c r="T277" s="1351"/>
      <c r="U277" s="1351"/>
      <c r="V277" s="1351"/>
    </row>
    <row r="278" spans="1:22" x14ac:dyDescent="0.25">
      <c r="A278" s="48" t="s">
        <v>328</v>
      </c>
      <c r="B278" s="1848">
        <v>106119611</v>
      </c>
      <c r="C278" s="1358" t="s">
        <v>2841</v>
      </c>
      <c r="D278" s="1287">
        <v>8536201090</v>
      </c>
      <c r="E278" s="1383" t="s">
        <v>2547</v>
      </c>
      <c r="F278" s="1356" t="s">
        <v>2548</v>
      </c>
      <c r="I278" s="2633" t="s">
        <v>1104</v>
      </c>
      <c r="J278" s="3923"/>
      <c r="K278" s="3923"/>
      <c r="L278" s="142"/>
      <c r="N278" s="2633"/>
      <c r="O278" s="2633" t="s">
        <v>649</v>
      </c>
    </row>
    <row r="279" spans="1:22" x14ac:dyDescent="0.25">
      <c r="A279" s="48" t="s">
        <v>127</v>
      </c>
      <c r="B279" s="1848">
        <v>106120322</v>
      </c>
      <c r="C279" s="1358" t="s">
        <v>2845</v>
      </c>
      <c r="D279" s="1287">
        <v>8536201090</v>
      </c>
      <c r="E279" s="1383" t="s">
        <v>2545</v>
      </c>
      <c r="F279" s="1356" t="s">
        <v>2546</v>
      </c>
      <c r="I279" s="2633" t="s">
        <v>1104</v>
      </c>
      <c r="L279" s="3923"/>
      <c r="M279" s="142"/>
      <c r="N279" s="2633"/>
      <c r="O279" s="2633" t="s">
        <v>649</v>
      </c>
      <c r="P279" s="1383"/>
    </row>
    <row r="280" spans="1:22" x14ac:dyDescent="0.25">
      <c r="A280" s="48" t="s">
        <v>127</v>
      </c>
      <c r="B280" s="1848">
        <v>106205276</v>
      </c>
      <c r="C280" s="1358" t="s">
        <v>2846</v>
      </c>
      <c r="D280" s="1287">
        <v>8536201090</v>
      </c>
      <c r="E280" s="1383" t="s">
        <v>2811</v>
      </c>
      <c r="F280" s="1356" t="s">
        <v>2812</v>
      </c>
      <c r="I280" s="2633" t="s">
        <v>1104</v>
      </c>
      <c r="L280" s="3923"/>
      <c r="M280" s="142"/>
      <c r="N280" s="2633"/>
      <c r="P280" s="1848">
        <v>106120322</v>
      </c>
    </row>
    <row r="281" spans="1:22" x14ac:dyDescent="0.25">
      <c r="A281" s="1342"/>
      <c r="B281" s="1848">
        <v>106104194</v>
      </c>
      <c r="C281" s="3928" t="s">
        <v>3643</v>
      </c>
      <c r="D281" s="1287">
        <v>8536201090</v>
      </c>
      <c r="E281" s="1358" t="s">
        <v>3656</v>
      </c>
      <c r="F281" s="1356" t="s">
        <v>3657</v>
      </c>
      <c r="M281" s="2633" t="s">
        <v>1104</v>
      </c>
    </row>
    <row r="282" spans="1:22" ht="30" x14ac:dyDescent="0.25">
      <c r="A282" s="1082" t="s">
        <v>57</v>
      </c>
      <c r="B282" s="1848">
        <v>106101116</v>
      </c>
      <c r="C282" s="1287" t="s">
        <v>1682</v>
      </c>
      <c r="D282" s="1287">
        <v>8536100000</v>
      </c>
      <c r="E282" s="1349" t="s">
        <v>1683</v>
      </c>
      <c r="F282" s="1335" t="s">
        <v>1684</v>
      </c>
      <c r="G282" s="1347" t="s">
        <v>1104</v>
      </c>
      <c r="H282" s="1347"/>
      <c r="I282" s="1347"/>
      <c r="J282" s="1347"/>
      <c r="K282" s="1347"/>
      <c r="L282" s="3923"/>
      <c r="N282" s="3924"/>
      <c r="O282" s="3927"/>
      <c r="P282" s="3927"/>
      <c r="Q282" s="3926"/>
    </row>
    <row r="283" spans="1:22" x14ac:dyDescent="0.25">
      <c r="A283" s="1084" t="s">
        <v>16</v>
      </c>
      <c r="B283" s="1848">
        <v>106104088</v>
      </c>
      <c r="C283" s="1287" t="s">
        <v>1695</v>
      </c>
      <c r="D283" s="1287">
        <v>8536100000</v>
      </c>
      <c r="E283" s="1349" t="s">
        <v>1696</v>
      </c>
      <c r="F283" s="1337" t="s">
        <v>1352</v>
      </c>
      <c r="G283" s="1280" t="s">
        <v>1104</v>
      </c>
      <c r="H283" s="1347"/>
      <c r="I283" s="1347"/>
      <c r="J283" s="1347"/>
      <c r="K283" s="1347"/>
      <c r="R283" s="99"/>
      <c r="S283" s="99"/>
      <c r="T283" s="99"/>
      <c r="U283" s="99"/>
      <c r="V283" s="99"/>
    </row>
    <row r="284" spans="1:22" x14ac:dyDescent="0.25">
      <c r="A284" s="1082" t="s">
        <v>287</v>
      </c>
      <c r="B284" s="1848">
        <v>106104137</v>
      </c>
      <c r="C284" s="1287" t="s">
        <v>1729</v>
      </c>
      <c r="D284" s="1287">
        <v>8536100000</v>
      </c>
      <c r="E284" s="1349" t="s">
        <v>1683</v>
      </c>
      <c r="F284" s="1335" t="s">
        <v>1684</v>
      </c>
      <c r="G284" s="1347"/>
      <c r="H284" s="1347" t="s">
        <v>1104</v>
      </c>
      <c r="I284" s="1347"/>
      <c r="J284" s="1347"/>
      <c r="K284" s="1347"/>
      <c r="N284" s="3924"/>
      <c r="O284" s="3927"/>
      <c r="P284" s="3927"/>
      <c r="Q284" s="3926"/>
    </row>
    <row r="285" spans="1:22" x14ac:dyDescent="0.25">
      <c r="A285" s="1082" t="s">
        <v>271</v>
      </c>
      <c r="B285" s="1848">
        <v>106105399</v>
      </c>
      <c r="C285" s="1287" t="s">
        <v>1514</v>
      </c>
      <c r="D285" s="1287">
        <v>8536100000</v>
      </c>
      <c r="E285" s="1349" t="s">
        <v>1515</v>
      </c>
      <c r="F285" s="1335" t="s">
        <v>1516</v>
      </c>
      <c r="G285" s="1347"/>
      <c r="H285" s="1347" t="s">
        <v>1104</v>
      </c>
      <c r="I285" s="1347"/>
      <c r="J285" s="1347"/>
      <c r="K285" s="1347"/>
      <c r="O285" s="2633">
        <v>106112169</v>
      </c>
    </row>
    <row r="286" spans="1:22" x14ac:dyDescent="0.25">
      <c r="A286" s="1084" t="s">
        <v>16</v>
      </c>
      <c r="B286" s="1848">
        <v>106105404</v>
      </c>
      <c r="C286" s="1287" t="s">
        <v>1792</v>
      </c>
      <c r="D286" s="1287">
        <v>8536100000</v>
      </c>
      <c r="E286" s="1349" t="s">
        <v>1793</v>
      </c>
      <c r="F286" s="1335" t="s">
        <v>1794</v>
      </c>
      <c r="G286" s="1347" t="s">
        <v>1104</v>
      </c>
      <c r="H286" s="1347"/>
      <c r="I286" s="1347"/>
      <c r="J286" s="1347"/>
      <c r="K286" s="1347"/>
      <c r="N286" s="3924"/>
      <c r="O286" s="3927"/>
      <c r="P286" s="3927"/>
      <c r="Q286" s="3926"/>
      <c r="R286" s="99"/>
      <c r="S286" s="99"/>
      <c r="T286" s="99"/>
      <c r="U286" s="99"/>
      <c r="V286" s="99"/>
    </row>
    <row r="287" spans="1:22" x14ac:dyDescent="0.25">
      <c r="A287" s="1084" t="s">
        <v>16</v>
      </c>
      <c r="B287" s="1848">
        <v>106105421</v>
      </c>
      <c r="C287" s="1287" t="s">
        <v>1795</v>
      </c>
      <c r="D287" s="1287">
        <v>8536100000</v>
      </c>
      <c r="E287" s="1349" t="s">
        <v>1796</v>
      </c>
      <c r="F287" s="1335" t="s">
        <v>1797</v>
      </c>
      <c r="G287" s="1280" t="s">
        <v>1104</v>
      </c>
      <c r="H287" s="1347"/>
      <c r="I287" s="1347"/>
      <c r="J287" s="1347"/>
      <c r="K287" s="1347"/>
      <c r="N287" s="3924"/>
      <c r="O287" s="3927"/>
      <c r="P287" s="3927"/>
      <c r="Q287" s="3926"/>
      <c r="R287" s="99"/>
      <c r="S287" s="99"/>
      <c r="T287" s="99"/>
      <c r="U287" s="99"/>
      <c r="V287" s="99"/>
    </row>
    <row r="288" spans="1:22" x14ac:dyDescent="0.25">
      <c r="A288" s="1082" t="s">
        <v>287</v>
      </c>
      <c r="B288" s="1848">
        <v>106105422</v>
      </c>
      <c r="C288" s="1287" t="s">
        <v>1729</v>
      </c>
      <c r="D288" s="1287">
        <v>8536100000</v>
      </c>
      <c r="E288" s="1349" t="s">
        <v>1798</v>
      </c>
      <c r="F288" s="1335" t="s">
        <v>1799</v>
      </c>
      <c r="G288" s="1347"/>
      <c r="H288" s="1347" t="s">
        <v>1104</v>
      </c>
      <c r="I288" s="1347" t="s">
        <v>1104</v>
      </c>
      <c r="J288" s="1347"/>
      <c r="K288" s="1347"/>
      <c r="N288" s="3924"/>
      <c r="O288" s="3927">
        <v>106115185</v>
      </c>
      <c r="P288" s="3927"/>
      <c r="Q288" s="3926"/>
    </row>
    <row r="289" spans="1:22" x14ac:dyDescent="0.25">
      <c r="A289" s="1285" t="s">
        <v>215</v>
      </c>
      <c r="B289" s="1848">
        <v>106105439</v>
      </c>
      <c r="C289" s="1288" t="s">
        <v>1800</v>
      </c>
      <c r="D289" s="1287">
        <v>8536100000</v>
      </c>
      <c r="E289" s="1349" t="s">
        <v>1801</v>
      </c>
      <c r="F289" s="1337" t="s">
        <v>1802</v>
      </c>
      <c r="G289" s="1280" t="s">
        <v>1104</v>
      </c>
      <c r="H289" s="1347"/>
      <c r="I289" s="1347"/>
      <c r="J289" s="1347"/>
      <c r="K289" s="1347"/>
      <c r="R289" s="99"/>
      <c r="S289" s="99"/>
      <c r="T289" s="99"/>
      <c r="U289" s="99"/>
      <c r="V289" s="99"/>
    </row>
    <row r="290" spans="1:22" ht="30" x14ac:dyDescent="0.25">
      <c r="A290" s="1285" t="s">
        <v>971</v>
      </c>
      <c r="B290" s="1848">
        <v>106105886</v>
      </c>
      <c r="C290" s="1288" t="s">
        <v>1314</v>
      </c>
      <c r="D290" s="1287">
        <v>8536100000</v>
      </c>
      <c r="E290" s="1348" t="s">
        <v>1502</v>
      </c>
      <c r="F290" s="1337" t="s">
        <v>1233</v>
      </c>
      <c r="G290" s="1347"/>
      <c r="H290" s="1347" t="s">
        <v>1104</v>
      </c>
      <c r="I290" s="1347"/>
      <c r="J290" s="1347"/>
      <c r="K290" s="1347"/>
      <c r="L290" s="2633" t="s">
        <v>1104</v>
      </c>
      <c r="M290" s="2633" t="s">
        <v>1104</v>
      </c>
      <c r="O290" s="2633" t="s">
        <v>649</v>
      </c>
    </row>
    <row r="291" spans="1:22" ht="30" x14ac:dyDescent="0.25">
      <c r="A291" s="1082" t="s">
        <v>212</v>
      </c>
      <c r="B291" s="1848">
        <v>106105887</v>
      </c>
      <c r="C291" s="1287" t="s">
        <v>1810</v>
      </c>
      <c r="D291" s="1287">
        <v>8536100000</v>
      </c>
      <c r="E291" s="1349" t="s">
        <v>1811</v>
      </c>
      <c r="F291" s="1337" t="s">
        <v>1556</v>
      </c>
      <c r="G291" s="1280" t="s">
        <v>1104</v>
      </c>
      <c r="H291" s="1347"/>
      <c r="I291" s="1347"/>
      <c r="J291" s="1347"/>
      <c r="K291" s="1347"/>
      <c r="L291" s="3927"/>
      <c r="O291" s="2633" t="s">
        <v>649</v>
      </c>
    </row>
    <row r="292" spans="1:22" x14ac:dyDescent="0.25">
      <c r="A292" s="1084" t="s">
        <v>214</v>
      </c>
      <c r="B292" s="1848">
        <v>106105901</v>
      </c>
      <c r="C292" s="1288" t="s">
        <v>1812</v>
      </c>
      <c r="D292" s="1287">
        <v>8536100000</v>
      </c>
      <c r="E292" s="1349" t="s">
        <v>3906</v>
      </c>
      <c r="F292" s="1335" t="s">
        <v>3907</v>
      </c>
      <c r="G292" s="1280" t="s">
        <v>1104</v>
      </c>
      <c r="H292" s="1280"/>
      <c r="I292" s="1280"/>
      <c r="J292" s="1280"/>
      <c r="K292" s="1280"/>
      <c r="L292" s="3927"/>
      <c r="M292" s="2633" t="s">
        <v>1104</v>
      </c>
      <c r="N292" s="3924"/>
      <c r="O292" s="3927" t="s">
        <v>649</v>
      </c>
      <c r="P292" s="3927"/>
      <c r="Q292" s="3926"/>
    </row>
    <row r="293" spans="1:22" x14ac:dyDescent="0.25">
      <c r="A293" s="1082" t="s">
        <v>71</v>
      </c>
      <c r="B293" s="1848">
        <v>106110161</v>
      </c>
      <c r="C293" s="1287" t="s">
        <v>1820</v>
      </c>
      <c r="D293" s="1287">
        <v>8536100000</v>
      </c>
      <c r="E293" s="1349" t="s">
        <v>1821</v>
      </c>
      <c r="F293" s="1337" t="s">
        <v>1822</v>
      </c>
      <c r="G293" s="1347" t="s">
        <v>1104</v>
      </c>
      <c r="H293" s="1347"/>
      <c r="I293" s="1347"/>
      <c r="J293" s="1347"/>
      <c r="K293" s="1347"/>
      <c r="L293" s="3927"/>
      <c r="N293" s="751"/>
      <c r="O293" s="1564">
        <v>106114829</v>
      </c>
      <c r="P293" s="1564"/>
      <c r="Q293" s="1351"/>
    </row>
    <row r="294" spans="1:22" x14ac:dyDescent="0.25">
      <c r="A294" s="1082" t="s">
        <v>15</v>
      </c>
      <c r="B294" s="1848">
        <v>106110452</v>
      </c>
      <c r="C294" s="1287" t="s">
        <v>1830</v>
      </c>
      <c r="D294" s="1287">
        <v>8536100000</v>
      </c>
      <c r="E294" s="1349" t="s">
        <v>1831</v>
      </c>
      <c r="F294" s="1335" t="s">
        <v>1512</v>
      </c>
      <c r="G294" s="1347" t="s">
        <v>1104</v>
      </c>
      <c r="H294" s="905"/>
      <c r="I294" s="1347"/>
      <c r="J294" s="1347"/>
      <c r="K294" s="1347"/>
      <c r="M294" s="3927"/>
      <c r="N294" s="3924"/>
      <c r="O294" s="3927" t="s">
        <v>649</v>
      </c>
      <c r="P294" s="3927"/>
      <c r="Q294" s="3926"/>
    </row>
    <row r="295" spans="1:22" x14ac:dyDescent="0.25">
      <c r="A295" s="1082" t="s">
        <v>15</v>
      </c>
      <c r="B295" s="1848">
        <v>106110905</v>
      </c>
      <c r="C295" s="1287" t="s">
        <v>1839</v>
      </c>
      <c r="D295" s="1287">
        <v>8536100000</v>
      </c>
      <c r="E295" s="1349" t="s">
        <v>1840</v>
      </c>
      <c r="F295" s="1335" t="s">
        <v>1513</v>
      </c>
      <c r="G295" s="1347" t="s">
        <v>1104</v>
      </c>
      <c r="H295" s="1347"/>
      <c r="I295" s="1347"/>
      <c r="J295" s="1347"/>
      <c r="K295" s="1347"/>
      <c r="N295" s="3924"/>
      <c r="O295" s="3927" t="s">
        <v>649</v>
      </c>
      <c r="P295" s="3927"/>
      <c r="Q295" s="3926"/>
      <c r="R295" s="86"/>
      <c r="S295" s="86"/>
      <c r="T295" s="86"/>
      <c r="U295" s="86"/>
      <c r="V295" s="86"/>
    </row>
    <row r="296" spans="1:22" x14ac:dyDescent="0.25">
      <c r="A296" s="1082"/>
      <c r="B296" s="1848">
        <v>106111647</v>
      </c>
      <c r="C296" s="1287" t="s">
        <v>1546</v>
      </c>
      <c r="D296" s="1287">
        <v>8536100000</v>
      </c>
      <c r="E296" s="1349" t="s">
        <v>1353</v>
      </c>
      <c r="F296" s="1337" t="s">
        <v>1229</v>
      </c>
      <c r="G296" s="1347"/>
      <c r="H296" s="1347" t="s">
        <v>1104</v>
      </c>
      <c r="I296" s="1347"/>
      <c r="J296" s="1347"/>
      <c r="K296" s="1347"/>
      <c r="O296" s="2633" t="s">
        <v>649</v>
      </c>
      <c r="R296" s="3926"/>
      <c r="S296" s="3926"/>
      <c r="T296" s="3926"/>
      <c r="U296" s="3926"/>
      <c r="V296" s="3926"/>
    </row>
    <row r="297" spans="1:22" ht="30" x14ac:dyDescent="0.25">
      <c r="A297" s="1082"/>
      <c r="B297" s="1848">
        <v>106112100</v>
      </c>
      <c r="C297" s="1287" t="s">
        <v>1850</v>
      </c>
      <c r="D297" s="1287">
        <v>8536100000</v>
      </c>
      <c r="E297" s="1349" t="s">
        <v>1353</v>
      </c>
      <c r="F297" s="1337" t="s">
        <v>1229</v>
      </c>
      <c r="G297" s="1083"/>
      <c r="H297" s="1347" t="s">
        <v>1104</v>
      </c>
      <c r="I297" s="1083"/>
      <c r="J297" s="1083"/>
      <c r="K297" s="1083"/>
      <c r="O297" s="2633" t="s">
        <v>649</v>
      </c>
      <c r="R297" s="3926"/>
      <c r="S297" s="3926"/>
      <c r="T297" s="3926"/>
      <c r="U297" s="3926"/>
      <c r="V297" s="3926"/>
    </row>
    <row r="298" spans="1:22" x14ac:dyDescent="0.25">
      <c r="A298" s="1082" t="s">
        <v>119</v>
      </c>
      <c r="B298" s="1848">
        <v>106112169</v>
      </c>
      <c r="C298" s="1287" t="s">
        <v>1517</v>
      </c>
      <c r="D298" s="1287">
        <v>8536100000</v>
      </c>
      <c r="E298" s="1349" t="s">
        <v>1515</v>
      </c>
      <c r="F298" s="1335" t="s">
        <v>1516</v>
      </c>
      <c r="G298" s="1347"/>
      <c r="H298" s="1347" t="s">
        <v>1104</v>
      </c>
      <c r="I298" s="1347" t="s">
        <v>1104</v>
      </c>
      <c r="J298" s="1347"/>
      <c r="K298" s="1347"/>
      <c r="O298" s="2633" t="s">
        <v>649</v>
      </c>
      <c r="R298" s="3926"/>
      <c r="S298" s="3926"/>
      <c r="T298" s="3926"/>
      <c r="U298" s="3926"/>
      <c r="V298" s="3926"/>
    </row>
    <row r="299" spans="1:22" ht="30" x14ac:dyDescent="0.25">
      <c r="A299" s="1285" t="s">
        <v>1118</v>
      </c>
      <c r="B299" s="1848">
        <v>106112520</v>
      </c>
      <c r="C299" s="1287" t="s">
        <v>1120</v>
      </c>
      <c r="D299" s="1287">
        <v>8536100000</v>
      </c>
      <c r="E299" s="1348" t="s">
        <v>1510</v>
      </c>
      <c r="F299" s="1335" t="s">
        <v>1509</v>
      </c>
      <c r="G299" s="1280"/>
      <c r="H299" s="1280" t="s">
        <v>1104</v>
      </c>
      <c r="I299" s="1280" t="s">
        <v>1104</v>
      </c>
      <c r="J299" s="1280"/>
      <c r="K299" s="1280"/>
      <c r="L299" s="2633" t="s">
        <v>1104</v>
      </c>
      <c r="M299" s="2633" t="s">
        <v>1104</v>
      </c>
      <c r="O299" s="2633" t="s">
        <v>649</v>
      </c>
      <c r="R299" s="3926"/>
      <c r="S299" s="3926"/>
      <c r="T299" s="3926"/>
      <c r="U299" s="3926"/>
      <c r="V299" s="3926"/>
    </row>
    <row r="300" spans="1:22" ht="30" x14ac:dyDescent="0.25">
      <c r="A300" s="1082" t="s">
        <v>1121</v>
      </c>
      <c r="B300" s="1848">
        <v>106112712</v>
      </c>
      <c r="C300" s="1287" t="s">
        <v>1855</v>
      </c>
      <c r="D300" s="1287">
        <v>8536100000</v>
      </c>
      <c r="E300" s="1348" t="s">
        <v>1856</v>
      </c>
      <c r="F300" s="1335" t="s">
        <v>1519</v>
      </c>
      <c r="G300" s="1347" t="s">
        <v>1104</v>
      </c>
      <c r="H300" s="1347" t="s">
        <v>1104</v>
      </c>
      <c r="I300" s="1347"/>
      <c r="J300" s="1347"/>
      <c r="K300" s="1347"/>
      <c r="L300" s="2633" t="s">
        <v>1104</v>
      </c>
      <c r="M300" s="3923"/>
      <c r="N300" s="3924"/>
      <c r="O300" s="3927" t="s">
        <v>649</v>
      </c>
      <c r="P300" s="3927"/>
      <c r="Q300" s="3926"/>
    </row>
    <row r="301" spans="1:22" ht="30" x14ac:dyDescent="0.25">
      <c r="A301" s="1082" t="s">
        <v>71</v>
      </c>
      <c r="B301" s="1848">
        <v>106114829</v>
      </c>
      <c r="C301" s="1287" t="s">
        <v>1890</v>
      </c>
      <c r="D301" s="1287">
        <v>8536100000</v>
      </c>
      <c r="E301" s="1349" t="s">
        <v>1821</v>
      </c>
      <c r="F301" s="1337" t="s">
        <v>1822</v>
      </c>
      <c r="G301" s="1347" t="s">
        <v>1104</v>
      </c>
      <c r="H301" s="1273"/>
      <c r="I301" s="1347"/>
      <c r="J301" s="1347"/>
      <c r="K301" s="1347"/>
      <c r="L301" s="3922"/>
      <c r="O301" s="2633" t="s">
        <v>649</v>
      </c>
    </row>
    <row r="302" spans="1:22" x14ac:dyDescent="0.25">
      <c r="A302" s="1082" t="s">
        <v>287</v>
      </c>
      <c r="B302" s="1848">
        <v>106115185</v>
      </c>
      <c r="C302" s="1287" t="s">
        <v>1891</v>
      </c>
      <c r="D302" s="1287">
        <v>8536100000</v>
      </c>
      <c r="E302" s="1349" t="s">
        <v>1225</v>
      </c>
      <c r="F302" s="1335" t="s">
        <v>1226</v>
      </c>
      <c r="G302" s="1347"/>
      <c r="H302" s="1347" t="s">
        <v>1104</v>
      </c>
      <c r="I302" s="1347"/>
      <c r="J302" s="1347"/>
      <c r="K302" s="1347"/>
      <c r="N302" s="3924"/>
      <c r="O302" s="3927" t="s">
        <v>649</v>
      </c>
      <c r="P302" s="3927"/>
      <c r="Q302" s="3926"/>
    </row>
    <row r="303" spans="1:22" ht="30" x14ac:dyDescent="0.25">
      <c r="A303" s="1287" t="s">
        <v>1116</v>
      </c>
      <c r="B303" s="1848">
        <v>106116005</v>
      </c>
      <c r="C303" s="1287" t="s">
        <v>1892</v>
      </c>
      <c r="D303" s="1287">
        <v>8536100000</v>
      </c>
      <c r="E303" s="1549" t="s">
        <v>1498</v>
      </c>
      <c r="F303" s="1550" t="s">
        <v>1499</v>
      </c>
      <c r="G303" s="274"/>
      <c r="H303" s="274" t="s">
        <v>1104</v>
      </c>
      <c r="I303" s="274" t="s">
        <v>1104</v>
      </c>
      <c r="J303" s="274"/>
      <c r="K303" s="274"/>
      <c r="L303" s="3923"/>
      <c r="M303" s="2633" t="s">
        <v>1104</v>
      </c>
      <c r="O303" s="3923" t="s">
        <v>649</v>
      </c>
      <c r="P303" s="3923"/>
      <c r="Q303" s="794"/>
    </row>
    <row r="304" spans="1:22" x14ac:dyDescent="0.25">
      <c r="A304" s="1082" t="s">
        <v>1046</v>
      </c>
      <c r="B304" s="1848">
        <v>106117401</v>
      </c>
      <c r="C304" s="1287" t="s">
        <v>1893</v>
      </c>
      <c r="D304" s="1287">
        <v>8536100000</v>
      </c>
      <c r="E304" s="1549" t="s">
        <v>1894</v>
      </c>
      <c r="F304" s="1550" t="s">
        <v>1518</v>
      </c>
      <c r="G304" s="1347"/>
      <c r="H304" s="1347" t="s">
        <v>1104</v>
      </c>
      <c r="I304" s="1347"/>
      <c r="J304" s="1347"/>
      <c r="K304" s="1347"/>
      <c r="O304" s="2633" t="s">
        <v>649</v>
      </c>
    </row>
    <row r="305" spans="1:22" ht="30" x14ac:dyDescent="0.25">
      <c r="A305" s="1082" t="s">
        <v>1119</v>
      </c>
      <c r="B305" s="1848">
        <v>106117953</v>
      </c>
      <c r="C305" s="1287" t="s">
        <v>1895</v>
      </c>
      <c r="D305" s="1287">
        <v>8536100000</v>
      </c>
      <c r="E305" s="1348" t="s">
        <v>1896</v>
      </c>
      <c r="F305" s="1335" t="s">
        <v>1511</v>
      </c>
      <c r="G305" s="1280"/>
      <c r="H305" s="1280"/>
      <c r="I305" s="1280"/>
      <c r="J305" s="1280"/>
      <c r="K305" s="1280"/>
      <c r="L305" s="2633" t="s">
        <v>1104</v>
      </c>
      <c r="M305" s="2633" t="s">
        <v>1104</v>
      </c>
      <c r="O305" s="2633" t="s">
        <v>649</v>
      </c>
    </row>
    <row r="306" spans="1:22" ht="30" x14ac:dyDescent="0.25">
      <c r="A306" s="1082" t="s">
        <v>1119</v>
      </c>
      <c r="B306" s="1848">
        <v>106118069</v>
      </c>
      <c r="C306" s="1287" t="s">
        <v>1897</v>
      </c>
      <c r="D306" s="1287">
        <v>8536100000</v>
      </c>
      <c r="E306" s="1348" t="s">
        <v>1898</v>
      </c>
      <c r="F306" s="1335" t="s">
        <v>1508</v>
      </c>
      <c r="G306" s="1280"/>
      <c r="H306" s="1280"/>
      <c r="I306" s="1280"/>
      <c r="J306" s="1280"/>
      <c r="K306" s="1280"/>
      <c r="L306" s="2633" t="s">
        <v>1104</v>
      </c>
      <c r="M306" s="2633" t="s">
        <v>1104</v>
      </c>
      <c r="O306" s="2633" t="s">
        <v>649</v>
      </c>
    </row>
    <row r="307" spans="1:22" x14ac:dyDescent="0.25">
      <c r="A307" s="1082" t="s">
        <v>1585</v>
      </c>
      <c r="B307" s="1848">
        <v>106118389</v>
      </c>
      <c r="C307" s="291" t="s">
        <v>2419</v>
      </c>
      <c r="D307" s="1287">
        <v>8536100000</v>
      </c>
      <c r="E307" s="1358" t="s">
        <v>2222</v>
      </c>
      <c r="F307" s="1356" t="s">
        <v>2223</v>
      </c>
      <c r="G307" s="1383"/>
      <c r="J307" s="2633" t="s">
        <v>1104</v>
      </c>
      <c r="O307" s="2633" t="s">
        <v>649</v>
      </c>
    </row>
    <row r="308" spans="1:22" x14ac:dyDescent="0.25">
      <c r="A308" s="1082" t="s">
        <v>2399</v>
      </c>
      <c r="B308" s="1848">
        <v>106118392</v>
      </c>
      <c r="C308" s="291" t="s">
        <v>2420</v>
      </c>
      <c r="D308" s="1287">
        <v>8536100000</v>
      </c>
      <c r="E308" s="1358" t="s">
        <v>2369</v>
      </c>
      <c r="F308" s="1356" t="s">
        <v>2370</v>
      </c>
      <c r="G308" s="1383"/>
      <c r="J308" s="2633" t="s">
        <v>1104</v>
      </c>
      <c r="O308" s="2633" t="s">
        <v>649</v>
      </c>
    </row>
    <row r="309" spans="1:22" ht="30" x14ac:dyDescent="0.25">
      <c r="B309" s="1848">
        <v>106118733</v>
      </c>
      <c r="C309" s="794" t="s">
        <v>1813</v>
      </c>
      <c r="D309" s="1287">
        <v>8536100000</v>
      </c>
      <c r="E309" s="1348" t="s">
        <v>1899</v>
      </c>
      <c r="F309" s="1335" t="s">
        <v>1385</v>
      </c>
      <c r="N309" s="3923" t="s">
        <v>1104</v>
      </c>
      <c r="O309" s="2633" t="s">
        <v>649</v>
      </c>
    </row>
    <row r="310" spans="1:22" x14ac:dyDescent="0.25">
      <c r="A310" s="1082" t="s">
        <v>271</v>
      </c>
      <c r="B310" s="1848">
        <v>106120457</v>
      </c>
      <c r="C310" s="1288" t="s">
        <v>1504</v>
      </c>
      <c r="D310" s="1287">
        <v>8536100000</v>
      </c>
      <c r="E310" s="1349" t="s">
        <v>1900</v>
      </c>
      <c r="F310" s="1335" t="s">
        <v>1901</v>
      </c>
      <c r="G310" s="1347"/>
      <c r="H310" s="1347" t="s">
        <v>1104</v>
      </c>
      <c r="I310" s="1347"/>
      <c r="J310" s="1347"/>
      <c r="K310" s="1347"/>
      <c r="O310" s="2633" t="s">
        <v>649</v>
      </c>
    </row>
    <row r="311" spans="1:22" x14ac:dyDescent="0.25">
      <c r="A311" s="1082" t="s">
        <v>1581</v>
      </c>
      <c r="B311" s="1848">
        <v>106121018</v>
      </c>
      <c r="C311" s="291" t="s">
        <v>2428</v>
      </c>
      <c r="D311" s="1287">
        <v>8536100000</v>
      </c>
      <c r="E311" s="1358" t="s">
        <v>2381</v>
      </c>
      <c r="F311" s="1356" t="s">
        <v>2219</v>
      </c>
      <c r="G311" s="1383"/>
      <c r="J311" s="2633" t="s">
        <v>1104</v>
      </c>
      <c r="O311" s="2633" t="s">
        <v>649</v>
      </c>
    </row>
    <row r="312" spans="1:22" x14ac:dyDescent="0.25">
      <c r="A312" s="1082" t="s">
        <v>1582</v>
      </c>
      <c r="B312" s="1848">
        <v>106121019</v>
      </c>
      <c r="C312" s="291" t="s">
        <v>2429</v>
      </c>
      <c r="D312" s="1287">
        <v>8536100000</v>
      </c>
      <c r="E312" s="1358" t="s">
        <v>2220</v>
      </c>
      <c r="F312" s="1356" t="s">
        <v>2221</v>
      </c>
      <c r="G312" s="1383"/>
      <c r="J312" s="2633" t="s">
        <v>1104</v>
      </c>
      <c r="O312" s="2633" t="s">
        <v>649</v>
      </c>
    </row>
    <row r="313" spans="1:22" ht="30" x14ac:dyDescent="0.25">
      <c r="A313" s="1082" t="s">
        <v>1591</v>
      </c>
      <c r="B313" s="1848">
        <v>106121020</v>
      </c>
      <c r="C313" s="1287" t="s">
        <v>2434</v>
      </c>
      <c r="D313" s="1287">
        <v>8536100000</v>
      </c>
      <c r="E313" s="1358" t="s">
        <v>2224</v>
      </c>
      <c r="F313" s="1356" t="s">
        <v>2225</v>
      </c>
      <c r="G313" s="1383"/>
      <c r="J313" s="2633" t="s">
        <v>1104</v>
      </c>
      <c r="O313" s="2633" t="s">
        <v>649</v>
      </c>
      <c r="R313" s="794"/>
      <c r="S313" s="794"/>
      <c r="T313" s="794"/>
      <c r="U313" s="794"/>
      <c r="V313" s="794"/>
    </row>
    <row r="314" spans="1:22" x14ac:dyDescent="0.25">
      <c r="A314" s="48" t="s">
        <v>2489</v>
      </c>
      <c r="B314" s="1848">
        <v>106119667</v>
      </c>
      <c r="C314" s="1358" t="s">
        <v>2843</v>
      </c>
      <c r="D314" s="1287">
        <v>8536100000</v>
      </c>
      <c r="E314" s="1383" t="s">
        <v>2592</v>
      </c>
      <c r="F314" s="1356" t="s">
        <v>2593</v>
      </c>
      <c r="I314" s="2633" t="s">
        <v>1104</v>
      </c>
      <c r="J314" s="3923"/>
      <c r="K314" s="3923"/>
      <c r="L314" s="142"/>
      <c r="N314" s="2633"/>
      <c r="O314" s="2633" t="s">
        <v>649</v>
      </c>
    </row>
    <row r="315" spans="1:22" x14ac:dyDescent="0.25">
      <c r="A315" s="48" t="s">
        <v>2490</v>
      </c>
      <c r="B315" s="1848">
        <v>106119669</v>
      </c>
      <c r="C315" s="1358" t="s">
        <v>2844</v>
      </c>
      <c r="D315" s="1287">
        <v>8536100000</v>
      </c>
      <c r="E315" s="1383" t="s">
        <v>2594</v>
      </c>
      <c r="F315" s="1356" t="s">
        <v>2595</v>
      </c>
      <c r="I315" s="2633" t="s">
        <v>1104</v>
      </c>
      <c r="J315" s="3923"/>
      <c r="K315" s="3923"/>
      <c r="L315" s="142"/>
      <c r="N315" s="2633"/>
      <c r="O315" s="2633" t="s">
        <v>649</v>
      </c>
    </row>
    <row r="316" spans="1:22" x14ac:dyDescent="0.25">
      <c r="A316" s="48" t="s">
        <v>3043</v>
      </c>
      <c r="B316" s="1848">
        <v>106122040</v>
      </c>
      <c r="C316" s="1358" t="s">
        <v>3285</v>
      </c>
      <c r="D316" s="1287">
        <v>8536100000</v>
      </c>
      <c r="E316" s="1383" t="s">
        <v>3044</v>
      </c>
      <c r="F316" s="1356" t="s">
        <v>3045</v>
      </c>
      <c r="K316" s="2633" t="s">
        <v>1104</v>
      </c>
      <c r="L316" s="3923"/>
      <c r="M316" s="142"/>
      <c r="N316" s="2633"/>
      <c r="P316" s="1848"/>
    </row>
    <row r="317" spans="1:22" x14ac:dyDescent="0.25">
      <c r="A317" s="48" t="s">
        <v>3056</v>
      </c>
      <c r="B317" s="1848">
        <v>106122008</v>
      </c>
      <c r="C317" s="1358" t="s">
        <v>3287</v>
      </c>
      <c r="D317" s="1287">
        <v>8536100000</v>
      </c>
      <c r="E317" s="1383" t="s">
        <v>2934</v>
      </c>
      <c r="F317" s="1356" t="s">
        <v>2935</v>
      </c>
      <c r="K317" s="2633" t="s">
        <v>1104</v>
      </c>
      <c r="L317" s="3923"/>
      <c r="M317" s="142"/>
      <c r="N317" s="2633"/>
      <c r="O317" s="2633" t="s">
        <v>649</v>
      </c>
      <c r="P317" s="1848"/>
    </row>
    <row r="318" spans="1:22" x14ac:dyDescent="0.25">
      <c r="A318" s="1342" t="s">
        <v>2489</v>
      </c>
      <c r="B318" s="1848">
        <v>106126866</v>
      </c>
      <c r="C318" s="3928" t="s">
        <v>3854</v>
      </c>
      <c r="D318" s="1287">
        <v>8536100000</v>
      </c>
      <c r="E318" s="1358" t="s">
        <v>3855</v>
      </c>
      <c r="F318" s="1356" t="s">
        <v>3856</v>
      </c>
      <c r="I318" s="2633" t="s">
        <v>1104</v>
      </c>
      <c r="M318" s="751"/>
    </row>
    <row r="319" spans="1:22" x14ac:dyDescent="0.25">
      <c r="A319" s="1082" t="s">
        <v>210</v>
      </c>
      <c r="B319" s="1848">
        <v>106105751</v>
      </c>
      <c r="C319" s="1287" t="s">
        <v>1803</v>
      </c>
      <c r="D319" s="1287">
        <v>8533100000</v>
      </c>
      <c r="E319" s="1349" t="s">
        <v>1804</v>
      </c>
      <c r="F319" s="1335" t="s">
        <v>1805</v>
      </c>
      <c r="G319" s="1280" t="s">
        <v>1104</v>
      </c>
      <c r="H319" s="1347"/>
      <c r="I319" s="1347"/>
      <c r="J319" s="1347"/>
      <c r="K319" s="1347"/>
      <c r="R319" s="99"/>
      <c r="S319" s="99"/>
      <c r="T319" s="99"/>
      <c r="U319" s="99"/>
      <c r="V319" s="99"/>
    </row>
    <row r="320" spans="1:22" x14ac:dyDescent="0.25">
      <c r="A320" s="1082" t="s">
        <v>884</v>
      </c>
      <c r="B320" s="1848">
        <v>106110284</v>
      </c>
      <c r="C320" s="1287" t="s">
        <v>1828</v>
      </c>
      <c r="D320" s="1287">
        <v>8533100000</v>
      </c>
      <c r="E320" s="1349" t="s">
        <v>885</v>
      </c>
      <c r="F320" s="1335" t="s">
        <v>1829</v>
      </c>
      <c r="G320" s="1347" t="s">
        <v>1104</v>
      </c>
      <c r="H320" s="1091"/>
      <c r="I320" s="1347"/>
      <c r="J320" s="1347"/>
      <c r="K320" s="1347"/>
      <c r="L320" s="3927"/>
      <c r="M320" s="3927"/>
    </row>
    <row r="321" spans="1:22" ht="30" x14ac:dyDescent="0.25">
      <c r="A321" s="1082" t="s">
        <v>884</v>
      </c>
      <c r="B321" s="3283">
        <v>106204234</v>
      </c>
      <c r="C321" s="1082" t="s">
        <v>1997</v>
      </c>
      <c r="D321" s="1287">
        <v>8533100000</v>
      </c>
      <c r="E321" s="1349" t="s">
        <v>1608</v>
      </c>
      <c r="F321" s="3284" t="s">
        <v>1609</v>
      </c>
      <c r="G321" s="1347"/>
      <c r="H321" s="1347" t="s">
        <v>1104</v>
      </c>
      <c r="I321" s="1347" t="s">
        <v>1104</v>
      </c>
      <c r="J321" s="1347" t="s">
        <v>1104</v>
      </c>
      <c r="K321" s="1347"/>
      <c r="L321" s="1347"/>
      <c r="M321" s="3927"/>
      <c r="N321" s="3927"/>
      <c r="O321" s="2633" t="s">
        <v>649</v>
      </c>
      <c r="Q321" s="2633"/>
      <c r="R321" s="86"/>
      <c r="S321" s="86"/>
      <c r="T321" s="86"/>
      <c r="U321" s="86"/>
      <c r="V321" s="86"/>
    </row>
    <row r="322" spans="1:22" x14ac:dyDescent="0.25">
      <c r="A322" s="48" t="s">
        <v>1143</v>
      </c>
      <c r="B322" s="1848">
        <v>106122942</v>
      </c>
      <c r="C322" s="1358" t="s">
        <v>3296</v>
      </c>
      <c r="D322" s="1287">
        <v>8533100000</v>
      </c>
      <c r="E322" s="1383" t="s">
        <v>2899</v>
      </c>
      <c r="F322" s="1356" t="s">
        <v>2900</v>
      </c>
      <c r="K322" s="2633" t="s">
        <v>1104</v>
      </c>
      <c r="L322" s="3923"/>
      <c r="M322" s="142"/>
      <c r="N322" s="2633"/>
      <c r="P322" s="1848"/>
    </row>
    <row r="323" spans="1:22" ht="30" x14ac:dyDescent="0.25">
      <c r="A323" s="1082" t="s">
        <v>108</v>
      </c>
      <c r="B323" s="1848">
        <v>106104330</v>
      </c>
      <c r="C323" s="1287" t="s">
        <v>1773</v>
      </c>
      <c r="D323" s="1287">
        <v>8532290000</v>
      </c>
      <c r="E323" s="1348" t="s">
        <v>1437</v>
      </c>
      <c r="F323" s="1336" t="s">
        <v>1438</v>
      </c>
      <c r="G323" s="1347"/>
      <c r="H323" s="1347" t="s">
        <v>1104</v>
      </c>
      <c r="I323" s="1347" t="s">
        <v>1104</v>
      </c>
      <c r="J323" s="1347"/>
      <c r="K323" s="1347"/>
      <c r="O323" s="1565" t="s">
        <v>1439</v>
      </c>
      <c r="P323" s="1565"/>
    </row>
    <row r="324" spans="1:22" ht="30" x14ac:dyDescent="0.25">
      <c r="A324" s="1082" t="s">
        <v>211</v>
      </c>
      <c r="B324" s="1848">
        <v>106105883</v>
      </c>
      <c r="C324" s="1287" t="s">
        <v>1807</v>
      </c>
      <c r="D324" s="1287">
        <v>8532290000</v>
      </c>
      <c r="E324" s="1349" t="s">
        <v>1808</v>
      </c>
      <c r="F324" s="1335" t="s">
        <v>1809</v>
      </c>
      <c r="G324" s="1347" t="s">
        <v>1104</v>
      </c>
      <c r="H324" s="1347"/>
      <c r="I324" s="1347"/>
      <c r="J324" s="1347"/>
      <c r="K324" s="1347"/>
      <c r="N324" s="751"/>
      <c r="O324" s="142" t="s">
        <v>649</v>
      </c>
      <c r="P324" s="142"/>
      <c r="Q324" s="1351"/>
    </row>
    <row r="325" spans="1:22" ht="30" x14ac:dyDescent="0.25">
      <c r="A325" s="1082" t="s">
        <v>298</v>
      </c>
      <c r="B325" s="1848">
        <v>106114697</v>
      </c>
      <c r="C325" s="1287" t="s">
        <v>1886</v>
      </c>
      <c r="D325" s="1287">
        <v>8532290000</v>
      </c>
      <c r="E325" s="1349" t="s">
        <v>1248</v>
      </c>
      <c r="F325" s="1335" t="s">
        <v>1249</v>
      </c>
      <c r="G325" s="1083"/>
      <c r="H325" s="1347" t="s">
        <v>1104</v>
      </c>
      <c r="I325" s="1083"/>
      <c r="J325" s="1083"/>
      <c r="K325" s="1083"/>
      <c r="L325" s="3922"/>
      <c r="O325" s="2633" t="s">
        <v>649</v>
      </c>
    </row>
    <row r="326" spans="1:22" x14ac:dyDescent="0.25">
      <c r="A326" s="2352" t="s">
        <v>298</v>
      </c>
      <c r="B326" s="2353">
        <v>106205211</v>
      </c>
      <c r="C326" s="2354" t="s">
        <v>2448</v>
      </c>
      <c r="D326" s="1287">
        <v>8532290000</v>
      </c>
      <c r="E326" s="1358" t="s">
        <v>2973</v>
      </c>
      <c r="F326" s="2365" t="s">
        <v>2974</v>
      </c>
      <c r="G326" s="1351"/>
      <c r="H326" s="142"/>
      <c r="I326" s="142"/>
      <c r="J326" s="142" t="s">
        <v>1104</v>
      </c>
      <c r="K326" s="142" t="s">
        <v>1104</v>
      </c>
      <c r="L326" s="142"/>
      <c r="M326" s="142"/>
      <c r="N326" s="751"/>
      <c r="O326" s="142" t="s">
        <v>649</v>
      </c>
      <c r="P326" s="142"/>
      <c r="Q326" s="1351"/>
      <c r="R326" s="1351"/>
      <c r="S326" s="1351"/>
      <c r="T326" s="1351"/>
      <c r="U326" s="1351"/>
      <c r="V326" s="1351"/>
    </row>
    <row r="327" spans="1:22" x14ac:dyDescent="0.25">
      <c r="B327" s="1848">
        <v>106122086</v>
      </c>
      <c r="C327" s="1358" t="s">
        <v>2842</v>
      </c>
      <c r="D327" s="1287">
        <v>8532290000</v>
      </c>
      <c r="E327" s="1383" t="s">
        <v>2551</v>
      </c>
      <c r="F327" s="1356" t="s">
        <v>2552</v>
      </c>
      <c r="I327" s="2633" t="s">
        <v>1104</v>
      </c>
      <c r="J327" s="3923"/>
      <c r="K327" s="3923"/>
      <c r="L327" s="142"/>
      <c r="N327" s="2633"/>
    </row>
    <row r="328" spans="1:22" x14ac:dyDescent="0.25">
      <c r="A328" s="1082"/>
      <c r="B328" s="1848">
        <v>106105037</v>
      </c>
      <c r="C328" s="1287" t="s">
        <v>1542</v>
      </c>
      <c r="D328" s="1287">
        <v>8532220000</v>
      </c>
      <c r="E328" s="1349" t="s">
        <v>2549</v>
      </c>
      <c r="F328" s="1335" t="s">
        <v>2550</v>
      </c>
      <c r="G328" s="1347"/>
      <c r="H328" s="1347" t="s">
        <v>1104</v>
      </c>
      <c r="I328" s="1347"/>
      <c r="J328" s="1347"/>
      <c r="K328" s="1347"/>
      <c r="M328" s="1347"/>
    </row>
    <row r="329" spans="1:22" ht="30" x14ac:dyDescent="0.25">
      <c r="A329" s="1082" t="s">
        <v>298</v>
      </c>
      <c r="B329" s="1848">
        <v>106105038</v>
      </c>
      <c r="C329" s="1287" t="s">
        <v>1779</v>
      </c>
      <c r="D329" s="1287">
        <v>8532220000</v>
      </c>
      <c r="E329" s="1349" t="s">
        <v>1248</v>
      </c>
      <c r="F329" s="1335" t="s">
        <v>1249</v>
      </c>
      <c r="G329" s="1347"/>
      <c r="H329" s="1347" t="s">
        <v>1104</v>
      </c>
      <c r="I329" s="1347"/>
      <c r="J329" s="1347"/>
      <c r="K329" s="1347"/>
      <c r="O329" s="2633">
        <v>106114697</v>
      </c>
    </row>
    <row r="330" spans="1:22" x14ac:dyDescent="0.25">
      <c r="A330" s="48" t="s">
        <v>24</v>
      </c>
      <c r="B330" s="1848">
        <v>106117762</v>
      </c>
      <c r="C330" s="1358" t="s">
        <v>3037</v>
      </c>
      <c r="D330" s="1287">
        <v>8532220000</v>
      </c>
      <c r="E330" s="1383" t="s">
        <v>2952</v>
      </c>
      <c r="F330" s="1356" t="s">
        <v>2953</v>
      </c>
      <c r="H330" s="2633" t="s">
        <v>1104</v>
      </c>
      <c r="I330" s="2633" t="s">
        <v>1104</v>
      </c>
      <c r="L330" s="3923"/>
      <c r="M330" s="142"/>
      <c r="N330" s="2633"/>
      <c r="P330" s="1848"/>
    </row>
    <row r="331" spans="1:22" ht="30" x14ac:dyDescent="0.25">
      <c r="A331" s="1288" t="s">
        <v>196</v>
      </c>
      <c r="B331" s="1848">
        <v>106201346</v>
      </c>
      <c r="C331" s="1288" t="s">
        <v>324</v>
      </c>
      <c r="D331" s="1287">
        <v>8528590000</v>
      </c>
      <c r="E331" s="2226" t="s">
        <v>1525</v>
      </c>
      <c r="F331" s="1550" t="s">
        <v>1526</v>
      </c>
      <c r="G331" s="274" t="s">
        <v>1104</v>
      </c>
      <c r="H331" s="274" t="s">
        <v>1104</v>
      </c>
      <c r="I331" s="274" t="s">
        <v>1104</v>
      </c>
      <c r="J331" s="274" t="s">
        <v>1104</v>
      </c>
      <c r="K331" s="274"/>
      <c r="L331" s="3923"/>
      <c r="M331" s="3923"/>
      <c r="O331" s="3923"/>
      <c r="P331" s="3923"/>
      <c r="Q331" s="794"/>
      <c r="R331" s="794"/>
      <c r="S331" s="794"/>
      <c r="T331" s="794"/>
      <c r="U331" s="794"/>
      <c r="V331" s="794"/>
    </row>
    <row r="332" spans="1:22" x14ac:dyDescent="0.25">
      <c r="B332" s="1848" t="s">
        <v>1383</v>
      </c>
      <c r="C332" s="411" t="s">
        <v>2010</v>
      </c>
      <c r="D332" s="1287">
        <v>8507102010</v>
      </c>
      <c r="E332" s="1349" t="s">
        <v>2011</v>
      </c>
      <c r="F332" s="1496" t="s">
        <v>2012</v>
      </c>
      <c r="N332" s="3923" t="s">
        <v>1104</v>
      </c>
    </row>
    <row r="333" spans="1:22" ht="30" x14ac:dyDescent="0.25">
      <c r="A333" s="1082" t="s">
        <v>29</v>
      </c>
      <c r="B333" s="1848">
        <v>106104129</v>
      </c>
      <c r="C333" s="1287" t="s">
        <v>1491</v>
      </c>
      <c r="D333" s="1287">
        <v>8504901190</v>
      </c>
      <c r="E333" s="1287" t="s">
        <v>2377</v>
      </c>
      <c r="F333" s="1335" t="s">
        <v>2378</v>
      </c>
      <c r="G333" s="1347"/>
      <c r="H333" s="1347" t="s">
        <v>1104</v>
      </c>
      <c r="I333" s="1347"/>
      <c r="J333" s="1347"/>
      <c r="K333" s="1347"/>
      <c r="M333" s="3923"/>
      <c r="O333" s="2633">
        <v>106111793</v>
      </c>
      <c r="R333" s="794"/>
      <c r="S333" s="794"/>
      <c r="T333" s="794"/>
      <c r="U333" s="794"/>
      <c r="V333" s="794"/>
    </row>
    <row r="334" spans="1:22" x14ac:dyDescent="0.25">
      <c r="A334" s="1082" t="s">
        <v>1787</v>
      </c>
      <c r="B334" s="1848">
        <v>106105379</v>
      </c>
      <c r="C334" s="1287" t="s">
        <v>1492</v>
      </c>
      <c r="D334" s="1287">
        <v>8504901190</v>
      </c>
      <c r="E334" s="1287" t="s">
        <v>1788</v>
      </c>
      <c r="F334" s="1335" t="s">
        <v>1789</v>
      </c>
      <c r="G334" s="1347" t="s">
        <v>1104</v>
      </c>
      <c r="H334" s="1347"/>
      <c r="I334" s="1347"/>
      <c r="J334" s="1347"/>
      <c r="K334" s="1347"/>
      <c r="M334" s="1347"/>
      <c r="Q334" s="86"/>
    </row>
    <row r="335" spans="1:22" x14ac:dyDescent="0.25">
      <c r="A335" s="1082" t="s">
        <v>29</v>
      </c>
      <c r="B335" s="1848">
        <v>106105387</v>
      </c>
      <c r="C335" s="1287" t="s">
        <v>1495</v>
      </c>
      <c r="D335" s="1287">
        <v>8504901190</v>
      </c>
      <c r="E335" s="1287" t="s">
        <v>1790</v>
      </c>
      <c r="F335" s="1335" t="s">
        <v>1791</v>
      </c>
      <c r="G335" s="1083"/>
      <c r="H335" s="1347" t="s">
        <v>1104</v>
      </c>
      <c r="I335" s="1083"/>
      <c r="J335" s="1083"/>
      <c r="K335" s="1083"/>
      <c r="N335" s="3924"/>
      <c r="O335" s="3927"/>
      <c r="P335" s="3927"/>
      <c r="Q335" s="3926"/>
      <c r="R335" s="99"/>
      <c r="S335" s="99"/>
      <c r="T335" s="99"/>
      <c r="U335" s="99"/>
      <c r="V335" s="99"/>
    </row>
    <row r="336" spans="1:22" x14ac:dyDescent="0.25">
      <c r="A336" s="1082" t="s">
        <v>62</v>
      </c>
      <c r="B336" s="1848">
        <v>106110446</v>
      </c>
      <c r="C336" s="1287" t="s">
        <v>1494</v>
      </c>
      <c r="D336" s="1287">
        <v>8504901190</v>
      </c>
      <c r="E336" s="1287" t="s">
        <v>1788</v>
      </c>
      <c r="F336" s="1335" t="s">
        <v>1789</v>
      </c>
      <c r="G336" s="1347" t="s">
        <v>1104</v>
      </c>
      <c r="H336" s="905"/>
      <c r="I336" s="1347"/>
      <c r="J336" s="1347"/>
      <c r="K336" s="1347"/>
      <c r="M336" s="3927"/>
      <c r="N336" s="3924"/>
      <c r="O336" s="3927"/>
      <c r="P336" s="3927"/>
      <c r="Q336" s="3926"/>
    </row>
    <row r="337" spans="1:22" x14ac:dyDescent="0.25">
      <c r="A337" s="1082" t="s">
        <v>62</v>
      </c>
      <c r="B337" s="1848">
        <v>106110901</v>
      </c>
      <c r="C337" s="1287" t="s">
        <v>1496</v>
      </c>
      <c r="D337" s="1287">
        <v>8504901190</v>
      </c>
      <c r="E337" s="1287" t="s">
        <v>1837</v>
      </c>
      <c r="F337" s="1335" t="s">
        <v>1838</v>
      </c>
      <c r="G337" s="1347" t="s">
        <v>1104</v>
      </c>
      <c r="H337" s="1347"/>
      <c r="I337" s="1347"/>
      <c r="J337" s="1347"/>
      <c r="K337" s="1347"/>
      <c r="M337" s="3927"/>
      <c r="N337" s="3924"/>
      <c r="O337" s="3927"/>
      <c r="P337" s="3927"/>
      <c r="Q337" s="3926"/>
    </row>
    <row r="338" spans="1:22" x14ac:dyDescent="0.25">
      <c r="A338" s="1082" t="s">
        <v>29</v>
      </c>
      <c r="B338" s="1848">
        <v>106111793</v>
      </c>
      <c r="C338" s="1287" t="s">
        <v>1490</v>
      </c>
      <c r="D338" s="1287">
        <v>8504901190</v>
      </c>
      <c r="E338" s="1287" t="s">
        <v>1722</v>
      </c>
      <c r="F338" s="1335" t="s">
        <v>1723</v>
      </c>
      <c r="G338" s="1347"/>
      <c r="H338" s="1347" t="s">
        <v>1104</v>
      </c>
      <c r="I338" s="1347"/>
      <c r="J338" s="1347"/>
      <c r="K338" s="1347"/>
      <c r="L338" s="142"/>
      <c r="O338" s="2633" t="s">
        <v>649</v>
      </c>
      <c r="R338" s="3926"/>
      <c r="S338" s="3926"/>
      <c r="T338" s="3926"/>
      <c r="U338" s="3926"/>
      <c r="V338" s="3926"/>
    </row>
    <row r="339" spans="1:22" x14ac:dyDescent="0.25">
      <c r="A339" s="1082" t="s">
        <v>222</v>
      </c>
      <c r="B339" s="1848">
        <v>106112565</v>
      </c>
      <c r="C339" s="1287" t="s">
        <v>1493</v>
      </c>
      <c r="D339" s="1287">
        <v>8504901190</v>
      </c>
      <c r="E339" s="1287" t="s">
        <v>1851</v>
      </c>
      <c r="F339" s="1335" t="s">
        <v>1852</v>
      </c>
      <c r="G339" s="1280" t="s">
        <v>1104</v>
      </c>
      <c r="H339" s="1347"/>
      <c r="I339" s="1347"/>
      <c r="J339" s="1347"/>
      <c r="K339" s="1347"/>
      <c r="N339" s="3924"/>
      <c r="O339" s="3927" t="s">
        <v>649</v>
      </c>
      <c r="P339" s="3927"/>
      <c r="Q339" s="3926"/>
    </row>
    <row r="340" spans="1:22" x14ac:dyDescent="0.25">
      <c r="A340" s="1082" t="s">
        <v>29</v>
      </c>
      <c r="B340" s="1848">
        <v>106120233</v>
      </c>
      <c r="C340" s="291" t="s">
        <v>2424</v>
      </c>
      <c r="D340" s="1287">
        <v>8504901190</v>
      </c>
      <c r="E340" s="1358" t="s">
        <v>2379</v>
      </c>
      <c r="F340" s="1335" t="s">
        <v>2763</v>
      </c>
      <c r="G340" s="1383"/>
      <c r="J340" s="2633" t="s">
        <v>1104</v>
      </c>
    </row>
    <row r="341" spans="1:22" x14ac:dyDescent="0.25">
      <c r="A341" s="1082" t="s">
        <v>29</v>
      </c>
      <c r="B341" s="1848">
        <v>106120235</v>
      </c>
      <c r="C341" s="291" t="s">
        <v>2764</v>
      </c>
      <c r="D341" s="1287">
        <v>8504901190</v>
      </c>
      <c r="E341" s="1358" t="s">
        <v>2765</v>
      </c>
      <c r="F341" s="1335" t="s">
        <v>2766</v>
      </c>
      <c r="G341" s="1383"/>
      <c r="J341" s="2633" t="s">
        <v>1104</v>
      </c>
    </row>
    <row r="342" spans="1:22" ht="45" x14ac:dyDescent="0.25">
      <c r="A342" s="1082" t="s">
        <v>221</v>
      </c>
      <c r="B342" s="1848">
        <v>106200823</v>
      </c>
      <c r="C342" s="1287" t="s">
        <v>1919</v>
      </c>
      <c r="D342" s="1287">
        <v>8504901190</v>
      </c>
      <c r="E342" s="1348" t="s">
        <v>1920</v>
      </c>
      <c r="F342" s="1335" t="s">
        <v>1921</v>
      </c>
      <c r="G342" s="1280" t="s">
        <v>1104</v>
      </c>
      <c r="H342" s="1347"/>
      <c r="I342" s="1347"/>
      <c r="J342" s="1347"/>
      <c r="K342" s="1347"/>
    </row>
    <row r="343" spans="1:22" ht="30" x14ac:dyDescent="0.25">
      <c r="A343" s="1082" t="s">
        <v>1067</v>
      </c>
      <c r="B343" s="1848">
        <v>106203799</v>
      </c>
      <c r="C343" s="2193" t="s">
        <v>1996</v>
      </c>
      <c r="D343" s="1287">
        <v>8504901190</v>
      </c>
      <c r="E343" s="1288" t="s">
        <v>2957</v>
      </c>
      <c r="F343" s="1550" t="s">
        <v>2958</v>
      </c>
      <c r="G343" s="275"/>
      <c r="H343" s="275" t="s">
        <v>1104</v>
      </c>
      <c r="I343" s="275" t="s">
        <v>1104</v>
      </c>
      <c r="J343" s="275" t="s">
        <v>1104</v>
      </c>
      <c r="K343" s="275" t="s">
        <v>1104</v>
      </c>
      <c r="L343" s="3923"/>
      <c r="M343" s="3923" t="s">
        <v>1104</v>
      </c>
      <c r="N343" s="3924"/>
      <c r="O343" s="3924"/>
      <c r="P343" s="3924"/>
      <c r="Q343" s="3925"/>
    </row>
    <row r="344" spans="1:22" x14ac:dyDescent="0.25">
      <c r="B344" s="1848" t="s">
        <v>1384</v>
      </c>
      <c r="C344" s="411" t="s">
        <v>2013</v>
      </c>
      <c r="D344" s="1287">
        <v>8504403090</v>
      </c>
      <c r="E344" s="1349" t="s">
        <v>2014</v>
      </c>
      <c r="F344" s="1497" t="s">
        <v>3035</v>
      </c>
      <c r="N344" s="3923" t="s">
        <v>1104</v>
      </c>
    </row>
    <row r="345" spans="1:22" x14ac:dyDescent="0.25">
      <c r="B345" s="2633" t="s">
        <v>1500</v>
      </c>
      <c r="C345" s="1358" t="s">
        <v>1501</v>
      </c>
      <c r="D345" s="1287">
        <v>8504403090</v>
      </c>
      <c r="E345" s="1383" t="s">
        <v>1149</v>
      </c>
      <c r="F345" s="1356" t="s">
        <v>1149</v>
      </c>
      <c r="M345" s="2633" t="s">
        <v>1104</v>
      </c>
      <c r="Q345" s="86"/>
    </row>
    <row r="346" spans="1:22" x14ac:dyDescent="0.25">
      <c r="A346" s="48" t="s">
        <v>2771</v>
      </c>
      <c r="B346" s="1848">
        <v>106206389</v>
      </c>
      <c r="C346" s="1358" t="s">
        <v>3121</v>
      </c>
      <c r="D346" s="1287">
        <v>8504403090</v>
      </c>
      <c r="E346" s="1383" t="s">
        <v>2588</v>
      </c>
      <c r="F346" s="1356" t="s">
        <v>2589</v>
      </c>
      <c r="I346" s="2633" t="s">
        <v>1104</v>
      </c>
      <c r="L346" s="3923"/>
      <c r="M346" s="142"/>
      <c r="N346" s="2633"/>
      <c r="P346" s="1848"/>
    </row>
    <row r="347" spans="1:22" ht="45" x14ac:dyDescent="0.25">
      <c r="A347" s="1082" t="s">
        <v>1586</v>
      </c>
      <c r="B347" s="1848">
        <v>106111785</v>
      </c>
      <c r="C347" s="291" t="s">
        <v>2408</v>
      </c>
      <c r="D347" s="1287">
        <v>8504400000</v>
      </c>
      <c r="E347" s="1348" t="s">
        <v>2590</v>
      </c>
      <c r="F347" s="1336" t="s">
        <v>2591</v>
      </c>
      <c r="G347" s="1383"/>
      <c r="I347" s="2633" t="s">
        <v>1104</v>
      </c>
      <c r="J347" s="2633" t="s">
        <v>1104</v>
      </c>
      <c r="R347" s="3926"/>
      <c r="S347" s="3926"/>
      <c r="T347" s="3926"/>
      <c r="U347" s="3926"/>
      <c r="V347" s="3926"/>
    </row>
    <row r="348" spans="1:22" ht="45" x14ac:dyDescent="0.25">
      <c r="A348" s="1342"/>
      <c r="B348" s="1848">
        <v>106109925</v>
      </c>
      <c r="C348" s="3928" t="s">
        <v>3174</v>
      </c>
      <c r="D348" s="1287">
        <v>8504400000</v>
      </c>
      <c r="E348" s="1348" t="s">
        <v>3680</v>
      </c>
      <c r="F348" s="1336" t="s">
        <v>3681</v>
      </c>
      <c r="M348" s="2633" t="s">
        <v>1104</v>
      </c>
    </row>
    <row r="349" spans="1:22" ht="45" x14ac:dyDescent="0.25">
      <c r="A349" s="2354"/>
      <c r="B349" s="2353">
        <v>106127211</v>
      </c>
      <c r="C349" s="2354" t="s">
        <v>3789</v>
      </c>
      <c r="D349" s="1287">
        <v>8504400000</v>
      </c>
      <c r="E349" s="1348" t="s">
        <v>3787</v>
      </c>
      <c r="F349" s="1336" t="s">
        <v>3788</v>
      </c>
      <c r="G349" s="274"/>
      <c r="H349" s="274"/>
      <c r="I349" s="274"/>
      <c r="J349" s="274"/>
      <c r="K349" s="274"/>
      <c r="L349" s="751"/>
      <c r="M349" s="751" t="s">
        <v>1104</v>
      </c>
      <c r="N349" s="751"/>
      <c r="O349" s="751"/>
      <c r="P349" s="751"/>
      <c r="Q349" s="2227"/>
      <c r="R349" s="371"/>
      <c r="S349" s="371"/>
      <c r="T349" s="371"/>
      <c r="U349" s="371"/>
      <c r="V349" s="371"/>
    </row>
    <row r="350" spans="1:22" x14ac:dyDescent="0.25">
      <c r="A350" s="1342"/>
      <c r="B350" s="1848">
        <v>106121596</v>
      </c>
      <c r="C350" s="3928" t="s">
        <v>3658</v>
      </c>
      <c r="D350" s="1287">
        <v>8504312999</v>
      </c>
      <c r="E350" s="1358" t="s">
        <v>3816</v>
      </c>
      <c r="F350" s="1356" t="s">
        <v>3817</v>
      </c>
      <c r="M350" s="2633" t="s">
        <v>1104</v>
      </c>
    </row>
    <row r="351" spans="1:22" x14ac:dyDescent="0.25">
      <c r="A351" s="1342" t="s">
        <v>3669</v>
      </c>
      <c r="B351" s="1848">
        <v>106120384</v>
      </c>
      <c r="C351" s="3928" t="s">
        <v>3673</v>
      </c>
      <c r="D351" s="1287">
        <v>8504312990</v>
      </c>
      <c r="E351" s="1358" t="s">
        <v>3810</v>
      </c>
      <c r="F351" s="1356" t="s">
        <v>3811</v>
      </c>
      <c r="M351" s="2633" t="s">
        <v>1104</v>
      </c>
    </row>
    <row r="352" spans="1:22" x14ac:dyDescent="0.25">
      <c r="A352" s="1285" t="s">
        <v>1115</v>
      </c>
      <c r="B352" s="1848">
        <v>106110281</v>
      </c>
      <c r="C352" s="1288" t="s">
        <v>1825</v>
      </c>
      <c r="D352" s="1287">
        <v>8414510090</v>
      </c>
      <c r="E352" s="1349" t="s">
        <v>1826</v>
      </c>
      <c r="F352" s="1335" t="s">
        <v>1827</v>
      </c>
      <c r="G352" s="1280" t="s">
        <v>1104</v>
      </c>
      <c r="H352" s="1347"/>
      <c r="I352" s="1347"/>
      <c r="J352" s="1347"/>
      <c r="K352" s="1347"/>
      <c r="L352" s="3927"/>
      <c r="M352" s="3927"/>
      <c r="O352" s="2633" t="s">
        <v>649</v>
      </c>
    </row>
    <row r="353" spans="1:22" ht="30" x14ac:dyDescent="0.25">
      <c r="A353" s="1082" t="s">
        <v>323</v>
      </c>
      <c r="B353" s="1848">
        <v>106112525</v>
      </c>
      <c r="C353" s="1287" t="s">
        <v>300</v>
      </c>
      <c r="D353" s="1287">
        <v>8414510090</v>
      </c>
      <c r="E353" s="1349" t="s">
        <v>1246</v>
      </c>
      <c r="F353" s="1335" t="s">
        <v>1247</v>
      </c>
      <c r="G353" s="1347"/>
      <c r="H353" s="1347" t="s">
        <v>1104</v>
      </c>
      <c r="I353" s="1347"/>
      <c r="J353" s="1347"/>
      <c r="K353" s="1347"/>
      <c r="O353" s="2633" t="s">
        <v>649</v>
      </c>
      <c r="R353" s="3926"/>
      <c r="S353" s="3926"/>
      <c r="T353" s="3926"/>
      <c r="U353" s="3926"/>
      <c r="V353" s="3926"/>
    </row>
    <row r="354" spans="1:22" x14ac:dyDescent="0.25">
      <c r="A354" s="1082" t="s">
        <v>1596</v>
      </c>
      <c r="B354" s="1848">
        <v>106120231</v>
      </c>
      <c r="C354" s="291" t="s">
        <v>2423</v>
      </c>
      <c r="D354" s="1287">
        <v>8414510090</v>
      </c>
      <c r="E354" s="1358" t="s">
        <v>2329</v>
      </c>
      <c r="F354" s="1356" t="s">
        <v>2330</v>
      </c>
      <c r="G354" s="1383"/>
      <c r="J354" s="2633" t="s">
        <v>1104</v>
      </c>
    </row>
    <row r="355" spans="1:22" x14ac:dyDescent="0.25">
      <c r="A355" s="48" t="s">
        <v>2485</v>
      </c>
      <c r="B355" s="1848">
        <v>106122352</v>
      </c>
      <c r="C355" s="1358" t="s">
        <v>2423</v>
      </c>
      <c r="D355" s="1287">
        <v>8414510090</v>
      </c>
      <c r="E355" s="1383" t="s">
        <v>2954</v>
      </c>
      <c r="F355" s="1356" t="s">
        <v>2955</v>
      </c>
      <c r="I355" s="2633" t="s">
        <v>1104</v>
      </c>
      <c r="K355" s="2633" t="s">
        <v>1104</v>
      </c>
      <c r="L355" s="3923"/>
      <c r="M355" s="142"/>
      <c r="N355" s="2633"/>
      <c r="P355" s="1848"/>
    </row>
    <row r="356" spans="1:22" s="371" customFormat="1" ht="15.75" customHeight="1" x14ac:dyDescent="0.25">
      <c r="A356" s="48" t="s">
        <v>3038</v>
      </c>
      <c r="B356" s="1848">
        <v>106112043</v>
      </c>
      <c r="C356" s="1358" t="s">
        <v>3036</v>
      </c>
      <c r="D356" s="1287">
        <v>8414510090</v>
      </c>
      <c r="E356" s="1383" t="s">
        <v>2950</v>
      </c>
      <c r="F356" s="1356" t="s">
        <v>2951</v>
      </c>
      <c r="G356" s="2633"/>
      <c r="H356" s="2633" t="s">
        <v>1104</v>
      </c>
      <c r="I356" s="2633" t="s">
        <v>1104</v>
      </c>
      <c r="J356" s="2633"/>
      <c r="K356" s="2633"/>
      <c r="L356" s="3923"/>
      <c r="M356" s="142"/>
      <c r="N356" s="2633"/>
      <c r="O356" s="2633"/>
      <c r="P356" s="1848"/>
      <c r="Q356" s="1383"/>
      <c r="R356" s="1383"/>
      <c r="S356" s="1383"/>
      <c r="T356" s="1383"/>
      <c r="U356" s="1383"/>
      <c r="V356" s="1383"/>
    </row>
    <row r="357" spans="1:22" s="371" customFormat="1" ht="15.75" customHeight="1" x14ac:dyDescent="0.25">
      <c r="A357" s="1383" t="s">
        <v>263</v>
      </c>
      <c r="B357" s="1848">
        <v>106118975</v>
      </c>
      <c r="C357" s="1358" t="s">
        <v>2836</v>
      </c>
      <c r="D357" s="1287">
        <v>7409190000</v>
      </c>
      <c r="E357" s="1383" t="s">
        <v>2522</v>
      </c>
      <c r="F357" s="1356" t="s">
        <v>2521</v>
      </c>
      <c r="G357" s="2633"/>
      <c r="H357" s="2633"/>
      <c r="I357" s="2633" t="s">
        <v>1104</v>
      </c>
      <c r="J357" s="3923"/>
      <c r="K357" s="3923"/>
      <c r="L357" s="142"/>
      <c r="M357" s="2633"/>
      <c r="N357" s="2633"/>
      <c r="O357" s="2633"/>
      <c r="P357" s="1848">
        <v>106118976</v>
      </c>
      <c r="Q357" s="1383"/>
      <c r="R357" s="1383"/>
      <c r="S357" s="1383"/>
      <c r="T357" s="1383"/>
      <c r="U357" s="1383"/>
      <c r="V357" s="1383"/>
    </row>
    <row r="358" spans="1:22" x14ac:dyDescent="0.25">
      <c r="A358" s="1082" t="s">
        <v>2372</v>
      </c>
      <c r="B358" s="1848">
        <v>106120332</v>
      </c>
      <c r="C358" s="291" t="s">
        <v>2426</v>
      </c>
      <c r="D358" s="1287">
        <v>7407290000</v>
      </c>
      <c r="E358" s="1358" t="s">
        <v>2535</v>
      </c>
      <c r="F358" s="1356" t="s">
        <v>2536</v>
      </c>
      <c r="G358" s="1383"/>
      <c r="J358" s="2633" t="s">
        <v>1104</v>
      </c>
    </row>
    <row r="359" spans="1:22" x14ac:dyDescent="0.25">
      <c r="A359" s="1082" t="s">
        <v>1587</v>
      </c>
      <c r="B359" s="1848">
        <v>106120336</v>
      </c>
      <c r="C359" s="291" t="s">
        <v>2427</v>
      </c>
      <c r="D359" s="1287">
        <v>7407290000</v>
      </c>
      <c r="E359" s="1358" t="s">
        <v>2529</v>
      </c>
      <c r="F359" s="1356" t="s">
        <v>2530</v>
      </c>
      <c r="G359" s="1383"/>
      <c r="J359" s="2633" t="s">
        <v>1104</v>
      </c>
    </row>
    <row r="360" spans="1:22" ht="45" x14ac:dyDescent="0.25">
      <c r="A360" s="1082" t="s">
        <v>354</v>
      </c>
      <c r="B360" s="1848">
        <v>106200941</v>
      </c>
      <c r="C360" s="1287" t="s">
        <v>353</v>
      </c>
      <c r="D360" s="1287">
        <v>7220908000</v>
      </c>
      <c r="E360" s="1348" t="s">
        <v>1943</v>
      </c>
      <c r="F360" s="1335" t="s">
        <v>1944</v>
      </c>
      <c r="G360" s="679"/>
      <c r="H360" s="679"/>
      <c r="I360" s="1347" t="s">
        <v>1104</v>
      </c>
      <c r="J360" s="1347"/>
      <c r="K360" s="1347"/>
    </row>
    <row r="407" spans="20:22" x14ac:dyDescent="0.25">
      <c r="T407" s="3612"/>
      <c r="U407" s="3609"/>
      <c r="V407" s="3610"/>
    </row>
    <row r="408" spans="20:22" x14ac:dyDescent="0.25">
      <c r="T408" s="3612"/>
      <c r="U408" s="3609"/>
      <c r="V408" s="3610"/>
    </row>
    <row r="409" spans="20:22" x14ac:dyDescent="0.25">
      <c r="T409" s="3611"/>
      <c r="U409" s="3609"/>
      <c r="V409" s="3610"/>
    </row>
    <row r="410" spans="20:22" x14ac:dyDescent="0.25">
      <c r="T410" s="3612"/>
      <c r="U410" s="3609"/>
      <c r="V410" s="3610"/>
    </row>
    <row r="411" spans="20:22" x14ac:dyDescent="0.25">
      <c r="T411" s="3612"/>
      <c r="U411" s="3609"/>
      <c r="V411" s="3610"/>
    </row>
    <row r="412" spans="20:22" x14ac:dyDescent="0.25">
      <c r="T412" s="3612"/>
      <c r="U412" s="3609"/>
      <c r="V412" s="3610"/>
    </row>
    <row r="413" spans="20:22" x14ac:dyDescent="0.25">
      <c r="T413" s="3612"/>
      <c r="U413" s="3609"/>
      <c r="V413" s="3610"/>
    </row>
    <row r="414" spans="20:22" x14ac:dyDescent="0.25">
      <c r="T414" s="3612"/>
      <c r="U414" s="3609"/>
      <c r="V414" s="3610"/>
    </row>
    <row r="415" spans="20:22" x14ac:dyDescent="0.25">
      <c r="T415" s="3612"/>
      <c r="U415" s="3609"/>
      <c r="V415" s="3610"/>
    </row>
    <row r="416" spans="20:22" x14ac:dyDescent="0.25">
      <c r="T416" s="3612"/>
      <c r="U416" s="3609"/>
      <c r="V416" s="3610"/>
    </row>
    <row r="417" spans="20:22" x14ac:dyDescent="0.25">
      <c r="T417" s="3612"/>
      <c r="U417" s="3609"/>
      <c r="V417" s="3610"/>
    </row>
    <row r="418" spans="20:22" x14ac:dyDescent="0.25">
      <c r="T418" s="3612"/>
      <c r="U418" s="3609"/>
      <c r="V418" s="3610"/>
    </row>
    <row r="419" spans="20:22" x14ac:dyDescent="0.25">
      <c r="T419" s="3612"/>
      <c r="U419" s="3609"/>
      <c r="V419" s="3610"/>
    </row>
    <row r="420" spans="20:22" x14ac:dyDescent="0.25">
      <c r="T420" s="3612"/>
      <c r="U420" s="3609"/>
      <c r="V420" s="3610"/>
    </row>
    <row r="421" spans="20:22" x14ac:dyDescent="0.25">
      <c r="T421" s="3612"/>
      <c r="U421" s="3609"/>
      <c r="V421" s="3610"/>
    </row>
    <row r="422" spans="20:22" x14ac:dyDescent="0.25">
      <c r="T422" s="3612"/>
      <c r="U422" s="3609"/>
      <c r="V422" s="3610"/>
    </row>
    <row r="423" spans="20:22" x14ac:dyDescent="0.25">
      <c r="T423" s="3612"/>
      <c r="U423" s="3609"/>
      <c r="V423" s="3610"/>
    </row>
    <row r="424" spans="20:22" x14ac:dyDescent="0.25">
      <c r="T424" s="3612"/>
      <c r="U424" s="3609"/>
      <c r="V424" s="3610"/>
    </row>
    <row r="425" spans="20:22" x14ac:dyDescent="0.25">
      <c r="T425" s="3612"/>
      <c r="U425" s="3609"/>
      <c r="V425" s="3610"/>
    </row>
    <row r="426" spans="20:22" x14ac:dyDescent="0.25">
      <c r="T426" s="3612"/>
      <c r="U426" s="3609"/>
      <c r="V426" s="3610"/>
    </row>
    <row r="427" spans="20:22" x14ac:dyDescent="0.25">
      <c r="T427" s="3612"/>
      <c r="U427" s="3609"/>
      <c r="V427" s="3610"/>
    </row>
    <row r="428" spans="20:22" x14ac:dyDescent="0.25">
      <c r="T428" s="3612"/>
      <c r="U428" s="3609"/>
      <c r="V428" s="3610"/>
    </row>
    <row r="429" spans="20:22" x14ac:dyDescent="0.25">
      <c r="T429" s="3612"/>
      <c r="U429" s="3609"/>
      <c r="V429" s="3610"/>
    </row>
    <row r="430" spans="20:22" x14ac:dyDescent="0.25">
      <c r="T430" s="3612"/>
      <c r="U430" s="3609"/>
      <c r="V430" s="3610"/>
    </row>
    <row r="431" spans="20:22" x14ac:dyDescent="0.25">
      <c r="T431" s="3608"/>
      <c r="U431" s="3609"/>
      <c r="V431" s="3610"/>
    </row>
    <row r="432" spans="20:22" x14ac:dyDescent="0.25">
      <c r="T432" s="3612"/>
      <c r="U432" s="3609"/>
      <c r="V432" s="3610"/>
    </row>
    <row r="433" spans="20:22" x14ac:dyDescent="0.25">
      <c r="T433" s="3608"/>
      <c r="U433" s="3609"/>
      <c r="V433" s="3610"/>
    </row>
    <row r="434" spans="20:22" x14ac:dyDescent="0.25">
      <c r="T434" s="3611"/>
      <c r="U434" s="3609"/>
      <c r="V434" s="3610"/>
    </row>
    <row r="435" spans="20:22" x14ac:dyDescent="0.25">
      <c r="T435" s="3613"/>
      <c r="U435" s="3609"/>
      <c r="V435" s="3610"/>
    </row>
    <row r="436" spans="20:22" x14ac:dyDescent="0.25">
      <c r="T436" s="3613"/>
      <c r="U436" s="3609"/>
      <c r="V436" s="3610"/>
    </row>
    <row r="437" spans="20:22" x14ac:dyDescent="0.25">
      <c r="T437" s="3613"/>
      <c r="U437" s="3609"/>
      <c r="V437" s="3610"/>
    </row>
    <row r="438" spans="20:22" x14ac:dyDescent="0.25">
      <c r="T438" s="3608"/>
      <c r="U438" s="3609"/>
      <c r="V438" s="3610"/>
    </row>
    <row r="439" spans="20:22" x14ac:dyDescent="0.25">
      <c r="T439" s="3608"/>
      <c r="U439" s="3609"/>
      <c r="V439" s="3610"/>
    </row>
    <row r="440" spans="20:22" x14ac:dyDescent="0.25">
      <c r="T440" s="3608"/>
      <c r="U440" s="3609"/>
      <c r="V440" s="3610"/>
    </row>
    <row r="441" spans="20:22" x14ac:dyDescent="0.25">
      <c r="T441" s="3614"/>
      <c r="U441" s="3609"/>
      <c r="V441" s="3610"/>
    </row>
    <row r="442" spans="20:22" x14ac:dyDescent="0.25">
      <c r="T442" s="3608"/>
      <c r="U442" s="3609"/>
      <c r="V442" s="3610"/>
    </row>
    <row r="443" spans="20:22" x14ac:dyDescent="0.25">
      <c r="T443" s="3608"/>
      <c r="U443" s="3609"/>
      <c r="V443" s="3610"/>
    </row>
    <row r="444" spans="20:22" x14ac:dyDescent="0.25">
      <c r="T444" s="3608"/>
      <c r="U444" s="3609"/>
      <c r="V444" s="3610"/>
    </row>
    <row r="445" spans="20:22" x14ac:dyDescent="0.25">
      <c r="T445" s="3608"/>
      <c r="U445" s="3609"/>
      <c r="V445" s="3610"/>
    </row>
    <row r="446" spans="20:22" x14ac:dyDescent="0.25">
      <c r="T446" s="3608"/>
      <c r="U446" s="3609"/>
      <c r="V446" s="3610"/>
    </row>
    <row r="447" spans="20:22" x14ac:dyDescent="0.25">
      <c r="T447" s="3608"/>
      <c r="U447" s="3609"/>
      <c r="V447" s="3610"/>
    </row>
    <row r="448" spans="20:22" x14ac:dyDescent="0.25">
      <c r="T448" s="3611"/>
      <c r="U448" s="3609"/>
      <c r="V448" s="3610"/>
    </row>
    <row r="449" spans="20:22" x14ac:dyDescent="0.25">
      <c r="T449" s="3611"/>
      <c r="U449" s="3609"/>
      <c r="V449" s="3610"/>
    </row>
  </sheetData>
  <autoFilter ref="A2:V2">
    <sortState ref="A3:X360">
      <sortCondition descending="1" ref="D2"/>
    </sortState>
  </autoFilter>
  <pageMargins left="0.70866141732283472" right="0.70866141732283472" top="0.74803149606299213" bottom="0.74803149606299213" header="0.31496062992125984" footer="0.31496062992125984"/>
  <pageSetup paperSize="9" scale="50" fitToHeight="2" orientation="portrait"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B12" sqref="B12"/>
    </sheetView>
  </sheetViews>
  <sheetFormatPr baseColWidth="10" defaultRowHeight="15" x14ac:dyDescent="0.25"/>
  <cols>
    <col min="2" max="2" width="35" bestFit="1" customWidth="1"/>
    <col min="3" max="3" width="55.85546875" bestFit="1" customWidth="1"/>
    <col min="4" max="4" width="34.85546875" customWidth="1"/>
  </cols>
  <sheetData>
    <row r="1" spans="1:6" x14ac:dyDescent="0.25">
      <c r="A1" s="1" t="s">
        <v>1646</v>
      </c>
      <c r="B1" s="1383"/>
      <c r="C1" s="1346" t="s">
        <v>3388</v>
      </c>
      <c r="D1" s="1383" t="s">
        <v>1619</v>
      </c>
      <c r="E1" s="1383" t="s">
        <v>345</v>
      </c>
      <c r="F1" s="1383" t="s">
        <v>344</v>
      </c>
    </row>
    <row r="2" spans="1:6" x14ac:dyDescent="0.25">
      <c r="A2" s="1383" t="s">
        <v>3389</v>
      </c>
      <c r="B2" s="1383" t="s">
        <v>3390</v>
      </c>
      <c r="C2" s="1383"/>
      <c r="D2" s="1383"/>
      <c r="E2" s="1383"/>
      <c r="F2" s="1383"/>
    </row>
    <row r="3" spans="1:6" x14ac:dyDescent="0.25">
      <c r="A3" s="1383"/>
      <c r="B3" s="1383"/>
      <c r="C3" s="1383"/>
      <c r="D3" s="1383"/>
      <c r="E3" s="1383"/>
      <c r="F3" s="1383"/>
    </row>
    <row r="4" spans="1:6" x14ac:dyDescent="0.25">
      <c r="A4" s="1383" t="s">
        <v>3391</v>
      </c>
      <c r="B4" s="1383" t="s">
        <v>3392</v>
      </c>
      <c r="C4" s="1383"/>
      <c r="D4" s="1383"/>
      <c r="E4" s="1383"/>
      <c r="F4" s="1383"/>
    </row>
    <row r="5" spans="1:6" x14ac:dyDescent="0.25">
      <c r="A5" s="1383" t="s">
        <v>3393</v>
      </c>
      <c r="B5" s="1383" t="s">
        <v>3394</v>
      </c>
      <c r="C5" s="1383"/>
      <c r="D5" s="1383"/>
      <c r="E5" s="1383"/>
      <c r="F5" s="1383"/>
    </row>
    <row r="6" spans="1:6" x14ac:dyDescent="0.25">
      <c r="A6" s="1383">
        <v>106116345</v>
      </c>
      <c r="B6" s="1383" t="s">
        <v>3395</v>
      </c>
      <c r="C6" s="1383"/>
      <c r="D6" s="3665">
        <v>164.33</v>
      </c>
      <c r="E6" s="3665">
        <f>D6/0.95</f>
        <v>172.97894736842107</v>
      </c>
      <c r="F6" s="1383"/>
    </row>
    <row r="7" spans="1:6" x14ac:dyDescent="0.25">
      <c r="A7" s="1383"/>
      <c r="B7" s="239">
        <v>106115526</v>
      </c>
      <c r="C7" s="14" t="s">
        <v>3396</v>
      </c>
      <c r="D7" s="1383"/>
      <c r="E7" s="1383"/>
      <c r="F7" s="1383"/>
    </row>
    <row r="8" spans="1:6" x14ac:dyDescent="0.25">
      <c r="A8" s="1383"/>
      <c r="B8" s="689">
        <v>106115528</v>
      </c>
      <c r="C8" s="305" t="s">
        <v>3397</v>
      </c>
      <c r="D8" s="1383"/>
      <c r="E8" s="1383"/>
      <c r="F8" s="1383"/>
    </row>
    <row r="9" spans="1:6" x14ac:dyDescent="0.25">
      <c r="A9" s="122">
        <v>106115498</v>
      </c>
      <c r="B9" t="s">
        <v>3398</v>
      </c>
    </row>
    <row r="11" spans="1:6" x14ac:dyDescent="0.25">
      <c r="A11" s="1" t="s">
        <v>3848</v>
      </c>
      <c r="B11" t="s">
        <v>4127</v>
      </c>
    </row>
    <row r="12" spans="1:6" x14ac:dyDescent="0.25">
      <c r="A12" s="3951">
        <v>42102</v>
      </c>
    </row>
    <row r="13" spans="1:6" x14ac:dyDescent="0.25">
      <c r="A13" s="3952" t="s">
        <v>3923</v>
      </c>
    </row>
    <row r="14" spans="1:6" x14ac:dyDescent="0.25">
      <c r="A14" s="122">
        <v>106125868</v>
      </c>
      <c r="B14" t="s">
        <v>3924</v>
      </c>
    </row>
    <row r="15" spans="1:6" x14ac:dyDescent="0.25">
      <c r="A15" s="3952" t="s">
        <v>3925</v>
      </c>
    </row>
    <row r="16" spans="1:6" x14ac:dyDescent="0.25">
      <c r="A16" s="122">
        <v>106107580</v>
      </c>
      <c r="B16" t="s">
        <v>1817</v>
      </c>
      <c r="C16" s="1349" t="s">
        <v>1277</v>
      </c>
      <c r="D16" s="1338" t="s">
        <v>1278</v>
      </c>
    </row>
    <row r="17" spans="1:4" x14ac:dyDescent="0.25">
      <c r="A17" s="3952" t="s">
        <v>3926</v>
      </c>
    </row>
    <row r="18" spans="1:4" x14ac:dyDescent="0.25">
      <c r="A18" s="3953" t="s">
        <v>3927</v>
      </c>
    </row>
    <row r="19" spans="1:4" x14ac:dyDescent="0.25">
      <c r="A19" s="3953" t="s">
        <v>3928</v>
      </c>
    </row>
    <row r="20" spans="1:4" x14ac:dyDescent="0.25">
      <c r="A20" s="122">
        <v>106114700</v>
      </c>
      <c r="B20" t="s">
        <v>1887</v>
      </c>
      <c r="C20" s="1348" t="s">
        <v>1770</v>
      </c>
      <c r="D20" s="1335" t="s">
        <v>1771</v>
      </c>
    </row>
    <row r="21" spans="1:4" x14ac:dyDescent="0.25">
      <c r="A21" s="3952" t="s">
        <v>3929</v>
      </c>
    </row>
    <row r="22" spans="1:4" x14ac:dyDescent="0.25">
      <c r="A22" s="3953" t="s">
        <v>3930</v>
      </c>
    </row>
    <row r="23" spans="1:4" x14ac:dyDescent="0.25">
      <c r="A23" s="3953" t="s">
        <v>3931</v>
      </c>
    </row>
    <row r="24" spans="1:4" x14ac:dyDescent="0.25">
      <c r="A24" s="122">
        <v>106126405</v>
      </c>
      <c r="B24" t="s">
        <v>3932</v>
      </c>
    </row>
    <row r="25" spans="1:4" x14ac:dyDescent="0.25">
      <c r="A25" s="3952" t="s">
        <v>3936</v>
      </c>
    </row>
    <row r="26" spans="1:4" x14ac:dyDescent="0.25">
      <c r="A26" s="3953" t="s">
        <v>3933</v>
      </c>
    </row>
    <row r="27" spans="1:4" x14ac:dyDescent="0.25">
      <c r="A27" s="3953" t="s">
        <v>3934</v>
      </c>
    </row>
    <row r="28" spans="1:4" x14ac:dyDescent="0.25">
      <c r="A28" s="3953" t="s">
        <v>3935</v>
      </c>
    </row>
    <row r="29" spans="1:4" x14ac:dyDescent="0.25">
      <c r="A29" s="122">
        <v>106112520</v>
      </c>
      <c r="B29" t="s">
        <v>1120</v>
      </c>
      <c r="C29" s="1348" t="s">
        <v>1510</v>
      </c>
      <c r="D29" s="1335" t="s">
        <v>1509</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8"/>
  <sheetViews>
    <sheetView zoomScale="80" zoomScaleNormal="80" workbookViewId="0">
      <selection activeCell="D30" sqref="D30"/>
    </sheetView>
  </sheetViews>
  <sheetFormatPr baseColWidth="10" defaultRowHeight="19.5" customHeight="1" x14ac:dyDescent="0.25"/>
  <cols>
    <col min="1" max="1" width="6.85546875" style="1342" customWidth="1"/>
    <col min="2" max="2" width="10.5703125" style="1342" customWidth="1"/>
    <col min="3" max="3" width="12.85546875" style="1343" bestFit="1" customWidth="1"/>
    <col min="4" max="4" width="48.42578125" style="1342" customWidth="1"/>
    <col min="5" max="5" width="40.7109375" style="1342" customWidth="1"/>
    <col min="6" max="6" width="6.85546875" style="1342" bestFit="1" customWidth="1"/>
    <col min="7" max="7" width="10" style="1342" bestFit="1" customWidth="1"/>
    <col min="8" max="8" width="5.85546875" style="1343" bestFit="1" customWidth="1"/>
    <col min="9" max="9" width="4.140625" style="1342" customWidth="1"/>
    <col min="10" max="10" width="4.28515625" style="1342" customWidth="1"/>
    <col min="11" max="11" width="11.42578125" style="1342"/>
    <col min="12" max="12" width="9.28515625" style="1342" bestFit="1" customWidth="1"/>
    <col min="13" max="13" width="10.85546875" style="1342" bestFit="1" customWidth="1"/>
    <col min="14" max="14" width="39.85546875" style="1342" customWidth="1"/>
    <col min="15" max="15" width="47.140625" style="1342" customWidth="1"/>
    <col min="16" max="16384" width="11.42578125" style="1342"/>
  </cols>
  <sheetData>
    <row r="1" spans="1:15" ht="19.5" customHeight="1" thickBot="1" x14ac:dyDescent="0.3">
      <c r="A1" s="1389" t="s">
        <v>2241</v>
      </c>
      <c r="B1" s="1384"/>
      <c r="C1" s="1384"/>
      <c r="D1" s="1384"/>
      <c r="E1" s="1384"/>
      <c r="F1" s="4289" t="s">
        <v>2242</v>
      </c>
      <c r="G1" s="4289"/>
      <c r="H1" s="4290"/>
    </row>
    <row r="2" spans="1:15" ht="19.5" customHeight="1" thickBot="1" x14ac:dyDescent="0.3">
      <c r="A2" s="4429" t="s">
        <v>79</v>
      </c>
      <c r="B2" s="4430"/>
      <c r="C2" s="1385" t="s">
        <v>326</v>
      </c>
      <c r="D2" s="4429" t="s">
        <v>250</v>
      </c>
      <c r="E2" s="4430"/>
      <c r="F2" s="1385" t="s">
        <v>1280</v>
      </c>
      <c r="G2" s="1386" t="s">
        <v>2243</v>
      </c>
      <c r="H2" s="1386" t="s">
        <v>1282</v>
      </c>
      <c r="L2" s="1342" t="s">
        <v>3701</v>
      </c>
      <c r="M2" s="1342" t="s">
        <v>3702</v>
      </c>
      <c r="N2" s="1342" t="s">
        <v>3703</v>
      </c>
      <c r="O2" s="1342" t="s">
        <v>3704</v>
      </c>
    </row>
    <row r="3" spans="1:15" ht="19.5" customHeight="1" x14ac:dyDescent="0.25">
      <c r="A3" s="4216" t="s">
        <v>2244</v>
      </c>
      <c r="B3" s="2600" t="s">
        <v>2245</v>
      </c>
      <c r="C3" s="1463">
        <v>106202632</v>
      </c>
      <c r="D3" s="1411" t="s">
        <v>2246</v>
      </c>
      <c r="E3" s="1397" t="s">
        <v>2247</v>
      </c>
      <c r="F3" s="2396">
        <v>1</v>
      </c>
      <c r="G3" s="2397" t="s">
        <v>2248</v>
      </c>
      <c r="H3" s="2398"/>
      <c r="L3" s="1342" t="s">
        <v>326</v>
      </c>
      <c r="M3" s="1342" t="s">
        <v>3705</v>
      </c>
      <c r="N3" s="1342" t="s">
        <v>3706</v>
      </c>
      <c r="O3" s="1342" t="s">
        <v>1281</v>
      </c>
    </row>
    <row r="4" spans="1:15" ht="19.5" customHeight="1" x14ac:dyDescent="0.25">
      <c r="A4" s="4214"/>
      <c r="B4" s="2591"/>
      <c r="C4" s="2102">
        <v>106116548</v>
      </c>
      <c r="D4" s="2100" t="s">
        <v>2249</v>
      </c>
      <c r="E4" s="2101" t="s">
        <v>2250</v>
      </c>
      <c r="F4" s="2102">
        <v>1</v>
      </c>
      <c r="G4" s="2401" t="s">
        <v>649</v>
      </c>
      <c r="H4" s="2452"/>
      <c r="L4" s="1342" t="s">
        <v>3707</v>
      </c>
      <c r="M4" s="1342">
        <v>106207587</v>
      </c>
      <c r="N4" s="1342" t="s">
        <v>2246</v>
      </c>
      <c r="O4" s="1342" t="s">
        <v>2247</v>
      </c>
    </row>
    <row r="5" spans="1:15" ht="19.5" customHeight="1" x14ac:dyDescent="0.25">
      <c r="A5" s="4214"/>
      <c r="B5" s="2592"/>
      <c r="C5" s="2401">
        <v>106113814</v>
      </c>
      <c r="D5" s="2100" t="s">
        <v>2251</v>
      </c>
      <c r="E5" s="2101" t="s">
        <v>2252</v>
      </c>
      <c r="F5" s="2476">
        <v>1</v>
      </c>
      <c r="G5" s="2401" t="s">
        <v>649</v>
      </c>
      <c r="H5" s="2452"/>
      <c r="L5" s="1342" t="s">
        <v>2258</v>
      </c>
      <c r="M5" s="1342">
        <v>106125749</v>
      </c>
      <c r="N5" s="1342" t="s">
        <v>2259</v>
      </c>
      <c r="O5" s="1342" t="s">
        <v>2260</v>
      </c>
    </row>
    <row r="6" spans="1:15" ht="19.5" customHeight="1" x14ac:dyDescent="0.25">
      <c r="A6" s="4214"/>
      <c r="B6" s="2591"/>
      <c r="C6" s="2102">
        <v>106116335</v>
      </c>
      <c r="D6" s="2100" t="s">
        <v>2253</v>
      </c>
      <c r="E6" s="2101" t="s">
        <v>2254</v>
      </c>
      <c r="F6" s="2102">
        <v>1</v>
      </c>
      <c r="G6" s="2401"/>
      <c r="H6" s="2452"/>
      <c r="L6" s="1342" t="s">
        <v>290</v>
      </c>
      <c r="M6" s="1342">
        <v>106101217</v>
      </c>
      <c r="N6" s="1342" t="s">
        <v>2264</v>
      </c>
      <c r="O6" s="1342" t="s">
        <v>2265</v>
      </c>
    </row>
    <row r="7" spans="1:15" ht="19.5" customHeight="1" x14ac:dyDescent="0.25">
      <c r="A7" s="4214"/>
      <c r="B7" s="2601" t="s">
        <v>2255</v>
      </c>
      <c r="C7" s="2102">
        <v>106112768</v>
      </c>
      <c r="D7" s="2100" t="s">
        <v>2256</v>
      </c>
      <c r="E7" s="2101" t="s">
        <v>2257</v>
      </c>
      <c r="F7" s="2476">
        <v>1</v>
      </c>
      <c r="G7" s="2401"/>
      <c r="H7" s="2452"/>
      <c r="L7" s="1342" t="s">
        <v>764</v>
      </c>
      <c r="M7" s="1342">
        <v>106125742</v>
      </c>
      <c r="N7" s="1342" t="s">
        <v>3708</v>
      </c>
      <c r="O7" s="1342" t="s">
        <v>3717</v>
      </c>
    </row>
    <row r="8" spans="1:15" ht="19.5" customHeight="1" x14ac:dyDescent="0.25">
      <c r="A8" s="4214"/>
      <c r="B8" s="2601" t="s">
        <v>2258</v>
      </c>
      <c r="C8" s="2102">
        <v>106112939</v>
      </c>
      <c r="D8" s="2100" t="s">
        <v>2259</v>
      </c>
      <c r="E8" s="2101" t="s">
        <v>2260</v>
      </c>
      <c r="F8" s="2476">
        <v>1</v>
      </c>
      <c r="G8" s="2401" t="s">
        <v>649</v>
      </c>
      <c r="H8" s="2452"/>
      <c r="L8" s="1342" t="s">
        <v>21</v>
      </c>
      <c r="M8" s="1342">
        <v>106117194</v>
      </c>
      <c r="N8" s="1342" t="s">
        <v>2293</v>
      </c>
      <c r="O8" s="1342" t="s">
        <v>2294</v>
      </c>
    </row>
    <row r="9" spans="1:15" ht="19.5" customHeight="1" x14ac:dyDescent="0.25">
      <c r="A9" s="4214"/>
      <c r="B9" s="2593" t="s">
        <v>2261</v>
      </c>
      <c r="C9" s="2102">
        <v>106202635</v>
      </c>
      <c r="D9" s="2100" t="s">
        <v>2262</v>
      </c>
      <c r="E9" s="2101" t="s">
        <v>2263</v>
      </c>
      <c r="F9" s="2476">
        <v>1</v>
      </c>
      <c r="G9" s="2401"/>
      <c r="H9" s="2452"/>
      <c r="L9" s="1342" t="s">
        <v>21</v>
      </c>
      <c r="M9" s="1342">
        <v>106117194</v>
      </c>
      <c r="N9" s="1342" t="s">
        <v>2293</v>
      </c>
      <c r="O9" s="1342" t="s">
        <v>2294</v>
      </c>
    </row>
    <row r="10" spans="1:15" ht="19.5" customHeight="1" x14ac:dyDescent="0.25">
      <c r="A10" s="4214"/>
      <c r="B10" s="2591" t="s">
        <v>65</v>
      </c>
      <c r="C10" s="2401">
        <v>106101217</v>
      </c>
      <c r="D10" s="2100" t="s">
        <v>2264</v>
      </c>
      <c r="E10" s="2101" t="s">
        <v>2265</v>
      </c>
      <c r="F10" s="2102">
        <v>1</v>
      </c>
      <c r="G10" s="2401"/>
      <c r="H10" s="2452"/>
      <c r="L10" s="1342" t="s">
        <v>2255</v>
      </c>
      <c r="M10" s="1342">
        <v>106126137</v>
      </c>
      <c r="N10" s="1342" t="s">
        <v>3709</v>
      </c>
      <c r="O10" s="1342" t="s">
        <v>3715</v>
      </c>
    </row>
    <row r="11" spans="1:15" ht="19.5" customHeight="1" x14ac:dyDescent="0.25">
      <c r="A11" s="4214"/>
      <c r="B11" s="2591" t="s">
        <v>764</v>
      </c>
      <c r="C11" s="2401">
        <v>106116542</v>
      </c>
      <c r="D11" s="2100" t="s">
        <v>2266</v>
      </c>
      <c r="E11" s="2101" t="s">
        <v>2266</v>
      </c>
      <c r="F11" s="2102">
        <v>1</v>
      </c>
      <c r="G11" s="2401"/>
      <c r="H11" s="2452"/>
      <c r="L11" s="1342" t="s">
        <v>21</v>
      </c>
      <c r="M11" s="1342">
        <v>106126359</v>
      </c>
      <c r="N11" s="1342" t="s">
        <v>3710</v>
      </c>
      <c r="O11" s="1342" t="s">
        <v>3716</v>
      </c>
    </row>
    <row r="12" spans="1:15" ht="19.5" customHeight="1" thickBot="1" x14ac:dyDescent="0.3">
      <c r="A12" s="4264"/>
      <c r="B12" s="2594" t="s">
        <v>2615</v>
      </c>
      <c r="C12" s="2453">
        <v>106116585</v>
      </c>
      <c r="D12" s="2104" t="s">
        <v>2616</v>
      </c>
      <c r="E12" s="2105" t="s">
        <v>2617</v>
      </c>
      <c r="F12" s="2106">
        <v>1</v>
      </c>
      <c r="G12" s="2453"/>
      <c r="H12" s="2595"/>
      <c r="L12" s="1342" t="s">
        <v>21</v>
      </c>
      <c r="M12" s="1342">
        <v>106126359</v>
      </c>
      <c r="N12" s="1342" t="s">
        <v>3710</v>
      </c>
      <c r="O12" s="1342" t="s">
        <v>3716</v>
      </c>
    </row>
    <row r="13" spans="1:15" ht="19.5" customHeight="1" x14ac:dyDescent="0.25">
      <c r="A13" s="4251" t="s">
        <v>2267</v>
      </c>
      <c r="B13" s="2596" t="s">
        <v>2268</v>
      </c>
      <c r="C13" s="2109">
        <v>106111742</v>
      </c>
      <c r="D13" s="2107" t="s">
        <v>2305</v>
      </c>
      <c r="E13" s="2108" t="s">
        <v>2306</v>
      </c>
      <c r="F13" s="2109">
        <v>1</v>
      </c>
      <c r="G13" s="2473"/>
      <c r="H13" s="2474"/>
      <c r="L13" s="1342" t="s">
        <v>2255</v>
      </c>
      <c r="M13" s="1342">
        <v>106126137</v>
      </c>
      <c r="N13" s="1342" t="s">
        <v>3709</v>
      </c>
      <c r="O13" s="1342" t="s">
        <v>3715</v>
      </c>
    </row>
    <row r="14" spans="1:15" ht="19.5" customHeight="1" x14ac:dyDescent="0.25">
      <c r="A14" s="4252"/>
      <c r="B14" s="2591" t="s">
        <v>2269</v>
      </c>
      <c r="C14" s="2102">
        <v>106202633</v>
      </c>
      <c r="D14" s="2100" t="s">
        <v>2270</v>
      </c>
      <c r="E14" s="2101" t="s">
        <v>2271</v>
      </c>
      <c r="F14" s="2102">
        <v>1</v>
      </c>
      <c r="G14" s="2401"/>
      <c r="H14" s="2452"/>
      <c r="L14" s="1342" t="s">
        <v>21</v>
      </c>
      <c r="M14" s="1342">
        <v>106114097</v>
      </c>
      <c r="N14" s="1342" t="s">
        <v>3713</v>
      </c>
      <c r="O14" s="1342" t="s">
        <v>3714</v>
      </c>
    </row>
    <row r="15" spans="1:15" ht="19.5" customHeight="1" x14ac:dyDescent="0.25">
      <c r="A15" s="4252"/>
      <c r="B15" s="2591" t="s">
        <v>2272</v>
      </c>
      <c r="C15" s="2102">
        <v>106115900</v>
      </c>
      <c r="D15" s="2100" t="s">
        <v>2273</v>
      </c>
      <c r="E15" s="2101" t="s">
        <v>2274</v>
      </c>
      <c r="F15" s="2102">
        <v>1</v>
      </c>
      <c r="G15" s="2401">
        <v>1</v>
      </c>
      <c r="H15" s="2452"/>
      <c r="L15" s="1342" t="s">
        <v>21</v>
      </c>
      <c r="M15" s="1342">
        <v>106114097</v>
      </c>
      <c r="N15" s="1342" t="s">
        <v>3713</v>
      </c>
      <c r="O15" s="1342" t="s">
        <v>3714</v>
      </c>
    </row>
    <row r="16" spans="1:15" ht="19.5" customHeight="1" thickBot="1" x14ac:dyDescent="0.3">
      <c r="A16" s="4252"/>
      <c r="B16" s="2591"/>
      <c r="C16" s="2102">
        <v>106105328</v>
      </c>
      <c r="D16" s="2100" t="s">
        <v>2275</v>
      </c>
      <c r="E16" s="2101" t="s">
        <v>2276</v>
      </c>
      <c r="F16" s="2102">
        <v>1</v>
      </c>
      <c r="G16" s="2401">
        <v>1</v>
      </c>
      <c r="H16" s="2452"/>
      <c r="L16" s="1342" t="s">
        <v>2255</v>
      </c>
      <c r="M16" s="1342">
        <v>106112768</v>
      </c>
      <c r="N16" s="1342" t="s">
        <v>3711</v>
      </c>
      <c r="O16" s="1342" t="s">
        <v>3712</v>
      </c>
    </row>
    <row r="17" spans="1:9" ht="19.5" customHeight="1" x14ac:dyDescent="0.25">
      <c r="A17" s="4217" t="s">
        <v>2277</v>
      </c>
      <c r="B17" s="2600" t="s">
        <v>2278</v>
      </c>
      <c r="C17" s="1463">
        <v>106116338</v>
      </c>
      <c r="D17" s="1411" t="s">
        <v>2293</v>
      </c>
      <c r="E17" s="1397" t="s">
        <v>2294</v>
      </c>
      <c r="F17" s="2396">
        <v>2</v>
      </c>
      <c r="G17" s="2397" t="s">
        <v>649</v>
      </c>
      <c r="H17" s="2398"/>
    </row>
    <row r="18" spans="1:9" ht="19.5" customHeight="1" x14ac:dyDescent="0.25">
      <c r="A18" s="4218"/>
      <c r="B18" s="2591" t="s">
        <v>290</v>
      </c>
      <c r="C18" s="2102">
        <v>106117850</v>
      </c>
      <c r="D18" s="2100" t="s">
        <v>2295</v>
      </c>
      <c r="E18" s="2101" t="s">
        <v>2279</v>
      </c>
      <c r="F18" s="2102">
        <v>1</v>
      </c>
      <c r="G18" s="2401">
        <v>2</v>
      </c>
      <c r="H18" s="2452"/>
    </row>
    <row r="19" spans="1:9" ht="19.5" customHeight="1" x14ac:dyDescent="0.25">
      <c r="A19" s="4218"/>
      <c r="B19" s="2601" t="s">
        <v>328</v>
      </c>
      <c r="C19" s="2102">
        <v>106118004</v>
      </c>
      <c r="D19" s="2110" t="s">
        <v>2296</v>
      </c>
      <c r="E19" s="2101" t="s">
        <v>2297</v>
      </c>
      <c r="F19" s="2476">
        <v>1</v>
      </c>
      <c r="G19" s="2401">
        <v>2</v>
      </c>
      <c r="H19" s="2452"/>
    </row>
    <row r="20" spans="1:9" ht="19.5" customHeight="1" x14ac:dyDescent="0.25">
      <c r="A20" s="4218"/>
      <c r="B20" s="2601" t="s">
        <v>290</v>
      </c>
      <c r="C20" s="2102">
        <v>106116530</v>
      </c>
      <c r="D20" s="2110" t="s">
        <v>2301</v>
      </c>
      <c r="E20" s="2101" t="s">
        <v>2300</v>
      </c>
      <c r="F20" s="2476">
        <v>1</v>
      </c>
      <c r="G20" s="2401">
        <v>3</v>
      </c>
      <c r="H20" s="2452"/>
    </row>
    <row r="21" spans="1:9" ht="19.5" customHeight="1" x14ac:dyDescent="0.25">
      <c r="A21" s="4218"/>
      <c r="B21" s="2400" t="s">
        <v>21</v>
      </c>
      <c r="C21" s="2597">
        <v>106112883</v>
      </c>
      <c r="D21" s="2111" t="s">
        <v>2280</v>
      </c>
      <c r="E21" s="2103" t="s">
        <v>2281</v>
      </c>
      <c r="F21" s="2598">
        <v>1</v>
      </c>
      <c r="G21" s="2599">
        <v>4</v>
      </c>
      <c r="H21" s="2517"/>
    </row>
    <row r="22" spans="1:9" ht="19.5" customHeight="1" thickBot="1" x14ac:dyDescent="0.3">
      <c r="A22" s="4218"/>
      <c r="B22" s="2400" t="s">
        <v>283</v>
      </c>
      <c r="C22" s="2597">
        <v>106112884</v>
      </c>
      <c r="D22" s="2111" t="s">
        <v>2344</v>
      </c>
      <c r="E22" s="2103" t="s">
        <v>2345</v>
      </c>
      <c r="F22" s="2598">
        <v>1</v>
      </c>
      <c r="G22" s="2599">
        <v>4</v>
      </c>
      <c r="H22" s="2517"/>
    </row>
    <row r="23" spans="1:9" ht="19.5" customHeight="1" x14ac:dyDescent="0.25">
      <c r="A23" s="4216" t="s">
        <v>2282</v>
      </c>
      <c r="B23" s="2600" t="s">
        <v>21</v>
      </c>
      <c r="C23" s="1463">
        <v>106116338</v>
      </c>
      <c r="D23" s="1411" t="s">
        <v>2293</v>
      </c>
      <c r="E23" s="1397" t="s">
        <v>2294</v>
      </c>
      <c r="F23" s="2396">
        <v>1</v>
      </c>
      <c r="G23" s="2397" t="s">
        <v>649</v>
      </c>
      <c r="H23" s="2398"/>
    </row>
    <row r="24" spans="1:9" ht="19.5" customHeight="1" x14ac:dyDescent="0.25">
      <c r="A24" s="4214"/>
      <c r="B24" s="2591" t="s">
        <v>2283</v>
      </c>
      <c r="C24" s="2102">
        <v>106114097</v>
      </c>
      <c r="D24" s="2100" t="s">
        <v>2307</v>
      </c>
      <c r="E24" s="2101" t="s">
        <v>2307</v>
      </c>
      <c r="F24" s="2102">
        <v>1</v>
      </c>
      <c r="G24" s="2401"/>
      <c r="H24" s="2452"/>
    </row>
    <row r="25" spans="1:9" ht="19.5" customHeight="1" thickBot="1" x14ac:dyDescent="0.3">
      <c r="A25" s="4215"/>
      <c r="B25" s="2602" t="s">
        <v>290</v>
      </c>
      <c r="C25" s="2597">
        <v>106117144</v>
      </c>
      <c r="D25" s="2110" t="s">
        <v>2302</v>
      </c>
      <c r="E25" s="2101" t="s">
        <v>2303</v>
      </c>
      <c r="F25" s="2482">
        <v>1</v>
      </c>
      <c r="G25" s="2453">
        <v>3</v>
      </c>
      <c r="H25" s="2471"/>
    </row>
    <row r="26" spans="1:9" ht="19.5" customHeight="1" x14ac:dyDescent="0.25">
      <c r="A26" s="4217" t="s">
        <v>2284</v>
      </c>
      <c r="B26" s="2600" t="s">
        <v>21</v>
      </c>
      <c r="C26" s="1463">
        <v>106116338</v>
      </c>
      <c r="D26" s="1411" t="s">
        <v>2293</v>
      </c>
      <c r="E26" s="1397" t="s">
        <v>2294</v>
      </c>
      <c r="F26" s="2396">
        <v>1</v>
      </c>
      <c r="G26" s="2397" t="s">
        <v>649</v>
      </c>
      <c r="H26" s="2398"/>
    </row>
    <row r="27" spans="1:9" ht="19.5" customHeight="1" x14ac:dyDescent="0.25">
      <c r="A27" s="4218"/>
      <c r="B27" s="2591" t="s">
        <v>2283</v>
      </c>
      <c r="C27" s="2102">
        <v>106114097</v>
      </c>
      <c r="D27" s="2100" t="s">
        <v>2307</v>
      </c>
      <c r="E27" s="2101" t="s">
        <v>2307</v>
      </c>
      <c r="F27" s="2102">
        <v>1</v>
      </c>
      <c r="G27" s="2401"/>
      <c r="H27" s="2452"/>
      <c r="I27" s="1349"/>
    </row>
    <row r="28" spans="1:9" ht="19.5" customHeight="1" x14ac:dyDescent="0.25">
      <c r="A28" s="4218"/>
      <c r="B28" s="2601" t="s">
        <v>290</v>
      </c>
      <c r="C28" s="2102">
        <v>106117960</v>
      </c>
      <c r="D28" s="2110" t="s">
        <v>2304</v>
      </c>
      <c r="E28" s="2101" t="s">
        <v>2285</v>
      </c>
      <c r="F28" s="2476">
        <v>1</v>
      </c>
      <c r="G28" s="2401">
        <v>2</v>
      </c>
      <c r="H28" s="2452"/>
    </row>
    <row r="29" spans="1:9" ht="19.5" customHeight="1" thickBot="1" x14ac:dyDescent="0.3">
      <c r="A29" s="4219"/>
      <c r="B29" s="2602" t="s">
        <v>328</v>
      </c>
      <c r="C29" s="2106">
        <v>106117965</v>
      </c>
      <c r="D29" s="2112" t="s">
        <v>2298</v>
      </c>
      <c r="E29" s="2105" t="s">
        <v>2299</v>
      </c>
      <c r="F29" s="2482">
        <v>1</v>
      </c>
      <c r="G29" s="2453" t="s">
        <v>2312</v>
      </c>
      <c r="H29" s="2471"/>
    </row>
    <row r="30" spans="1:9" ht="22.5" customHeight="1" x14ac:dyDescent="0.25">
      <c r="A30" s="4426" t="s">
        <v>2652</v>
      </c>
      <c r="B30" s="2600"/>
      <c r="C30" s="1463">
        <v>106113627</v>
      </c>
      <c r="D30" s="1411" t="s">
        <v>2618</v>
      </c>
      <c r="E30" s="1397" t="s">
        <v>2619</v>
      </c>
      <c r="F30" s="2396">
        <v>1</v>
      </c>
      <c r="G30" s="2397"/>
      <c r="H30" s="2398"/>
    </row>
    <row r="31" spans="1:9" ht="22.5" customHeight="1" x14ac:dyDescent="0.25">
      <c r="A31" s="4427"/>
      <c r="B31" s="2591"/>
      <c r="C31" s="2102">
        <v>106113697</v>
      </c>
      <c r="D31" s="2100" t="s">
        <v>2620</v>
      </c>
      <c r="E31" s="2101" t="s">
        <v>2621</v>
      </c>
      <c r="F31" s="2102">
        <v>1</v>
      </c>
      <c r="G31" s="2401"/>
      <c r="H31" s="2452"/>
    </row>
    <row r="32" spans="1:9" ht="22.5" customHeight="1" x14ac:dyDescent="0.25">
      <c r="A32" s="4427"/>
      <c r="B32" s="2601"/>
      <c r="C32" s="2102">
        <v>106205339</v>
      </c>
      <c r="D32" s="2110" t="s">
        <v>2622</v>
      </c>
      <c r="E32" s="2101" t="s">
        <v>2623</v>
      </c>
      <c r="F32" s="2476">
        <v>1</v>
      </c>
      <c r="G32" s="2401"/>
      <c r="H32" s="2452"/>
    </row>
    <row r="33" spans="1:11" ht="22.5" customHeight="1" thickBot="1" x14ac:dyDescent="0.3">
      <c r="A33" s="4428"/>
      <c r="B33" s="2602"/>
      <c r="C33" s="2106">
        <v>106206320</v>
      </c>
      <c r="D33" s="2112" t="s">
        <v>2624</v>
      </c>
      <c r="E33" s="2105" t="s">
        <v>2625</v>
      </c>
      <c r="F33" s="2482">
        <v>1</v>
      </c>
      <c r="G33" s="2453"/>
      <c r="H33" s="2595"/>
    </row>
    <row r="34" spans="1:11" ht="19.5" customHeight="1" x14ac:dyDescent="0.25">
      <c r="A34" s="2541"/>
      <c r="B34" s="2542"/>
      <c r="C34" s="2543"/>
      <c r="D34" s="2544"/>
      <c r="E34" s="2117"/>
      <c r="F34" s="2545"/>
      <c r="G34" s="2546"/>
      <c r="H34" s="2546"/>
    </row>
    <row r="35" spans="1:11" ht="19.5" customHeight="1" thickBot="1" x14ac:dyDescent="0.3">
      <c r="A35" s="1383" t="s">
        <v>2286</v>
      </c>
      <c r="B35" s="1383"/>
      <c r="C35" s="1383"/>
      <c r="D35" s="1383"/>
      <c r="E35" s="1383"/>
      <c r="F35" s="1383"/>
      <c r="G35" s="1383"/>
      <c r="H35" s="1383"/>
    </row>
    <row r="36" spans="1:11" ht="26.25" customHeight="1" x14ac:dyDescent="0.25">
      <c r="A36" s="4423" t="s">
        <v>2287</v>
      </c>
      <c r="B36" s="4424"/>
      <c r="C36" s="4424"/>
      <c r="D36" s="4424"/>
      <c r="E36" s="4424"/>
      <c r="F36" s="4424"/>
      <c r="G36" s="4424"/>
      <c r="H36" s="4425"/>
    </row>
    <row r="37" spans="1:11" ht="22.5" customHeight="1" x14ac:dyDescent="0.25">
      <c r="A37" s="4223" t="s">
        <v>2288</v>
      </c>
      <c r="B37" s="4224"/>
      <c r="C37" s="4224"/>
      <c r="D37" s="4224"/>
      <c r="E37" s="4224"/>
      <c r="F37" s="4224"/>
      <c r="G37" s="4224"/>
      <c r="H37" s="4225"/>
    </row>
    <row r="38" spans="1:11" ht="27.75" customHeight="1" x14ac:dyDescent="0.25">
      <c r="A38" s="4223" t="s">
        <v>2289</v>
      </c>
      <c r="B38" s="4224"/>
      <c r="C38" s="4224"/>
      <c r="D38" s="4224"/>
      <c r="E38" s="4224"/>
      <c r="F38" s="4224"/>
      <c r="G38" s="4224"/>
      <c r="H38" s="4225"/>
      <c r="I38" s="1383"/>
    </row>
    <row r="39" spans="1:11" ht="27.75" customHeight="1" x14ac:dyDescent="0.25">
      <c r="A39" s="4223" t="s">
        <v>2290</v>
      </c>
      <c r="B39" s="4224"/>
      <c r="C39" s="4224"/>
      <c r="D39" s="4224"/>
      <c r="E39" s="4224"/>
      <c r="F39" s="4224"/>
      <c r="G39" s="4224"/>
      <c r="H39" s="4225"/>
      <c r="I39" s="1383"/>
    </row>
    <row r="40" spans="1:11" ht="33" customHeight="1" x14ac:dyDescent="0.25">
      <c r="A40" s="4223" t="s">
        <v>2291</v>
      </c>
      <c r="B40" s="4421"/>
      <c r="C40" s="4421"/>
      <c r="D40" s="4421"/>
      <c r="E40" s="4421"/>
      <c r="F40" s="4421"/>
      <c r="G40" s="4421"/>
      <c r="H40" s="4422"/>
      <c r="I40" s="1345"/>
    </row>
    <row r="41" spans="1:11" ht="30.75" customHeight="1" thickBot="1" x14ac:dyDescent="0.3">
      <c r="A41" s="4226" t="s">
        <v>2292</v>
      </c>
      <c r="B41" s="4227"/>
      <c r="C41" s="4227"/>
      <c r="D41" s="4227"/>
      <c r="E41" s="4227"/>
      <c r="F41" s="4227"/>
      <c r="G41" s="4227"/>
      <c r="H41" s="4228"/>
      <c r="I41" s="1345"/>
    </row>
    <row r="42" spans="1:11" ht="24" customHeight="1" x14ac:dyDescent="0.25">
      <c r="I42" s="1345"/>
    </row>
    <row r="43" spans="1:11" ht="24" customHeight="1" x14ac:dyDescent="0.25">
      <c r="I43" s="1345"/>
      <c r="J43" s="1345"/>
      <c r="K43" s="1345"/>
    </row>
    <row r="44" spans="1:11" ht="25.5" customHeight="1" x14ac:dyDescent="0.25">
      <c r="I44" s="1345"/>
      <c r="J44" s="1345"/>
      <c r="K44" s="1345"/>
    </row>
    <row r="48" spans="1:11" ht="27" customHeight="1" x14ac:dyDescent="0.25"/>
  </sheetData>
  <mergeCells count="15">
    <mergeCell ref="A17:A22"/>
    <mergeCell ref="F1:H1"/>
    <mergeCell ref="A2:B2"/>
    <mergeCell ref="D2:E2"/>
    <mergeCell ref="A3:A12"/>
    <mergeCell ref="A13:A16"/>
    <mergeCell ref="A40:H40"/>
    <mergeCell ref="A41:H41"/>
    <mergeCell ref="A23:A25"/>
    <mergeCell ref="A26:A29"/>
    <mergeCell ref="A36:H36"/>
    <mergeCell ref="A37:H37"/>
    <mergeCell ref="A38:H38"/>
    <mergeCell ref="A39:H39"/>
    <mergeCell ref="A30:A33"/>
  </mergeCells>
  <pageMargins left="0.70866141732283472" right="0.70866141732283472" top="0.74803149606299213" bottom="0.74803149606299213" header="0.31496062992125984" footer="0.31496062992125984"/>
  <pageSetup paperSize="9" scale="60" orientation="portrait" horizontalDpi="200" verticalDpi="200"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94"/>
  <sheetViews>
    <sheetView zoomScaleNormal="100" workbookViewId="0">
      <selection activeCell="B31" sqref="B31"/>
    </sheetView>
  </sheetViews>
  <sheetFormatPr baseColWidth="10" defaultRowHeight="15" x14ac:dyDescent="0.25"/>
  <cols>
    <col min="1" max="1" width="29" style="749" customWidth="1"/>
    <col min="2" max="2" width="66.42578125" customWidth="1"/>
    <col min="3" max="3" width="14.28515625" style="750" customWidth="1"/>
    <col min="4" max="4" width="26.85546875" style="39" customWidth="1"/>
    <col min="5" max="5" width="14.7109375" customWidth="1"/>
    <col min="6" max="6" width="16" customWidth="1"/>
    <col min="8" max="8" width="13.7109375" customWidth="1"/>
    <col min="9" max="9" width="14.140625" customWidth="1"/>
    <col min="10" max="10" width="66.28515625" bestFit="1" customWidth="1"/>
    <col min="11" max="11" width="11.42578125" style="11"/>
    <col min="12" max="12" width="48" customWidth="1"/>
    <col min="13" max="13" width="11.42578125" style="11"/>
    <col min="16" max="16" width="14.28515625" style="11" customWidth="1"/>
    <col min="17" max="17" width="17.140625" customWidth="1"/>
  </cols>
  <sheetData>
    <row r="1" spans="1:16" ht="15.75" thickBot="1" x14ac:dyDescent="0.3">
      <c r="A1" s="385"/>
      <c r="B1" s="4414" t="s">
        <v>746</v>
      </c>
      <c r="C1" s="4415"/>
      <c r="D1" s="4415"/>
      <c r="E1" s="4416"/>
      <c r="F1" s="356"/>
      <c r="G1" s="11"/>
      <c r="H1" s="688"/>
      <c r="I1" s="688"/>
      <c r="J1" s="11"/>
      <c r="L1" s="11"/>
      <c r="M1"/>
      <c r="O1" s="11"/>
      <c r="P1"/>
    </row>
    <row r="2" spans="1:16" ht="38.25" x14ac:dyDescent="0.25">
      <c r="A2" s="390" t="s">
        <v>526</v>
      </c>
      <c r="B2" s="694" t="s">
        <v>1</v>
      </c>
      <c r="C2" s="393" t="s">
        <v>326</v>
      </c>
      <c r="D2" s="389" t="s">
        <v>252</v>
      </c>
      <c r="E2" s="391" t="s">
        <v>12</v>
      </c>
      <c r="F2" s="391" t="s">
        <v>303</v>
      </c>
      <c r="G2" s="403" t="s">
        <v>267</v>
      </c>
      <c r="H2" s="123" t="s">
        <v>527</v>
      </c>
      <c r="I2" s="11" t="s">
        <v>3832</v>
      </c>
      <c r="K2" s="2637"/>
      <c r="L2" s="2694"/>
      <c r="M2" s="2338"/>
      <c r="P2"/>
    </row>
    <row r="3" spans="1:16" ht="48.75" customHeight="1" x14ac:dyDescent="0.25">
      <c r="A3" s="1543" t="s">
        <v>1497</v>
      </c>
      <c r="B3" s="759" t="s">
        <v>747</v>
      </c>
      <c r="C3" s="427">
        <v>106202436</v>
      </c>
      <c r="D3" s="2440">
        <f t="shared" ref="D3:D15" si="0">E3/F3</f>
        <v>146.94999999999999</v>
      </c>
      <c r="E3" s="3929">
        <v>58.78</v>
      </c>
      <c r="F3" s="2430">
        <v>0.4</v>
      </c>
      <c r="G3" s="2430">
        <v>0.6</v>
      </c>
      <c r="H3" s="2431">
        <f t="shared" ref="H3:H14" si="1">E3/G3</f>
        <v>97.966666666666669</v>
      </c>
      <c r="I3" s="11">
        <v>60.41</v>
      </c>
      <c r="K3" s="2637"/>
      <c r="L3" s="2694"/>
      <c r="M3" s="2641"/>
      <c r="P3"/>
    </row>
    <row r="4" spans="1:16" s="11" customFormat="1" ht="28.5" customHeight="1" x14ac:dyDescent="0.25">
      <c r="A4" s="2442" t="s">
        <v>706</v>
      </c>
      <c r="B4" s="761" t="s">
        <v>1664</v>
      </c>
      <c r="C4" s="2434">
        <v>106200827</v>
      </c>
      <c r="D4" s="2424">
        <f t="shared" si="0"/>
        <v>430.54999999999995</v>
      </c>
      <c r="E4" s="3930">
        <v>172.22</v>
      </c>
      <c r="F4" s="2434">
        <v>0.4</v>
      </c>
      <c r="G4" s="2427">
        <v>0.6</v>
      </c>
      <c r="H4" s="2437">
        <f t="shared" si="1"/>
        <v>287.03333333333336</v>
      </c>
      <c r="J4" s="144"/>
      <c r="K4" s="2637"/>
      <c r="L4" s="2694"/>
      <c r="M4" s="1118"/>
    </row>
    <row r="5" spans="1:16" s="11" customFormat="1" x14ac:dyDescent="0.25">
      <c r="A5" s="2443" t="s">
        <v>1641</v>
      </c>
      <c r="B5" s="604" t="s">
        <v>1637</v>
      </c>
      <c r="C5" s="2445">
        <v>106120859</v>
      </c>
      <c r="D5" s="2425">
        <f t="shared" si="0"/>
        <v>430.54999999999995</v>
      </c>
      <c r="E5" s="3931">
        <v>172.22</v>
      </c>
      <c r="F5" s="2435">
        <v>0.4</v>
      </c>
      <c r="G5" s="2428">
        <v>0.6</v>
      </c>
      <c r="H5" s="2438">
        <f t="shared" si="1"/>
        <v>287.03333333333336</v>
      </c>
      <c r="J5" s="144"/>
      <c r="K5" s="2637"/>
      <c r="L5" s="2695"/>
      <c r="M5" s="2641"/>
    </row>
    <row r="6" spans="1:16" s="11" customFormat="1" x14ac:dyDescent="0.25">
      <c r="A6" s="2443" t="s">
        <v>1642</v>
      </c>
      <c r="B6" s="604" t="s">
        <v>1638</v>
      </c>
      <c r="C6" s="2445">
        <v>106120862</v>
      </c>
      <c r="D6" s="2425">
        <f t="shared" si="0"/>
        <v>430.54999999999995</v>
      </c>
      <c r="E6" s="3931">
        <v>172.22</v>
      </c>
      <c r="F6" s="2435">
        <v>0.4</v>
      </c>
      <c r="G6" s="2428">
        <v>0.6</v>
      </c>
      <c r="H6" s="2438">
        <f t="shared" si="1"/>
        <v>287.03333333333336</v>
      </c>
      <c r="J6" s="144"/>
      <c r="K6" s="2637"/>
      <c r="L6" s="2694"/>
      <c r="M6" s="2641"/>
    </row>
    <row r="7" spans="1:16" s="11" customFormat="1" x14ac:dyDescent="0.25">
      <c r="A7" s="2443" t="s">
        <v>1643</v>
      </c>
      <c r="B7" s="755" t="s">
        <v>1639</v>
      </c>
      <c r="C7" s="2445">
        <v>106120863</v>
      </c>
      <c r="D7" s="2425">
        <f t="shared" si="0"/>
        <v>430.54999999999995</v>
      </c>
      <c r="E7" s="3931">
        <v>172.22</v>
      </c>
      <c r="F7" s="2435">
        <v>0.4</v>
      </c>
      <c r="G7" s="2428">
        <v>0.6</v>
      </c>
      <c r="H7" s="2438">
        <f t="shared" si="1"/>
        <v>287.03333333333336</v>
      </c>
      <c r="J7" s="144"/>
      <c r="K7" s="2637"/>
      <c r="L7" s="2694"/>
      <c r="M7" s="2641"/>
    </row>
    <row r="8" spans="1:16" s="11" customFormat="1" x14ac:dyDescent="0.25">
      <c r="A8" s="2444" t="s">
        <v>1644</v>
      </c>
      <c r="B8" s="756" t="s">
        <v>1640</v>
      </c>
      <c r="C8" s="2446">
        <v>106120864</v>
      </c>
      <c r="D8" s="2426">
        <f t="shared" si="0"/>
        <v>430.54999999999995</v>
      </c>
      <c r="E8" s="3931">
        <v>172.22</v>
      </c>
      <c r="F8" s="2436">
        <v>0.4</v>
      </c>
      <c r="G8" s="2429">
        <v>0.6</v>
      </c>
      <c r="H8" s="2439">
        <f t="shared" si="1"/>
        <v>287.03333333333336</v>
      </c>
      <c r="I8" s="11">
        <v>188.01</v>
      </c>
      <c r="J8" s="144"/>
      <c r="K8" s="2637"/>
      <c r="L8" s="2694"/>
      <c r="M8" s="2338"/>
    </row>
    <row r="9" spans="1:16" s="11" customFormat="1" x14ac:dyDescent="0.25">
      <c r="A9" s="757" t="s">
        <v>729</v>
      </c>
      <c r="B9" s="760" t="s">
        <v>789</v>
      </c>
      <c r="C9" s="752">
        <v>106200778</v>
      </c>
      <c r="D9" s="2441">
        <f t="shared" si="0"/>
        <v>377.52499999999998</v>
      </c>
      <c r="E9" s="3932">
        <v>151.01</v>
      </c>
      <c r="F9" s="2432">
        <v>0.4</v>
      </c>
      <c r="G9" s="2432">
        <v>0.6</v>
      </c>
      <c r="H9" s="2433">
        <f t="shared" si="1"/>
        <v>251.68333333333334</v>
      </c>
      <c r="I9" s="11" t="s">
        <v>794</v>
      </c>
      <c r="K9" s="2637"/>
      <c r="L9" s="2696"/>
      <c r="M9" s="2338"/>
    </row>
    <row r="10" spans="1:16" s="11" customFormat="1" x14ac:dyDescent="0.25">
      <c r="A10" s="757" t="s">
        <v>732</v>
      </c>
      <c r="B10" s="754" t="s">
        <v>790</v>
      </c>
      <c r="C10" s="752">
        <v>106200668</v>
      </c>
      <c r="D10" s="2441">
        <f t="shared" si="0"/>
        <v>170.02500000000001</v>
      </c>
      <c r="E10" s="3774">
        <v>68.010000000000005</v>
      </c>
      <c r="F10" s="752">
        <v>0.4</v>
      </c>
      <c r="G10" s="752">
        <v>0.6</v>
      </c>
      <c r="H10" s="2433">
        <f t="shared" si="1"/>
        <v>113.35000000000001</v>
      </c>
      <c r="I10" s="11" t="s">
        <v>795</v>
      </c>
      <c r="K10" s="2637"/>
      <c r="L10" s="2696"/>
      <c r="M10" s="304"/>
    </row>
    <row r="11" spans="1:16" s="1360" customFormat="1" x14ac:dyDescent="0.25">
      <c r="A11" s="3770" t="s">
        <v>728</v>
      </c>
      <c r="B11" s="3771" t="s">
        <v>796</v>
      </c>
      <c r="C11" s="3772">
        <v>106201336</v>
      </c>
      <c r="D11" s="3773">
        <f t="shared" si="0"/>
        <v>381.27499999999998</v>
      </c>
      <c r="E11" s="3774">
        <v>152.51</v>
      </c>
      <c r="F11" s="3772">
        <v>0.4</v>
      </c>
      <c r="G11" s="3772">
        <v>0.6</v>
      </c>
      <c r="H11" s="3775">
        <f t="shared" si="1"/>
        <v>254.18333333333334</v>
      </c>
      <c r="K11" s="3671"/>
      <c r="L11" s="2696"/>
      <c r="M11" s="3349"/>
    </row>
    <row r="12" spans="1:16" s="1383" customFormat="1" x14ac:dyDescent="0.25">
      <c r="A12" s="3684" t="s">
        <v>3692</v>
      </c>
      <c r="B12" s="3776" t="s">
        <v>3695</v>
      </c>
      <c r="C12" s="3685">
        <v>106205465</v>
      </c>
      <c r="D12" s="2441"/>
      <c r="E12" s="3769"/>
      <c r="F12" s="3685"/>
      <c r="G12" s="3685"/>
      <c r="H12" s="2433"/>
      <c r="K12" s="2637"/>
      <c r="L12" s="2696"/>
      <c r="M12" s="304"/>
    </row>
    <row r="13" spans="1:16" s="1383" customFormat="1" x14ac:dyDescent="0.25">
      <c r="A13" s="3684" t="s">
        <v>3693</v>
      </c>
      <c r="B13" s="3776" t="s">
        <v>3694</v>
      </c>
      <c r="C13" s="3685">
        <v>106205466</v>
      </c>
      <c r="D13" s="2441"/>
      <c r="E13" s="3769"/>
      <c r="F13" s="3685"/>
      <c r="G13" s="3685"/>
      <c r="H13" s="2433"/>
      <c r="K13" s="2637"/>
      <c r="L13" s="2696"/>
      <c r="M13" s="304"/>
    </row>
    <row r="14" spans="1:16" s="11" customFormat="1" x14ac:dyDescent="0.25">
      <c r="A14" s="758" t="s">
        <v>721</v>
      </c>
      <c r="B14" s="754" t="s">
        <v>797</v>
      </c>
      <c r="C14" s="752">
        <v>106200719</v>
      </c>
      <c r="D14" s="2441">
        <f t="shared" si="0"/>
        <v>278.32499999999999</v>
      </c>
      <c r="E14" s="695">
        <v>111.33</v>
      </c>
      <c r="F14" s="752">
        <v>0.4</v>
      </c>
      <c r="G14" s="752">
        <v>0.6</v>
      </c>
      <c r="H14" s="2433">
        <f t="shared" si="1"/>
        <v>185.55</v>
      </c>
    </row>
    <row r="15" spans="1:16" s="1383" customFormat="1" x14ac:dyDescent="0.25">
      <c r="A15" s="758" t="s">
        <v>3083</v>
      </c>
      <c r="B15" s="754" t="s">
        <v>3084</v>
      </c>
      <c r="C15" s="752">
        <v>106121966</v>
      </c>
      <c r="D15" s="2441">
        <f t="shared" si="0"/>
        <v>351.27499999999998</v>
      </c>
      <c r="E15" s="695">
        <v>140.51</v>
      </c>
      <c r="F15" s="752">
        <v>0.4</v>
      </c>
      <c r="G15" s="752"/>
      <c r="H15" s="2433">
        <v>234.18</v>
      </c>
      <c r="I15" s="1383">
        <v>119.61</v>
      </c>
    </row>
    <row r="16" spans="1:16" s="11" customFormat="1" x14ac:dyDescent="0.25">
      <c r="A16" s="764"/>
      <c r="B16" s="691"/>
      <c r="C16" s="377"/>
      <c r="D16" s="115"/>
      <c r="E16" s="692"/>
      <c r="F16" s="382"/>
      <c r="G16" s="382"/>
      <c r="J16" s="48"/>
      <c r="K16" s="1281"/>
      <c r="L16" s="1281"/>
      <c r="M16" s="48"/>
    </row>
    <row r="17" spans="1:17" s="11" customFormat="1" x14ac:dyDescent="0.25">
      <c r="A17" s="749"/>
      <c r="B17" s="691" t="s">
        <v>751</v>
      </c>
      <c r="C17" s="753">
        <v>106104888</v>
      </c>
      <c r="D17" s="299">
        <f>E17/F17</f>
        <v>0.3</v>
      </c>
      <c r="E17" s="299">
        <v>0.18</v>
      </c>
      <c r="F17" s="175">
        <v>0.6</v>
      </c>
      <c r="G17" s="175">
        <v>0.8</v>
      </c>
      <c r="H17" s="299">
        <f>E17/G17</f>
        <v>0.22499999999999998</v>
      </c>
      <c r="I17" s="299"/>
      <c r="J17" s="48"/>
      <c r="K17" s="2506"/>
      <c r="L17" s="1281"/>
      <c r="M17" s="2507"/>
      <c r="P17" s="176"/>
    </row>
    <row r="18" spans="1:17" s="11" customFormat="1" x14ac:dyDescent="0.25">
      <c r="A18" s="749"/>
      <c r="B18" s="691"/>
      <c r="C18" s="377"/>
      <c r="D18" s="115"/>
      <c r="E18" s="692"/>
      <c r="F18" s="382"/>
      <c r="G18" s="382"/>
      <c r="J18" s="48"/>
      <c r="K18" s="2506"/>
      <c r="L18" s="1281"/>
      <c r="M18" s="2507"/>
      <c r="P18" s="176"/>
    </row>
    <row r="19" spans="1:17" x14ac:dyDescent="0.25">
      <c r="C19" s="228" t="s">
        <v>326</v>
      </c>
      <c r="D19" s="1" t="s">
        <v>12</v>
      </c>
      <c r="E19" s="228" t="s">
        <v>344</v>
      </c>
      <c r="F19" s="11" t="s">
        <v>406</v>
      </c>
      <c r="G19" s="39" t="s">
        <v>345</v>
      </c>
      <c r="I19" s="11"/>
      <c r="J19" s="48"/>
      <c r="K19" s="2506"/>
      <c r="L19" s="1281"/>
      <c r="M19" s="2507"/>
      <c r="O19" s="11"/>
      <c r="P19" s="176"/>
    </row>
    <row r="20" spans="1:17" s="11" customFormat="1" x14ac:dyDescent="0.25">
      <c r="A20" s="1094" t="s">
        <v>1030</v>
      </c>
      <c r="B20" s="296" t="s">
        <v>343</v>
      </c>
      <c r="C20" s="301">
        <v>106200533</v>
      </c>
      <c r="D20" s="2697">
        <v>17.64</v>
      </c>
      <c r="E20" s="2379"/>
      <c r="F20" s="175"/>
      <c r="G20" s="298"/>
      <c r="H20"/>
      <c r="J20" s="48"/>
      <c r="K20" s="2506"/>
      <c r="L20" s="1281"/>
      <c r="M20" s="2507"/>
    </row>
    <row r="21" spans="1:17" s="1360" customFormat="1" x14ac:dyDescent="0.25">
      <c r="A21" s="224" t="s">
        <v>416</v>
      </c>
      <c r="B21" s="3861" t="s">
        <v>748</v>
      </c>
      <c r="C21" s="3862">
        <v>106201329</v>
      </c>
      <c r="D21" s="2379">
        <v>74.459999999999994</v>
      </c>
      <c r="E21" s="2379">
        <v>185</v>
      </c>
      <c r="F21" s="3848"/>
      <c r="G21" s="2378"/>
      <c r="K21" s="3863"/>
      <c r="L21" s="3864"/>
      <c r="M21" s="1569"/>
      <c r="N21" s="3865"/>
      <c r="Q21" s="3600"/>
    </row>
    <row r="22" spans="1:17" s="1351" customFormat="1" x14ac:dyDescent="0.25">
      <c r="A22" s="751" t="s">
        <v>3841</v>
      </c>
      <c r="B22" s="3866" t="s">
        <v>3853</v>
      </c>
      <c r="C22" s="3867">
        <v>106208127</v>
      </c>
      <c r="D22" s="2698"/>
      <c r="E22" s="2698"/>
      <c r="F22" s="230"/>
      <c r="G22" s="3868"/>
      <c r="K22" s="2197"/>
      <c r="L22" s="3869"/>
      <c r="M22" s="2356"/>
      <c r="N22" s="357"/>
      <c r="Q22" s="176"/>
    </row>
    <row r="23" spans="1:17" s="1383" customFormat="1" x14ac:dyDescent="0.25">
      <c r="B23" s="296" t="s">
        <v>2608</v>
      </c>
      <c r="C23" s="751" t="s">
        <v>2607</v>
      </c>
      <c r="D23" s="297"/>
      <c r="E23" s="2379"/>
      <c r="F23" s="1350"/>
      <c r="G23" s="298"/>
      <c r="K23" s="48"/>
      <c r="L23" s="2506"/>
      <c r="M23" s="1281"/>
      <c r="N23" s="2507"/>
      <c r="Q23" s="176"/>
    </row>
    <row r="24" spans="1:17" s="11" customFormat="1" x14ac:dyDescent="0.25">
      <c r="A24" s="751" t="s">
        <v>914</v>
      </c>
      <c r="B24" s="300" t="s">
        <v>915</v>
      </c>
      <c r="C24" s="301">
        <v>106200603</v>
      </c>
      <c r="D24" s="2698">
        <v>57.57</v>
      </c>
      <c r="E24" s="2378"/>
      <c r="F24" s="175"/>
      <c r="G24" s="298"/>
      <c r="I24" s="1383"/>
      <c r="K24" s="48"/>
      <c r="L24" s="2506"/>
      <c r="M24" s="1281"/>
      <c r="N24" s="2507"/>
      <c r="Q24" s="176"/>
    </row>
    <row r="25" spans="1:17" s="11" customFormat="1" x14ac:dyDescent="0.25">
      <c r="A25" s="751" t="s">
        <v>750</v>
      </c>
      <c r="B25" s="296" t="s">
        <v>749</v>
      </c>
      <c r="C25" s="301">
        <v>106202688</v>
      </c>
      <c r="D25" s="2697">
        <v>89.9</v>
      </c>
      <c r="E25" s="2378"/>
      <c r="F25" s="175"/>
      <c r="G25" s="298"/>
      <c r="I25" s="1383"/>
      <c r="K25" s="48"/>
      <c r="L25" s="2506"/>
      <c r="M25" s="1281"/>
      <c r="N25" s="2507"/>
      <c r="Q25" s="176"/>
    </row>
    <row r="26" spans="1:17" s="11" customFormat="1" x14ac:dyDescent="0.25">
      <c r="A26" s="751" t="s">
        <v>1029</v>
      </c>
      <c r="B26" s="296" t="s">
        <v>408</v>
      </c>
      <c r="C26" s="301">
        <v>106200874</v>
      </c>
      <c r="D26" s="2697">
        <v>175.24</v>
      </c>
      <c r="E26" s="2378"/>
      <c r="F26" s="1350" t="s">
        <v>1337</v>
      </c>
      <c r="H26" s="298">
        <v>140</v>
      </c>
      <c r="I26" s="298"/>
      <c r="K26" s="48"/>
      <c r="L26" s="2506"/>
      <c r="M26" s="1281"/>
      <c r="N26" s="2507"/>
      <c r="Q26" s="176"/>
    </row>
    <row r="27" spans="1:17" s="11" customFormat="1" x14ac:dyDescent="0.25">
      <c r="A27" s="891" t="s">
        <v>813</v>
      </c>
      <c r="B27" s="11" t="s">
        <v>910</v>
      </c>
      <c r="C27" s="763">
        <v>106113590</v>
      </c>
      <c r="D27" s="297"/>
      <c r="E27" s="298"/>
      <c r="F27" s="175"/>
      <c r="G27" s="298"/>
      <c r="I27" s="1383"/>
      <c r="K27" s="48"/>
      <c r="L27" s="2506"/>
      <c r="M27" s="1281"/>
      <c r="N27" s="2507"/>
      <c r="Q27" s="176"/>
    </row>
    <row r="28" spans="1:17" s="11" customFormat="1" x14ac:dyDescent="0.25">
      <c r="A28" s="749"/>
      <c r="B28" s="300" t="s">
        <v>454</v>
      </c>
      <c r="C28" s="301">
        <v>106112701</v>
      </c>
      <c r="D28" s="299">
        <v>8.1300000000000008</v>
      </c>
      <c r="E28" s="894">
        <f>D28/0.6</f>
        <v>13.550000000000002</v>
      </c>
      <c r="F28" s="2540">
        <f>D28/0.8</f>
        <v>10.1625</v>
      </c>
      <c r="G28" s="298"/>
      <c r="I28" s="1383"/>
      <c r="K28" s="48"/>
      <c r="L28" s="2508"/>
      <c r="M28" s="1542"/>
      <c r="N28" s="2509"/>
      <c r="Q28" s="176"/>
    </row>
    <row r="29" spans="1:17" s="11" customFormat="1" x14ac:dyDescent="0.25">
      <c r="A29" s="963" t="s">
        <v>998</v>
      </c>
      <c r="B29" s="300" t="s">
        <v>4126</v>
      </c>
      <c r="C29" s="301">
        <v>106200542</v>
      </c>
      <c r="D29" s="2697">
        <v>37.979999999999997</v>
      </c>
      <c r="E29" s="2697">
        <v>80</v>
      </c>
      <c r="F29" s="2540">
        <f>D29/0.8</f>
        <v>47.474999999999994</v>
      </c>
      <c r="G29" s="298"/>
      <c r="I29" s="1383"/>
      <c r="K29" s="896"/>
      <c r="L29" s="895"/>
      <c r="M29" s="144"/>
    </row>
    <row r="30" spans="1:17" s="11" customFormat="1" x14ac:dyDescent="0.25">
      <c r="A30" s="956" t="s">
        <v>993</v>
      </c>
      <c r="B30" s="296" t="s">
        <v>994</v>
      </c>
      <c r="C30" s="301">
        <v>106202687</v>
      </c>
      <c r="D30" s="2697">
        <v>194.34</v>
      </c>
      <c r="E30" s="298"/>
      <c r="F30" s="175"/>
      <c r="G30" s="298"/>
      <c r="I30" s="1383"/>
      <c r="K30" s="896"/>
      <c r="L30" s="895"/>
      <c r="M30" s="144"/>
    </row>
    <row r="31" spans="1:17" s="11" customFormat="1" x14ac:dyDescent="0.25">
      <c r="A31" s="3921" t="s">
        <v>3884</v>
      </c>
      <c r="B31" s="296" t="s">
        <v>3885</v>
      </c>
      <c r="C31" s="301">
        <v>106122984</v>
      </c>
      <c r="D31" s="2697">
        <v>133.32</v>
      </c>
      <c r="E31" s="298"/>
      <c r="F31" s="175"/>
      <c r="G31" s="298"/>
      <c r="I31" s="1383"/>
    </row>
    <row r="32" spans="1:17" x14ac:dyDescent="0.25">
      <c r="B32" s="296"/>
      <c r="C32" s="297"/>
      <c r="D32" s="297"/>
      <c r="E32" s="298"/>
      <c r="F32" s="175"/>
      <c r="G32" s="298"/>
      <c r="H32" s="11"/>
      <c r="I32" s="1383"/>
      <c r="J32" s="11"/>
      <c r="L32" s="11"/>
      <c r="N32" s="11"/>
      <c r="P32"/>
      <c r="Q32" s="11"/>
    </row>
    <row r="33" spans="1:21" x14ac:dyDescent="0.25">
      <c r="A33" s="749" t="s">
        <v>528</v>
      </c>
      <c r="B33" s="296" t="s">
        <v>529</v>
      </c>
      <c r="C33" s="297"/>
      <c r="D33" s="297"/>
      <c r="E33" s="298"/>
      <c r="F33" s="175"/>
      <c r="G33" s="298"/>
      <c r="H33" s="11"/>
      <c r="I33" s="1383"/>
    </row>
    <row r="34" spans="1:21" x14ac:dyDescent="0.25">
      <c r="B34" s="296"/>
      <c r="C34" s="297"/>
      <c r="D34" s="297"/>
      <c r="E34" s="298"/>
      <c r="F34" s="175"/>
      <c r="G34" s="298"/>
      <c r="H34" s="11"/>
      <c r="I34" s="1383"/>
    </row>
    <row r="35" spans="1:21" ht="15" customHeight="1" x14ac:dyDescent="0.25">
      <c r="A35" s="275" t="s">
        <v>453</v>
      </c>
      <c r="B35" s="893" t="s">
        <v>452</v>
      </c>
      <c r="C35" s="297">
        <v>106200521</v>
      </c>
      <c r="D35" s="2697">
        <v>70.03</v>
      </c>
      <c r="E35" s="299">
        <f>D35/0.4</f>
        <v>175.07499999999999</v>
      </c>
      <c r="F35" s="299">
        <f>D35/0.6</f>
        <v>116.71666666666667</v>
      </c>
      <c r="G35" s="298"/>
      <c r="I35" s="1383"/>
    </row>
    <row r="36" spans="1:21" x14ac:dyDescent="0.25">
      <c r="I36" s="1383"/>
    </row>
    <row r="37" spans="1:21" x14ac:dyDescent="0.25">
      <c r="A37" s="1498" t="s">
        <v>890</v>
      </c>
      <c r="B37" s="261" t="s">
        <v>439</v>
      </c>
      <c r="C37" s="750">
        <v>106200509</v>
      </c>
      <c r="D37" s="2697">
        <v>49.51</v>
      </c>
      <c r="E37" s="240">
        <f>D37/0.4</f>
        <v>123.77499999999999</v>
      </c>
      <c r="F37" s="2377">
        <f>D37/0.6</f>
        <v>82.516666666666666</v>
      </c>
      <c r="I37" s="1383"/>
    </row>
    <row r="38" spans="1:21" x14ac:dyDescent="0.25">
      <c r="B38" s="11"/>
      <c r="D38" s="11" t="s">
        <v>348</v>
      </c>
      <c r="E38" s="11" t="s">
        <v>346</v>
      </c>
      <c r="I38" s="1383"/>
    </row>
    <row r="39" spans="1:21" x14ac:dyDescent="0.25">
      <c r="A39" s="749" t="s">
        <v>342</v>
      </c>
      <c r="B39" s="567" t="s">
        <v>675</v>
      </c>
      <c r="C39" s="301">
        <v>106200524</v>
      </c>
      <c r="D39" s="11" t="s">
        <v>347</v>
      </c>
      <c r="E39" s="121">
        <v>240</v>
      </c>
      <c r="I39" s="1383"/>
    </row>
    <row r="40" spans="1:21" s="11" customFormat="1" x14ac:dyDescent="0.25">
      <c r="A40" s="749"/>
      <c r="B40" s="176" t="s">
        <v>898</v>
      </c>
      <c r="C40" s="301"/>
      <c r="D40" s="299">
        <v>78.290000000000006</v>
      </c>
      <c r="E40" s="121">
        <v>280</v>
      </c>
      <c r="F40"/>
      <c r="G40"/>
      <c r="H40"/>
      <c r="I40" s="1383"/>
    </row>
    <row r="41" spans="1:21" s="11" customFormat="1" x14ac:dyDescent="0.25">
      <c r="A41" s="1268" t="s">
        <v>1096</v>
      </c>
      <c r="B41" s="176" t="s">
        <v>1097</v>
      </c>
      <c r="C41" s="301"/>
      <c r="D41" s="299">
        <v>160.71</v>
      </c>
      <c r="E41" s="121">
        <v>360</v>
      </c>
      <c r="F41"/>
      <c r="G41"/>
      <c r="H41"/>
      <c r="I41" s="1383"/>
    </row>
    <row r="42" spans="1:21" s="11" customFormat="1" x14ac:dyDescent="0.25">
      <c r="A42" s="749" t="s">
        <v>706</v>
      </c>
      <c r="B42" s="176" t="s">
        <v>451</v>
      </c>
      <c r="C42" s="301">
        <v>106200827</v>
      </c>
      <c r="D42" s="299">
        <v>212.16</v>
      </c>
      <c r="E42" s="121">
        <v>450</v>
      </c>
      <c r="F42"/>
      <c r="G42"/>
      <c r="H42"/>
      <c r="I42" s="1383"/>
    </row>
    <row r="43" spans="1:21" s="11" customFormat="1" x14ac:dyDescent="0.25">
      <c r="A43" s="1762" t="s">
        <v>1665</v>
      </c>
      <c r="B43" s="176" t="s">
        <v>1666</v>
      </c>
      <c r="C43" s="301">
        <v>106200764</v>
      </c>
      <c r="D43" s="299">
        <v>200.53</v>
      </c>
      <c r="E43"/>
      <c r="F43" s="240">
        <f>D43/0.6</f>
        <v>334.2166666666667</v>
      </c>
      <c r="G43"/>
      <c r="I43" s="1383"/>
    </row>
    <row r="44" spans="1:21" s="11" customFormat="1" x14ac:dyDescent="0.25">
      <c r="A44" s="902" t="s">
        <v>932</v>
      </c>
      <c r="B44" s="14" t="s">
        <v>933</v>
      </c>
      <c r="C44" s="301">
        <v>106200537</v>
      </c>
      <c r="D44" s="2697">
        <v>19.239999999999998</v>
      </c>
      <c r="E44" s="894">
        <v>154</v>
      </c>
      <c r="G44" s="11">
        <v>102.67</v>
      </c>
      <c r="I44" s="1383"/>
    </row>
    <row r="45" spans="1:21" s="11" customFormat="1" x14ac:dyDescent="0.25">
      <c r="A45" s="1378" t="s">
        <v>709</v>
      </c>
      <c r="B45" s="1359" t="s">
        <v>710</v>
      </c>
      <c r="C45" s="301">
        <v>106200795</v>
      </c>
      <c r="D45" s="2697">
        <v>11.52</v>
      </c>
      <c r="E45" s="894">
        <f>D45/0.4</f>
        <v>28.799999999999997</v>
      </c>
      <c r="G45" s="894">
        <f>D45/0.6</f>
        <v>19.2</v>
      </c>
      <c r="I45" s="1383"/>
    </row>
    <row r="46" spans="1:21" s="11" customFormat="1" x14ac:dyDescent="0.25">
      <c r="A46" s="749"/>
      <c r="C46" s="301"/>
      <c r="D46" s="686"/>
      <c r="I46" s="1383"/>
    </row>
    <row r="47" spans="1:21" x14ac:dyDescent="0.25">
      <c r="A47" s="224" t="s">
        <v>1032</v>
      </c>
      <c r="B47" s="961" t="s">
        <v>678</v>
      </c>
      <c r="C47" s="301">
        <v>106104075</v>
      </c>
      <c r="D47" s="894">
        <v>35.64</v>
      </c>
      <c r="E47" s="121"/>
      <c r="F47" s="11"/>
      <c r="G47" s="894"/>
      <c r="H47" s="11"/>
      <c r="I47" s="1383"/>
    </row>
    <row r="48" spans="1:21" s="11" customFormat="1" x14ac:dyDescent="0.25">
      <c r="A48" s="224" t="s">
        <v>1010</v>
      </c>
      <c r="B48" s="961" t="s">
        <v>1034</v>
      </c>
      <c r="C48" s="301">
        <v>106116603</v>
      </c>
      <c r="D48" s="894">
        <v>50.11</v>
      </c>
      <c r="E48" s="121"/>
      <c r="G48" s="894"/>
      <c r="I48" s="1383"/>
      <c r="U48" s="299"/>
    </row>
    <row r="49" spans="1:21" s="11" customFormat="1" x14ac:dyDescent="0.25">
      <c r="A49" s="1095" t="s">
        <v>1009</v>
      </c>
      <c r="B49" s="961" t="s">
        <v>1033</v>
      </c>
      <c r="C49" s="301">
        <v>106202900</v>
      </c>
      <c r="D49" s="894">
        <v>51.62</v>
      </c>
      <c r="E49" s="298"/>
      <c r="G49" s="894"/>
      <c r="I49" s="1383"/>
      <c r="U49" s="299"/>
    </row>
    <row r="50" spans="1:21" s="11" customFormat="1" x14ac:dyDescent="0.25">
      <c r="A50" s="960"/>
      <c r="B50" s="567"/>
      <c r="C50" s="301"/>
      <c r="D50" s="298"/>
      <c r="E50" s="121"/>
      <c r="G50" s="894"/>
      <c r="I50" s="1383"/>
      <c r="U50" s="299"/>
    </row>
    <row r="51" spans="1:21" x14ac:dyDescent="0.25">
      <c r="B51" s="567"/>
      <c r="C51" s="301"/>
      <c r="D51" s="75"/>
      <c r="E51" s="121"/>
      <c r="F51" s="11"/>
      <c r="G51" s="11"/>
      <c r="H51" s="11"/>
      <c r="I51" s="1383"/>
      <c r="J51" s="11"/>
      <c r="L51" s="11"/>
      <c r="N51" s="11"/>
      <c r="P51"/>
      <c r="Q51" s="11"/>
    </row>
    <row r="52" spans="1:21" x14ac:dyDescent="0.25">
      <c r="A52" s="749" t="s">
        <v>679</v>
      </c>
      <c r="B52" s="567" t="s">
        <v>680</v>
      </c>
      <c r="C52" s="301">
        <v>106115083</v>
      </c>
      <c r="D52" s="75"/>
      <c r="E52" s="121"/>
      <c r="F52" s="11"/>
      <c r="G52" s="11"/>
      <c r="H52" s="11"/>
      <c r="I52" s="1383"/>
      <c r="J52" s="11"/>
      <c r="K52"/>
      <c r="L52" s="11"/>
      <c r="N52" s="11"/>
      <c r="P52"/>
      <c r="Q52" s="11"/>
    </row>
    <row r="53" spans="1:21" s="11" customFormat="1" x14ac:dyDescent="0.25">
      <c r="A53" s="11" t="s">
        <v>989</v>
      </c>
      <c r="B53" s="11" t="s">
        <v>991</v>
      </c>
      <c r="C53" s="11">
        <v>106203848</v>
      </c>
      <c r="D53" s="304"/>
      <c r="E53" s="304"/>
      <c r="F53" s="304"/>
      <c r="G53" s="410"/>
      <c r="I53" s="1383"/>
    </row>
    <row r="54" spans="1:21" x14ac:dyDescent="0.25">
      <c r="I54" s="1383"/>
      <c r="K54"/>
      <c r="L54" s="11"/>
      <c r="M54"/>
      <c r="N54" s="11"/>
      <c r="P54"/>
      <c r="Q54" s="11"/>
    </row>
    <row r="55" spans="1:21" x14ac:dyDescent="0.25">
      <c r="I55" s="1383"/>
      <c r="K55"/>
      <c r="L55" s="11"/>
      <c r="M55"/>
      <c r="N55" s="11"/>
      <c r="P55"/>
      <c r="Q55" s="11"/>
    </row>
    <row r="56" spans="1:21" x14ac:dyDescent="0.25">
      <c r="A56" s="86" t="s">
        <v>555</v>
      </c>
      <c r="B56" s="1383" t="s">
        <v>896</v>
      </c>
      <c r="C56" s="11">
        <v>106200626</v>
      </c>
      <c r="D56" s="2697">
        <v>91.48</v>
      </c>
      <c r="E56" s="240">
        <f>D56/0.4</f>
        <v>228.7</v>
      </c>
      <c r="F56" s="240">
        <f>D56/0.6</f>
        <v>152.46666666666667</v>
      </c>
      <c r="I56" s="1383"/>
      <c r="K56"/>
      <c r="L56" s="11"/>
      <c r="M56"/>
      <c r="N56" s="11"/>
      <c r="P56"/>
      <c r="Q56" s="11"/>
    </row>
    <row r="57" spans="1:21" x14ac:dyDescent="0.25">
      <c r="A57" s="3782" t="s">
        <v>556</v>
      </c>
      <c r="B57" s="3783" t="s">
        <v>897</v>
      </c>
      <c r="C57" s="3782">
        <v>106200623</v>
      </c>
      <c r="D57" s="3784">
        <v>52.57</v>
      </c>
      <c r="E57" s="3785">
        <f>D57/0.4</f>
        <v>131.42499999999998</v>
      </c>
      <c r="F57" s="3786">
        <f>D57/0.6</f>
        <v>87.616666666666674</v>
      </c>
      <c r="I57" s="1383"/>
      <c r="K57"/>
      <c r="L57" s="11"/>
      <c r="M57"/>
      <c r="N57" s="11"/>
      <c r="P57"/>
      <c r="Q57" s="11"/>
    </row>
    <row r="58" spans="1:21" s="1383" customFormat="1" x14ac:dyDescent="0.25">
      <c r="A58" s="86"/>
      <c r="B58" s="3739" t="s">
        <v>3727</v>
      </c>
      <c r="C58" s="86"/>
      <c r="D58" s="2697"/>
      <c r="E58" s="894"/>
      <c r="F58" s="240"/>
    </row>
    <row r="59" spans="1:21" s="1383" customFormat="1" x14ac:dyDescent="0.25">
      <c r="A59" s="86"/>
      <c r="B59" s="3739" t="s">
        <v>3730</v>
      </c>
      <c r="C59" s="86"/>
      <c r="D59" s="2697"/>
      <c r="E59" s="894"/>
      <c r="F59" s="240"/>
    </row>
    <row r="60" spans="1:21" s="1383" customFormat="1" x14ac:dyDescent="0.25">
      <c r="A60" s="86"/>
      <c r="B60" s="3739" t="s">
        <v>3728</v>
      </c>
      <c r="C60" s="86"/>
      <c r="D60" s="2697"/>
      <c r="E60" s="894"/>
      <c r="F60" s="240"/>
    </row>
    <row r="61" spans="1:21" s="1383" customFormat="1" x14ac:dyDescent="0.25">
      <c r="A61" s="3787"/>
      <c r="B61" s="3788" t="s">
        <v>3729</v>
      </c>
      <c r="C61" s="3787"/>
      <c r="D61" s="3789"/>
      <c r="E61" s="3790"/>
      <c r="F61" s="3791"/>
    </row>
    <row r="62" spans="1:21" s="1383" customFormat="1" x14ac:dyDescent="0.25">
      <c r="A62" s="86"/>
      <c r="C62" s="86"/>
      <c r="D62" s="2697"/>
      <c r="E62" s="894"/>
      <c r="F62" s="240"/>
    </row>
    <row r="63" spans="1:21" s="1383" customFormat="1" x14ac:dyDescent="0.25">
      <c r="A63" s="86"/>
      <c r="C63" s="86"/>
      <c r="D63" s="2697"/>
      <c r="E63" s="894"/>
      <c r="F63" s="240"/>
    </row>
    <row r="64" spans="1:21" s="1383" customFormat="1" x14ac:dyDescent="0.25">
      <c r="A64" s="86"/>
      <c r="C64" s="86"/>
      <c r="D64" s="2697"/>
      <c r="E64" s="894"/>
      <c r="F64" s="240"/>
    </row>
    <row r="66" spans="1:24" x14ac:dyDescent="0.25">
      <c r="A66" s="762" t="s">
        <v>417</v>
      </c>
      <c r="B66" s="11" t="s">
        <v>920</v>
      </c>
      <c r="C66" s="763">
        <v>106113414</v>
      </c>
    </row>
    <row r="67" spans="1:24" x14ac:dyDescent="0.25">
      <c r="A67" s="762" t="s">
        <v>810</v>
      </c>
      <c r="B67" s="11" t="s">
        <v>801</v>
      </c>
      <c r="C67" s="763">
        <v>106113656</v>
      </c>
      <c r="D67" s="2699">
        <v>111.98</v>
      </c>
    </row>
    <row r="68" spans="1:24" x14ac:dyDescent="0.25">
      <c r="A68" s="762" t="s">
        <v>809</v>
      </c>
      <c r="B68" s="11" t="s">
        <v>802</v>
      </c>
      <c r="C68" s="763">
        <v>106113657</v>
      </c>
      <c r="D68" s="2699">
        <v>183.94</v>
      </c>
    </row>
    <row r="69" spans="1:24" x14ac:dyDescent="0.25">
      <c r="A69" s="762" t="s">
        <v>813</v>
      </c>
      <c r="B69" s="11" t="s">
        <v>803</v>
      </c>
      <c r="C69" s="763">
        <v>106113590</v>
      </c>
      <c r="E69" s="298"/>
    </row>
    <row r="70" spans="1:24" x14ac:dyDescent="0.25">
      <c r="A70" s="762" t="s">
        <v>807</v>
      </c>
      <c r="B70" s="11" t="s">
        <v>814</v>
      </c>
      <c r="C70" s="763">
        <v>106113001</v>
      </c>
      <c r="D70" s="2699"/>
      <c r="E70" s="298"/>
    </row>
    <row r="71" spans="1:24" x14ac:dyDescent="0.25">
      <c r="A71" s="762" t="s">
        <v>808</v>
      </c>
      <c r="B71" s="1383" t="s">
        <v>804</v>
      </c>
      <c r="C71" s="763">
        <v>106113003</v>
      </c>
      <c r="D71" s="1334" t="s">
        <v>1262</v>
      </c>
      <c r="E71" s="298"/>
    </row>
    <row r="72" spans="1:24" x14ac:dyDescent="0.25">
      <c r="A72" s="762" t="s">
        <v>812</v>
      </c>
      <c r="B72" s="11" t="s">
        <v>805</v>
      </c>
      <c r="C72" s="763">
        <v>106200877</v>
      </c>
      <c r="D72" s="2699">
        <v>80.34</v>
      </c>
      <c r="E72" s="75" t="s">
        <v>1078</v>
      </c>
    </row>
    <row r="73" spans="1:24" x14ac:dyDescent="0.25">
      <c r="A73" s="762" t="s">
        <v>811</v>
      </c>
      <c r="B73" s="11" t="s">
        <v>806</v>
      </c>
      <c r="C73" s="763">
        <v>106200885</v>
      </c>
      <c r="D73" s="2699">
        <v>2.77</v>
      </c>
      <c r="E73" s="298"/>
    </row>
    <row r="75" spans="1:24" ht="30" x14ac:dyDescent="0.25">
      <c r="A75" s="1308" t="s">
        <v>1146</v>
      </c>
      <c r="B75" s="1309" t="s">
        <v>1148</v>
      </c>
      <c r="C75" s="763">
        <v>106200880</v>
      </c>
      <c r="D75" s="2699">
        <v>212.91</v>
      </c>
    </row>
    <row r="77" spans="1:24" x14ac:dyDescent="0.25">
      <c r="B77" s="298"/>
      <c r="C77"/>
      <c r="D77" s="1359" t="s">
        <v>1297</v>
      </c>
      <c r="E77" s="11" t="s">
        <v>745</v>
      </c>
    </row>
    <row r="78" spans="1:24" x14ac:dyDescent="0.25">
      <c r="A78" s="39"/>
      <c r="B78" s="906" t="s">
        <v>1031</v>
      </c>
      <c r="C78" s="122">
        <v>106113592</v>
      </c>
      <c r="D78" s="894">
        <v>0.66</v>
      </c>
      <c r="E78" s="894">
        <f>D78/0.8</f>
        <v>0.82499999999999996</v>
      </c>
    </row>
    <row r="79" spans="1:24" ht="15.75" thickBot="1" x14ac:dyDescent="0.3">
      <c r="A79" s="39"/>
      <c r="B79" s="75" t="s">
        <v>1147</v>
      </c>
      <c r="C79"/>
      <c r="D79" s="238">
        <v>311.97000000000003</v>
      </c>
    </row>
    <row r="80" spans="1:24" x14ac:dyDescent="0.25">
      <c r="A80" s="39"/>
      <c r="K80" s="1555"/>
      <c r="L80" s="773"/>
      <c r="M80" s="773"/>
      <c r="N80" s="773"/>
      <c r="O80" s="773" t="s">
        <v>726</v>
      </c>
      <c r="P80" s="773" t="s">
        <v>727</v>
      </c>
      <c r="Q80" s="773" t="s">
        <v>716</v>
      </c>
      <c r="R80" s="773"/>
      <c r="S80" s="773"/>
      <c r="T80" s="773" t="s">
        <v>723</v>
      </c>
      <c r="U80" s="773" t="s">
        <v>76</v>
      </c>
      <c r="V80" s="773" t="s">
        <v>739</v>
      </c>
      <c r="W80" s="2685" t="s">
        <v>344</v>
      </c>
      <c r="X80" s="2686" t="s">
        <v>745</v>
      </c>
    </row>
    <row r="81" spans="11:24" x14ac:dyDescent="0.25">
      <c r="K81" s="402"/>
      <c r="L81" s="144"/>
      <c r="M81" s="144"/>
      <c r="N81" s="144"/>
      <c r="O81" s="1350"/>
      <c r="P81" s="1350"/>
      <c r="Q81" s="1350"/>
      <c r="R81" s="1350" t="s">
        <v>712</v>
      </c>
      <c r="S81" s="144" t="s">
        <v>724</v>
      </c>
      <c r="T81" s="144">
        <v>106202436</v>
      </c>
      <c r="U81" s="299"/>
      <c r="V81" s="144"/>
      <c r="W81" s="2377"/>
      <c r="X81" s="2687"/>
    </row>
    <row r="82" spans="11:24" x14ac:dyDescent="0.25">
      <c r="K82" s="402"/>
      <c r="L82" s="144" t="s">
        <v>711</v>
      </c>
      <c r="M82" s="2688" t="s">
        <v>731</v>
      </c>
      <c r="N82" s="144"/>
      <c r="O82" s="144"/>
      <c r="P82" s="144"/>
      <c r="Q82" s="144"/>
      <c r="R82" s="144"/>
      <c r="S82" s="144"/>
      <c r="T82" s="144"/>
      <c r="U82" s="144"/>
      <c r="V82" s="144"/>
      <c r="W82" s="2377"/>
      <c r="X82" s="2687"/>
    </row>
    <row r="83" spans="11:24" x14ac:dyDescent="0.25">
      <c r="K83" s="402" t="s">
        <v>712</v>
      </c>
      <c r="L83" s="144" t="s">
        <v>715</v>
      </c>
      <c r="M83" s="1350" t="s">
        <v>715</v>
      </c>
      <c r="N83" s="144" t="s">
        <v>730</v>
      </c>
      <c r="O83" s="144"/>
      <c r="P83" s="144"/>
      <c r="Q83" s="144"/>
      <c r="R83" s="144" t="s">
        <v>719</v>
      </c>
      <c r="S83" s="144" t="s">
        <v>706</v>
      </c>
      <c r="T83" s="144">
        <v>106200827</v>
      </c>
      <c r="U83" s="299">
        <v>202.64</v>
      </c>
      <c r="V83" s="144"/>
      <c r="W83" s="2377">
        <v>506</v>
      </c>
      <c r="X83" s="2687">
        <f>W83*0.7</f>
        <v>354.2</v>
      </c>
    </row>
    <row r="84" spans="11:24" x14ac:dyDescent="0.25">
      <c r="K84" s="402" t="s">
        <v>713</v>
      </c>
      <c r="L84" s="2689" t="s">
        <v>717</v>
      </c>
      <c r="M84" s="2689"/>
      <c r="N84" s="1350"/>
      <c r="O84" s="1350"/>
      <c r="P84" s="1350"/>
      <c r="Q84" s="1350"/>
      <c r="R84" s="1350"/>
      <c r="S84" s="144"/>
      <c r="T84" s="144"/>
      <c r="U84" s="299"/>
      <c r="V84" s="144"/>
      <c r="W84" s="2377"/>
      <c r="X84" s="2687"/>
    </row>
    <row r="85" spans="11:24" x14ac:dyDescent="0.25">
      <c r="K85" s="402" t="s">
        <v>714</v>
      </c>
      <c r="L85" s="2690" t="s">
        <v>718</v>
      </c>
      <c r="M85" s="2689"/>
      <c r="N85" s="144"/>
      <c r="O85" s="144"/>
      <c r="P85" s="1236"/>
      <c r="Q85" s="1236"/>
      <c r="R85" s="4431" t="s">
        <v>720</v>
      </c>
      <c r="S85" s="1115" t="s">
        <v>729</v>
      </c>
      <c r="T85" s="144">
        <v>106200778</v>
      </c>
      <c r="U85" s="299">
        <v>156.99</v>
      </c>
      <c r="V85" s="144"/>
      <c r="W85" s="2377"/>
      <c r="X85" s="2687"/>
    </row>
    <row r="86" spans="11:24" x14ac:dyDescent="0.25">
      <c r="K86" s="402" t="s">
        <v>719</v>
      </c>
      <c r="L86" s="144"/>
      <c r="M86" s="1350" t="s">
        <v>791</v>
      </c>
      <c r="N86" s="144"/>
      <c r="O86" s="144"/>
      <c r="P86" s="144"/>
      <c r="Q86" s="144"/>
      <c r="R86" s="4431"/>
      <c r="S86" s="1115" t="s">
        <v>732</v>
      </c>
      <c r="T86" s="144">
        <v>106200668</v>
      </c>
      <c r="U86" s="299">
        <v>76.12</v>
      </c>
      <c r="V86" s="144"/>
      <c r="W86" s="2377"/>
      <c r="X86" s="2687"/>
    </row>
    <row r="87" spans="11:24" x14ac:dyDescent="0.25">
      <c r="K87" s="402" t="s">
        <v>720</v>
      </c>
      <c r="L87" s="144"/>
      <c r="M87" s="1115" t="s">
        <v>729</v>
      </c>
      <c r="N87" s="1350"/>
      <c r="O87" s="1350"/>
      <c r="P87" s="1350"/>
      <c r="Q87" s="1350"/>
      <c r="R87" s="4431"/>
      <c r="S87" s="144" t="s">
        <v>728</v>
      </c>
      <c r="T87" s="144">
        <v>106201336</v>
      </c>
      <c r="U87" s="299">
        <v>148.94999999999999</v>
      </c>
      <c r="V87" s="144"/>
      <c r="W87" s="2377"/>
      <c r="X87" s="2687"/>
    </row>
    <row r="88" spans="11:24" x14ac:dyDescent="0.25">
      <c r="K88" s="402"/>
      <c r="L88" s="144"/>
      <c r="M88" s="144"/>
      <c r="N88" s="1115" t="s">
        <v>732</v>
      </c>
      <c r="O88" s="144" t="s">
        <v>728</v>
      </c>
      <c r="P88" s="4432" t="s">
        <v>725</v>
      </c>
      <c r="Q88" s="4432"/>
      <c r="R88" s="4431"/>
      <c r="S88" s="144" t="s">
        <v>721</v>
      </c>
      <c r="T88" s="144">
        <v>106200719</v>
      </c>
      <c r="U88" s="299">
        <v>93.92</v>
      </c>
      <c r="V88" s="144"/>
      <c r="W88" s="2377"/>
      <c r="X88" s="2687"/>
    </row>
    <row r="89" spans="11:24" x14ac:dyDescent="0.25">
      <c r="K89" s="402"/>
      <c r="L89" s="144"/>
      <c r="M89" s="144"/>
      <c r="N89" s="144"/>
      <c r="O89" s="144"/>
      <c r="P89" s="144"/>
      <c r="Q89" s="144"/>
      <c r="R89" s="144" t="s">
        <v>1422</v>
      </c>
      <c r="S89" s="2689" t="s">
        <v>718</v>
      </c>
      <c r="T89" s="2691">
        <v>106201508</v>
      </c>
      <c r="U89" s="299">
        <v>32.619999999999997</v>
      </c>
      <c r="V89" s="144"/>
      <c r="W89" s="2689"/>
      <c r="X89" s="2692">
        <f>U89/0.6</f>
        <v>54.366666666666667</v>
      </c>
    </row>
    <row r="90" spans="11:24" x14ac:dyDescent="0.25">
      <c r="K90" s="402"/>
      <c r="L90" s="144"/>
      <c r="M90" s="144"/>
      <c r="N90" s="144"/>
      <c r="O90" s="144"/>
      <c r="P90" s="144"/>
      <c r="Q90" s="144"/>
      <c r="R90" s="144"/>
      <c r="S90" s="144"/>
      <c r="T90" s="144"/>
      <c r="U90" s="144"/>
      <c r="V90" s="144"/>
      <c r="W90" s="144"/>
      <c r="X90" s="1040"/>
    </row>
    <row r="91" spans="11:24" x14ac:dyDescent="0.25">
      <c r="K91" s="402"/>
      <c r="L91" s="144"/>
      <c r="M91" s="144"/>
      <c r="N91" s="144"/>
      <c r="O91" s="144"/>
      <c r="P91" s="144"/>
      <c r="Q91" s="144" t="s">
        <v>740</v>
      </c>
      <c r="R91" s="144" t="s">
        <v>733</v>
      </c>
      <c r="S91" s="144" t="s">
        <v>734</v>
      </c>
      <c r="T91" s="1557">
        <v>106112817</v>
      </c>
      <c r="U91" s="299">
        <v>877.78</v>
      </c>
      <c r="V91" s="144"/>
      <c r="W91" s="144"/>
      <c r="X91" s="1040"/>
    </row>
    <row r="92" spans="11:24" x14ac:dyDescent="0.25">
      <c r="K92" s="402"/>
      <c r="L92" s="144"/>
      <c r="M92" s="144"/>
      <c r="N92" s="144"/>
      <c r="O92" s="144"/>
      <c r="P92" s="144"/>
      <c r="Q92" s="144"/>
      <c r="R92" s="144" t="s">
        <v>735</v>
      </c>
      <c r="S92" s="144"/>
      <c r="T92" s="144"/>
      <c r="U92" s="144"/>
      <c r="V92" s="144"/>
      <c r="W92" s="144"/>
      <c r="X92" s="1040"/>
    </row>
    <row r="93" spans="11:24" x14ac:dyDescent="0.25">
      <c r="K93" s="402"/>
      <c r="L93" s="144"/>
      <c r="M93" s="144"/>
      <c r="N93" s="144"/>
      <c r="O93" s="144"/>
      <c r="P93" s="144"/>
      <c r="Q93" s="144"/>
      <c r="R93" s="144" t="s">
        <v>736</v>
      </c>
      <c r="S93" s="144" t="s">
        <v>738</v>
      </c>
      <c r="T93" s="144"/>
      <c r="U93" s="144"/>
      <c r="V93" s="299">
        <v>680.15</v>
      </c>
      <c r="W93" s="144"/>
      <c r="X93" s="1040"/>
    </row>
    <row r="94" spans="11:24" ht="15.75" thickBot="1" x14ac:dyDescent="0.3">
      <c r="K94" s="2547"/>
      <c r="L94" s="379"/>
      <c r="M94" s="379"/>
      <c r="N94" s="379"/>
      <c r="O94" s="379"/>
      <c r="P94" s="379"/>
      <c r="Q94" s="379"/>
      <c r="R94" s="379"/>
      <c r="S94" s="379" t="s">
        <v>737</v>
      </c>
      <c r="T94" s="379"/>
      <c r="U94" s="379"/>
      <c r="V94" s="2693">
        <v>863.95</v>
      </c>
      <c r="W94" s="379"/>
      <c r="X94" s="2548"/>
    </row>
  </sheetData>
  <mergeCells count="3">
    <mergeCell ref="B1:E1"/>
    <mergeCell ref="R85:R88"/>
    <mergeCell ref="P88:Q88"/>
  </mergeCells>
  <pageMargins left="0.70866141732283472" right="0.70866141732283472" top="0.74803149606299213" bottom="0.74803149606299213" header="0.31496062992125984" footer="0.31496062992125984"/>
  <pageSetup paperSize="9" scale="46" orientation="portrait" r:id="rId1"/>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I264"/>
  <sheetViews>
    <sheetView topLeftCell="V6" zoomScale="90" zoomScaleNormal="90" workbookViewId="0">
      <selection activeCell="X22" sqref="X22"/>
    </sheetView>
  </sheetViews>
  <sheetFormatPr baseColWidth="10" defaultRowHeight="15" x14ac:dyDescent="0.25"/>
  <cols>
    <col min="1" max="1" width="11.42578125" style="39"/>
    <col min="2" max="2" width="15.7109375" style="11" customWidth="1"/>
    <col min="3" max="3" width="18.5703125" style="11" customWidth="1"/>
    <col min="4" max="4" width="70" style="11" customWidth="1"/>
    <col min="5" max="5" width="68.5703125" style="11" customWidth="1"/>
    <col min="6" max="6" width="58.140625" style="11" customWidth="1"/>
    <col min="7" max="7" width="16.7109375" style="39" customWidth="1"/>
    <col min="8" max="8" width="14.140625" style="39" customWidth="1"/>
    <col min="9" max="9" width="18.85546875" style="219" customWidth="1"/>
    <col min="10" max="10" width="20.7109375" style="11" customWidth="1"/>
    <col min="11" max="11" width="20.7109375" style="1383" customWidth="1"/>
    <col min="12" max="13" width="20.7109375" style="68" customWidth="1"/>
    <col min="14" max="14" width="16.85546875" style="11" customWidth="1"/>
    <col min="15" max="15" width="13.140625" style="11" customWidth="1"/>
    <col min="16" max="16" width="16" style="11" customWidth="1"/>
    <col min="17" max="17" width="13.42578125" style="11" customWidth="1"/>
    <col min="18" max="18" width="15.42578125" style="11" customWidth="1"/>
    <col min="19" max="19" width="54.7109375" style="11" customWidth="1"/>
    <col min="20" max="20" width="49.85546875" style="2633" bestFit="1" customWidth="1"/>
    <col min="21" max="21" width="43.42578125" style="11" customWidth="1"/>
    <col min="22" max="22" width="35.140625" style="11" customWidth="1"/>
    <col min="23" max="23" width="22.85546875" style="11" customWidth="1"/>
    <col min="24" max="24" width="14.42578125" style="11" customWidth="1"/>
    <col min="25" max="25" width="16.140625" style="11" customWidth="1"/>
    <col min="26" max="16384" width="11.42578125" style="11"/>
  </cols>
  <sheetData>
    <row r="1" spans="1:35" s="1323" customFormat="1" ht="29.25" customHeight="1" x14ac:dyDescent="0.25">
      <c r="A1" s="2636" t="s">
        <v>2654</v>
      </c>
      <c r="B1" s="2097" t="s">
        <v>79</v>
      </c>
      <c r="C1" s="1324" t="s">
        <v>936</v>
      </c>
      <c r="D1" s="1333" t="s">
        <v>1222</v>
      </c>
      <c r="E1" s="76" t="s">
        <v>1012</v>
      </c>
      <c r="F1" s="76" t="s">
        <v>1117</v>
      </c>
      <c r="G1" s="1332" t="s">
        <v>1223</v>
      </c>
      <c r="H1" s="1332" t="s">
        <v>1224</v>
      </c>
      <c r="I1" s="1321" t="s">
        <v>1217</v>
      </c>
      <c r="J1" s="1332" t="s">
        <v>2653</v>
      </c>
      <c r="K1" s="2503" t="s">
        <v>3361</v>
      </c>
      <c r="L1" s="3824" t="s">
        <v>3794</v>
      </c>
      <c r="M1" s="1332" t="s">
        <v>3795</v>
      </c>
      <c r="N1" s="2383" t="s">
        <v>3804</v>
      </c>
      <c r="O1" s="320" t="s">
        <v>252</v>
      </c>
      <c r="P1" s="2374" t="s">
        <v>3408</v>
      </c>
      <c r="Q1" s="2375"/>
      <c r="R1" s="3674" t="s">
        <v>936</v>
      </c>
      <c r="S1" s="3675" t="s">
        <v>1222</v>
      </c>
      <c r="T1" s="904" t="s">
        <v>1012</v>
      </c>
      <c r="U1" s="904" t="s">
        <v>1117</v>
      </c>
      <c r="V1" s="3920" t="s">
        <v>3866</v>
      </c>
      <c r="W1" s="3918" t="s">
        <v>3882</v>
      </c>
      <c r="X1" s="3676" t="s">
        <v>3865</v>
      </c>
      <c r="Y1" s="1343" t="s">
        <v>12</v>
      </c>
      <c r="Z1" s="3853" t="s">
        <v>3851</v>
      </c>
      <c r="AA1" s="1322"/>
      <c r="AB1" s="1322"/>
    </row>
    <row r="2" spans="1:35" s="173" customFormat="1" ht="15.75" customHeight="1" x14ac:dyDescent="0.25">
      <c r="A2" s="1341"/>
      <c r="B2" s="1341"/>
      <c r="C2" s="1329" t="s">
        <v>1206</v>
      </c>
      <c r="D2" s="48" t="s">
        <v>1207</v>
      </c>
      <c r="E2" s="2703" t="s">
        <v>2661</v>
      </c>
      <c r="F2" s="2704" t="s">
        <v>2713</v>
      </c>
      <c r="G2" s="1341"/>
      <c r="H2" s="1341"/>
      <c r="I2" s="1281">
        <v>54.32</v>
      </c>
      <c r="J2" s="1281">
        <v>56.2</v>
      </c>
      <c r="K2" s="3656">
        <v>56.76</v>
      </c>
      <c r="L2" s="1281">
        <v>63.766666666666666</v>
      </c>
      <c r="M2" s="3833" t="s">
        <v>3796</v>
      </c>
      <c r="N2" s="2701">
        <f>(L2-K2)/K2</f>
        <v>0.12344373972280952</v>
      </c>
      <c r="O2" s="1341"/>
      <c r="P2" s="930"/>
      <c r="Q2" s="144"/>
      <c r="R2" s="1328" t="s">
        <v>1206</v>
      </c>
      <c r="S2" s="3677" t="s">
        <v>1207</v>
      </c>
      <c r="T2" s="2703" t="s">
        <v>2661</v>
      </c>
      <c r="U2" s="2704" t="s">
        <v>2713</v>
      </c>
      <c r="V2" s="3678">
        <v>78.849999999999994</v>
      </c>
      <c r="W2" s="3919">
        <f>Y2/0.8</f>
        <v>79.712500000000006</v>
      </c>
      <c r="X2" s="3678">
        <v>114.1</v>
      </c>
      <c r="Y2" s="1354">
        <v>63.77</v>
      </c>
      <c r="Z2" s="227"/>
      <c r="AA2" s="1354"/>
    </row>
    <row r="3" spans="1:35" s="144" customFormat="1" ht="15.75" customHeight="1" x14ac:dyDescent="0.25">
      <c r="A3" s="1360" t="s">
        <v>977</v>
      </c>
      <c r="B3" s="1082" t="s">
        <v>1186</v>
      </c>
      <c r="C3" s="1329">
        <v>106204402</v>
      </c>
      <c r="D3" s="48" t="s">
        <v>1161</v>
      </c>
      <c r="E3" s="2703" t="s">
        <v>2662</v>
      </c>
      <c r="F3" s="2704" t="s">
        <v>2714</v>
      </c>
      <c r="G3" s="1083">
        <f t="shared" ref="G3:G47" si="0">LEN(E3)</f>
        <v>55</v>
      </c>
      <c r="H3" s="1083">
        <f t="shared" ref="H3:H47" si="1">LEN(F3)</f>
        <v>55</v>
      </c>
      <c r="I3" s="1316" t="s">
        <v>2655</v>
      </c>
      <c r="J3" s="1316" t="s">
        <v>2655</v>
      </c>
      <c r="K3" s="3656"/>
      <c r="L3" s="1281"/>
      <c r="M3" s="3833"/>
      <c r="N3" s="2701"/>
      <c r="O3" s="1383" t="s">
        <v>1347</v>
      </c>
      <c r="P3" s="1383" t="s">
        <v>1347</v>
      </c>
      <c r="R3" s="1328" t="s">
        <v>830</v>
      </c>
      <c r="S3" s="3677" t="s">
        <v>1208</v>
      </c>
      <c r="T3" s="1383" t="s">
        <v>2697</v>
      </c>
      <c r="U3" s="2704" t="s">
        <v>2749</v>
      </c>
      <c r="V3" s="3678">
        <v>110.6</v>
      </c>
      <c r="W3" s="3919">
        <f t="shared" ref="W3:W12" si="2">Y3/0.8</f>
        <v>128.76249999999999</v>
      </c>
      <c r="X3" s="3678">
        <v>164.52</v>
      </c>
      <c r="Y3" s="1354">
        <v>103.01</v>
      </c>
      <c r="Z3" s="227"/>
      <c r="AA3" s="1354"/>
    </row>
    <row r="4" spans="1:35" s="144" customFormat="1" ht="15.75" customHeight="1" x14ac:dyDescent="0.25">
      <c r="A4" s="1360" t="s">
        <v>369</v>
      </c>
      <c r="B4" s="1082" t="s">
        <v>1187</v>
      </c>
      <c r="C4" s="1329">
        <v>106204403</v>
      </c>
      <c r="D4" s="48" t="s">
        <v>1162</v>
      </c>
      <c r="E4" s="2703" t="s">
        <v>2663</v>
      </c>
      <c r="F4" s="2704" t="s">
        <v>2715</v>
      </c>
      <c r="G4" s="1083">
        <f t="shared" si="0"/>
        <v>55</v>
      </c>
      <c r="H4" s="1083">
        <f t="shared" si="1"/>
        <v>55</v>
      </c>
      <c r="I4" s="1316" t="s">
        <v>2655</v>
      </c>
      <c r="J4" s="1316" t="s">
        <v>2655</v>
      </c>
      <c r="K4" s="3656"/>
      <c r="L4" s="1281"/>
      <c r="M4" s="3833"/>
      <c r="N4" s="2701"/>
      <c r="O4" s="1383" t="s">
        <v>1347</v>
      </c>
      <c r="P4" s="1383" t="s">
        <v>1347</v>
      </c>
      <c r="R4" s="3857" t="s">
        <v>826</v>
      </c>
      <c r="S4" s="3858" t="s">
        <v>1209</v>
      </c>
      <c r="T4" s="1360" t="s">
        <v>2698</v>
      </c>
      <c r="U4" s="3667" t="s">
        <v>2750</v>
      </c>
      <c r="V4" s="3852">
        <v>108.15</v>
      </c>
      <c r="W4" s="3919">
        <f t="shared" si="2"/>
        <v>108.71249999999999</v>
      </c>
      <c r="X4" s="3852">
        <v>164.52</v>
      </c>
      <c r="Y4" s="227">
        <v>86.97</v>
      </c>
      <c r="Z4" s="227"/>
      <c r="AA4" s="1354"/>
    </row>
    <row r="5" spans="1:35" ht="15.75" customHeight="1" x14ac:dyDescent="0.25">
      <c r="A5" s="1360" t="s">
        <v>598</v>
      </c>
      <c r="B5" s="1383" t="s">
        <v>1178</v>
      </c>
      <c r="C5" s="1329">
        <v>106204394</v>
      </c>
      <c r="D5" s="48" t="s">
        <v>1153</v>
      </c>
      <c r="E5" s="2703" t="s">
        <v>2664</v>
      </c>
      <c r="F5" s="2704" t="s">
        <v>2716</v>
      </c>
      <c r="G5" s="1083">
        <f t="shared" si="0"/>
        <v>43</v>
      </c>
      <c r="H5" s="1083">
        <f t="shared" si="1"/>
        <v>39</v>
      </c>
      <c r="I5" s="68">
        <v>115.07</v>
      </c>
      <c r="J5" s="1281">
        <v>113.68</v>
      </c>
      <c r="K5" s="3656">
        <v>111.94</v>
      </c>
      <c r="L5" s="1281">
        <v>111.93333333333332</v>
      </c>
      <c r="M5" s="3833" t="s">
        <v>3796</v>
      </c>
      <c r="N5" s="2701">
        <f>(L5-K5)/K5</f>
        <v>-5.9555714370866662E-5</v>
      </c>
      <c r="O5" s="1383" t="s">
        <v>1347</v>
      </c>
      <c r="P5" s="240">
        <v>159.18</v>
      </c>
      <c r="Q5" s="144"/>
      <c r="R5" s="1328" t="s">
        <v>2210</v>
      </c>
      <c r="S5" s="3677" t="s">
        <v>2710</v>
      </c>
      <c r="T5" s="1383" t="s">
        <v>3894</v>
      </c>
      <c r="U5" s="2704" t="s">
        <v>3896</v>
      </c>
      <c r="V5" s="3678"/>
      <c r="W5" s="3919"/>
      <c r="X5" s="3678"/>
      <c r="Y5" s="1354">
        <v>44.79</v>
      </c>
      <c r="Z5" s="227"/>
      <c r="AA5" s="1352"/>
    </row>
    <row r="6" spans="1:35" ht="15.75" customHeight="1" x14ac:dyDescent="0.25">
      <c r="A6" s="1360" t="s">
        <v>365</v>
      </c>
      <c r="B6" s="1082" t="s">
        <v>1179</v>
      </c>
      <c r="C6" s="1329">
        <v>106204395</v>
      </c>
      <c r="D6" s="48" t="s">
        <v>1154</v>
      </c>
      <c r="E6" s="2703" t="s">
        <v>2665</v>
      </c>
      <c r="F6" s="2704" t="s">
        <v>2717</v>
      </c>
      <c r="G6" s="1083">
        <f t="shared" si="0"/>
        <v>43</v>
      </c>
      <c r="H6" s="1083">
        <f t="shared" si="1"/>
        <v>39</v>
      </c>
      <c r="I6" s="68">
        <v>113.88</v>
      </c>
      <c r="J6" s="1281">
        <v>115.41</v>
      </c>
      <c r="K6" s="3656">
        <v>112.64</v>
      </c>
      <c r="L6" s="1281">
        <v>113.47777777777777</v>
      </c>
      <c r="M6" s="3833" t="s">
        <v>3796</v>
      </c>
      <c r="N6" s="2701">
        <f t="shared" ref="N6:N9" si="3">(L6-K6)/K6</f>
        <v>7.4376578282827925E-3</v>
      </c>
      <c r="O6" s="1383" t="s">
        <v>1347</v>
      </c>
      <c r="P6" s="240">
        <v>162.63</v>
      </c>
      <c r="Q6" s="144"/>
      <c r="R6" s="1328" t="s">
        <v>2208</v>
      </c>
      <c r="S6" s="3677" t="s">
        <v>2709</v>
      </c>
      <c r="T6" s="1383" t="s">
        <v>3895</v>
      </c>
      <c r="U6" s="2704" t="s">
        <v>3897</v>
      </c>
      <c r="V6" s="3678"/>
      <c r="W6" s="3919"/>
      <c r="X6" s="3678"/>
      <c r="Y6" s="2633">
        <v>73.56</v>
      </c>
      <c r="Z6" s="227"/>
      <c r="AA6" s="1352"/>
    </row>
    <row r="7" spans="1:35" ht="15" customHeight="1" x14ac:dyDescent="0.25">
      <c r="A7" s="1360" t="s">
        <v>599</v>
      </c>
      <c r="B7" s="1359" t="s">
        <v>1182</v>
      </c>
      <c r="C7" s="1329">
        <v>106204398</v>
      </c>
      <c r="D7" s="48" t="s">
        <v>1157</v>
      </c>
      <c r="E7" s="2703" t="s">
        <v>2666</v>
      </c>
      <c r="F7" s="2704" t="s">
        <v>2718</v>
      </c>
      <c r="G7" s="1083">
        <f t="shared" si="0"/>
        <v>43</v>
      </c>
      <c r="H7" s="1083">
        <f t="shared" si="1"/>
        <v>39</v>
      </c>
      <c r="I7" s="1316" t="s">
        <v>2655</v>
      </c>
      <c r="J7" s="1281">
        <v>107.8</v>
      </c>
      <c r="K7" s="3656">
        <v>87.62</v>
      </c>
      <c r="L7" s="1281">
        <v>82.766666666666666</v>
      </c>
      <c r="M7" s="3833" t="s">
        <v>3796</v>
      </c>
      <c r="N7" s="2701">
        <f t="shared" si="3"/>
        <v>-5.5390702274975334E-2</v>
      </c>
      <c r="O7" s="1383" t="s">
        <v>1347</v>
      </c>
      <c r="P7" s="1383" t="s">
        <v>1347</v>
      </c>
      <c r="Q7" s="144"/>
      <c r="R7" s="1328"/>
      <c r="S7" s="3677"/>
      <c r="T7" s="3677"/>
      <c r="U7" s="3677"/>
      <c r="V7" s="3678"/>
      <c r="W7" s="3919"/>
      <c r="X7" s="3678"/>
      <c r="Y7" s="1354"/>
      <c r="Z7" s="227"/>
      <c r="AA7" s="1352"/>
    </row>
    <row r="8" spans="1:35" x14ac:dyDescent="0.25">
      <c r="A8" s="1360" t="s">
        <v>366</v>
      </c>
      <c r="B8" s="1082" t="s">
        <v>1183</v>
      </c>
      <c r="C8" s="1329">
        <v>106204399</v>
      </c>
      <c r="D8" s="48" t="s">
        <v>1158</v>
      </c>
      <c r="E8" s="2703" t="s">
        <v>2667</v>
      </c>
      <c r="F8" s="2704" t="s">
        <v>2719</v>
      </c>
      <c r="G8" s="1083">
        <f t="shared" si="0"/>
        <v>43</v>
      </c>
      <c r="H8" s="1083">
        <f t="shared" si="1"/>
        <v>39</v>
      </c>
      <c r="I8" s="1316" t="s">
        <v>2655</v>
      </c>
      <c r="J8" s="1316" t="s">
        <v>2655</v>
      </c>
      <c r="K8" s="3656"/>
      <c r="L8" s="1281"/>
      <c r="M8" s="3833"/>
      <c r="N8" s="2701"/>
      <c r="O8" s="1383" t="s">
        <v>1347</v>
      </c>
      <c r="P8" s="1383" t="s">
        <v>1347</v>
      </c>
      <c r="Q8" s="144"/>
      <c r="R8" s="1328" t="s">
        <v>825</v>
      </c>
      <c r="S8" s="3677" t="s">
        <v>1212</v>
      </c>
      <c r="T8" s="1383" t="s">
        <v>2702</v>
      </c>
      <c r="U8" s="2704" t="s">
        <v>2754</v>
      </c>
      <c r="V8" s="3678">
        <v>43.23</v>
      </c>
      <c r="W8" s="3919">
        <f t="shared" si="2"/>
        <v>29.774999999999999</v>
      </c>
      <c r="X8" s="3678">
        <v>63.28</v>
      </c>
      <c r="Y8" s="1354">
        <v>23.82</v>
      </c>
      <c r="Z8" s="227"/>
      <c r="AA8" s="1352"/>
    </row>
    <row r="9" spans="1:35" x14ac:dyDescent="0.25">
      <c r="A9" s="1360" t="s">
        <v>1442</v>
      </c>
      <c r="B9" s="1359" t="s">
        <v>1194</v>
      </c>
      <c r="C9" s="1329">
        <v>106204410</v>
      </c>
      <c r="D9" s="48" t="s">
        <v>1169</v>
      </c>
      <c r="E9" s="2703" t="s">
        <v>2668</v>
      </c>
      <c r="F9" s="2704" t="s">
        <v>2720</v>
      </c>
      <c r="G9" s="1083">
        <f t="shared" si="0"/>
        <v>36</v>
      </c>
      <c r="H9" s="1083">
        <f t="shared" si="1"/>
        <v>37</v>
      </c>
      <c r="I9" s="68">
        <v>64.27</v>
      </c>
      <c r="J9" s="1281">
        <v>65.56</v>
      </c>
      <c r="K9" s="3656">
        <v>63.78</v>
      </c>
      <c r="L9" s="1281">
        <v>64.211111111111109</v>
      </c>
      <c r="M9" s="3833" t="s">
        <v>3796</v>
      </c>
      <c r="N9" s="2701">
        <f t="shared" si="3"/>
        <v>6.7593463642381226E-3</v>
      </c>
      <c r="O9" s="1383" t="s">
        <v>1347</v>
      </c>
      <c r="P9" s="1383" t="s">
        <v>1347</v>
      </c>
      <c r="Q9" s="144"/>
      <c r="R9" s="1328" t="s">
        <v>1213</v>
      </c>
      <c r="S9" s="3677" t="s">
        <v>1004</v>
      </c>
      <c r="T9" s="1383" t="s">
        <v>2703</v>
      </c>
      <c r="U9" s="2704" t="s">
        <v>2755</v>
      </c>
      <c r="V9" s="3678">
        <v>225.78</v>
      </c>
      <c r="W9" s="3919">
        <f t="shared" si="2"/>
        <v>238.27500000000001</v>
      </c>
      <c r="X9" s="3678">
        <v>349.97</v>
      </c>
      <c r="Y9" s="1354">
        <v>190.62</v>
      </c>
      <c r="Z9" s="227"/>
      <c r="AA9" s="1352"/>
    </row>
    <row r="10" spans="1:35" x14ac:dyDescent="0.25">
      <c r="A10" s="1360" t="s">
        <v>1441</v>
      </c>
      <c r="B10" s="1359" t="s">
        <v>1195</v>
      </c>
      <c r="C10" s="1329">
        <v>106204411</v>
      </c>
      <c r="D10" s="48" t="s">
        <v>1170</v>
      </c>
      <c r="E10" s="2703" t="s">
        <v>2669</v>
      </c>
      <c r="F10" s="2704" t="s">
        <v>2721</v>
      </c>
      <c r="G10" s="1083">
        <f t="shared" si="0"/>
        <v>39</v>
      </c>
      <c r="H10" s="1083">
        <f t="shared" si="1"/>
        <v>40</v>
      </c>
      <c r="I10" s="1316" t="s">
        <v>2655</v>
      </c>
      <c r="J10" s="1316" t="s">
        <v>2655</v>
      </c>
      <c r="K10" s="3656"/>
      <c r="L10" s="1281"/>
      <c r="M10" s="3833"/>
      <c r="N10" s="2701"/>
      <c r="O10" s="1383" t="s">
        <v>1347</v>
      </c>
      <c r="P10" s="1383" t="s">
        <v>1347</v>
      </c>
      <c r="Q10" s="144"/>
      <c r="R10" s="1328" t="s">
        <v>829</v>
      </c>
      <c r="S10" s="3677" t="s">
        <v>1005</v>
      </c>
      <c r="T10" s="1383" t="s">
        <v>2704</v>
      </c>
      <c r="U10" s="2704" t="s">
        <v>2756</v>
      </c>
      <c r="V10" s="3678">
        <v>230.91</v>
      </c>
      <c r="W10" s="3919">
        <f t="shared" si="2"/>
        <v>264.34999999999997</v>
      </c>
      <c r="X10" s="3678">
        <v>343.93</v>
      </c>
      <c r="Y10" s="1354">
        <v>211.48</v>
      </c>
      <c r="Z10" s="227"/>
      <c r="AA10" s="1352"/>
    </row>
    <row r="11" spans="1:35" ht="15" customHeight="1" x14ac:dyDescent="0.25">
      <c r="A11" s="1360" t="s">
        <v>902</v>
      </c>
      <c r="B11" s="1359" t="s">
        <v>1190</v>
      </c>
      <c r="C11" s="1329">
        <v>106204406</v>
      </c>
      <c r="D11" s="48" t="s">
        <v>1165</v>
      </c>
      <c r="E11" s="2703" t="s">
        <v>2670</v>
      </c>
      <c r="F11" s="2704" t="s">
        <v>2722</v>
      </c>
      <c r="G11" s="1083">
        <f t="shared" si="0"/>
        <v>49</v>
      </c>
      <c r="H11" s="1083">
        <f t="shared" si="1"/>
        <v>48</v>
      </c>
      <c r="I11" s="1316" t="s">
        <v>2655</v>
      </c>
      <c r="J11" s="1316" t="s">
        <v>2655</v>
      </c>
      <c r="K11" s="3656"/>
      <c r="L11" s="1281"/>
      <c r="M11" s="3833"/>
      <c r="N11" s="2701"/>
      <c r="O11" s="1383" t="s">
        <v>1347</v>
      </c>
      <c r="P11" s="1383" t="s">
        <v>1347</v>
      </c>
      <c r="Q11" s="144"/>
      <c r="R11" s="1328" t="s">
        <v>1214</v>
      </c>
      <c r="S11" s="3677" t="s">
        <v>1003</v>
      </c>
      <c r="T11" s="1383" t="s">
        <v>2705</v>
      </c>
      <c r="U11" s="2704" t="s">
        <v>2757</v>
      </c>
      <c r="V11" s="3678">
        <v>225.78</v>
      </c>
      <c r="W11" s="3919">
        <f t="shared" si="2"/>
        <v>230.73749999999998</v>
      </c>
      <c r="X11" s="3678">
        <v>343.93</v>
      </c>
      <c r="Y11" s="1354">
        <v>184.59</v>
      </c>
      <c r="Z11" s="227"/>
      <c r="AA11" s="1352"/>
    </row>
    <row r="12" spans="1:35" x14ac:dyDescent="0.25">
      <c r="A12" s="1360" t="s">
        <v>688</v>
      </c>
      <c r="B12" s="1359" t="s">
        <v>1176</v>
      </c>
      <c r="C12" s="1329">
        <v>106204392</v>
      </c>
      <c r="D12" s="48" t="s">
        <v>1151</v>
      </c>
      <c r="E12" s="2703" t="s">
        <v>2671</v>
      </c>
      <c r="F12" s="2704" t="s">
        <v>2723</v>
      </c>
      <c r="G12" s="1083">
        <f t="shared" si="0"/>
        <v>51</v>
      </c>
      <c r="H12" s="1083">
        <f t="shared" si="1"/>
        <v>50</v>
      </c>
      <c r="I12" s="1316" t="s">
        <v>2655</v>
      </c>
      <c r="J12" s="1316" t="s">
        <v>2655</v>
      </c>
      <c r="K12" s="3656"/>
      <c r="L12" s="1281"/>
      <c r="M12" s="3833"/>
      <c r="N12" s="2701"/>
      <c r="O12" s="1383" t="s">
        <v>1347</v>
      </c>
      <c r="P12" s="1383" t="s">
        <v>1347</v>
      </c>
      <c r="Q12" s="144"/>
      <c r="R12" s="3857" t="s">
        <v>2656</v>
      </c>
      <c r="S12" s="3858" t="s">
        <v>3020</v>
      </c>
      <c r="T12" s="892" t="s">
        <v>3021</v>
      </c>
      <c r="U12" s="2704" t="s">
        <v>3022</v>
      </c>
      <c r="V12" s="3678">
        <v>178.24</v>
      </c>
      <c r="W12" s="3919">
        <f t="shared" si="2"/>
        <v>161.27500000000001</v>
      </c>
      <c r="X12" s="3678">
        <v>267.36</v>
      </c>
      <c r="Y12" s="1354">
        <v>129.02000000000001</v>
      </c>
      <c r="Z12" s="3672" t="s">
        <v>3879</v>
      </c>
      <c r="AA12" s="1352"/>
    </row>
    <row r="13" spans="1:35" ht="30" x14ac:dyDescent="0.25">
      <c r="A13" s="1360" t="s">
        <v>687</v>
      </c>
      <c r="B13" s="1359" t="s">
        <v>1177</v>
      </c>
      <c r="C13" s="1329">
        <v>106204393</v>
      </c>
      <c r="D13" s="48" t="s">
        <v>1152</v>
      </c>
      <c r="E13" s="2703" t="s">
        <v>2672</v>
      </c>
      <c r="F13" s="2704" t="s">
        <v>2724</v>
      </c>
      <c r="G13" s="1083">
        <f t="shared" si="0"/>
        <v>51</v>
      </c>
      <c r="H13" s="1083">
        <f t="shared" si="1"/>
        <v>50</v>
      </c>
      <c r="I13" s="1316" t="s">
        <v>2655</v>
      </c>
      <c r="J13" s="1316" t="s">
        <v>2655</v>
      </c>
      <c r="K13" s="3656"/>
      <c r="L13" s="1281"/>
      <c r="M13" s="3833"/>
      <c r="N13" s="2701"/>
      <c r="O13" s="1383" t="s">
        <v>1347</v>
      </c>
      <c r="P13" s="1383" t="s">
        <v>1347</v>
      </c>
      <c r="Q13" s="144"/>
      <c r="R13" s="1328" t="s">
        <v>3862</v>
      </c>
      <c r="S13" s="3891" t="s">
        <v>3863</v>
      </c>
      <c r="T13" s="892" t="s">
        <v>3898</v>
      </c>
      <c r="U13" s="2704" t="s">
        <v>3899</v>
      </c>
      <c r="V13" s="3852">
        <f>V12</f>
        <v>178.24</v>
      </c>
      <c r="W13" s="3919">
        <f>W12</f>
        <v>161.27500000000001</v>
      </c>
      <c r="X13" s="3852">
        <f>X12</f>
        <v>267.36</v>
      </c>
      <c r="Y13" s="2633"/>
      <c r="Z13" s="227"/>
      <c r="AA13" s="2633"/>
      <c r="AB13" s="1383"/>
      <c r="AC13" s="1383"/>
      <c r="AD13" s="1383"/>
      <c r="AE13" s="1383"/>
      <c r="AF13" s="1383"/>
      <c r="AG13" s="1383"/>
      <c r="AH13" s="1383"/>
      <c r="AI13" s="1383"/>
    </row>
    <row r="14" spans="1:35" x14ac:dyDescent="0.25">
      <c r="A14" s="1360" t="s">
        <v>901</v>
      </c>
      <c r="B14" s="1359" t="s">
        <v>1189</v>
      </c>
      <c r="C14" s="1329">
        <v>106204405</v>
      </c>
      <c r="D14" s="48" t="s">
        <v>1164</v>
      </c>
      <c r="E14" s="2703" t="s">
        <v>2673</v>
      </c>
      <c r="F14" s="2704" t="s">
        <v>2725</v>
      </c>
      <c r="G14" s="1083">
        <f t="shared" si="0"/>
        <v>46</v>
      </c>
      <c r="H14" s="1083">
        <f t="shared" si="1"/>
        <v>45</v>
      </c>
      <c r="I14" s="1316" t="s">
        <v>2655</v>
      </c>
      <c r="J14" s="1316" t="s">
        <v>2655</v>
      </c>
      <c r="K14" s="3656"/>
      <c r="L14" s="1281">
        <v>53.644444444444446</v>
      </c>
      <c r="M14" s="3833" t="s">
        <v>3796</v>
      </c>
      <c r="N14" s="2701"/>
      <c r="O14" s="1383"/>
      <c r="P14" s="240">
        <v>77.45</v>
      </c>
      <c r="Q14" s="144"/>
      <c r="R14" s="1313" t="s">
        <v>3441</v>
      </c>
      <c r="S14" s="794" t="s">
        <v>3440</v>
      </c>
      <c r="T14" s="892" t="s">
        <v>3886</v>
      </c>
      <c r="U14" s="2704" t="s">
        <v>3887</v>
      </c>
      <c r="V14" s="3852">
        <v>108.15</v>
      </c>
      <c r="W14" s="3919">
        <f>W4</f>
        <v>108.71249999999999</v>
      </c>
      <c r="X14" s="3852">
        <v>164.52</v>
      </c>
      <c r="Y14" s="227" t="s">
        <v>3858</v>
      </c>
      <c r="Z14" s="227">
        <v>73.989999999999995</v>
      </c>
      <c r="AA14" s="1352"/>
    </row>
    <row r="15" spans="1:35" s="173" customFormat="1" x14ac:dyDescent="0.25">
      <c r="A15" s="1360" t="s">
        <v>902</v>
      </c>
      <c r="B15" s="1359" t="s">
        <v>1191</v>
      </c>
      <c r="C15" s="1329">
        <v>106204407</v>
      </c>
      <c r="D15" s="48" t="s">
        <v>1166</v>
      </c>
      <c r="E15" s="2703" t="s">
        <v>2674</v>
      </c>
      <c r="F15" s="2704" t="s">
        <v>2726</v>
      </c>
      <c r="G15" s="1083">
        <f t="shared" si="0"/>
        <v>49</v>
      </c>
      <c r="H15" s="1083">
        <f t="shared" si="1"/>
        <v>48</v>
      </c>
      <c r="I15" s="1316" t="s">
        <v>2655</v>
      </c>
      <c r="J15" s="1316" t="s">
        <v>2655</v>
      </c>
      <c r="K15" s="3656"/>
      <c r="L15" s="1281"/>
      <c r="M15" s="3833"/>
      <c r="N15" s="2701"/>
      <c r="O15" s="1383" t="s">
        <v>1347</v>
      </c>
      <c r="P15" s="1383" t="s">
        <v>1347</v>
      </c>
      <c r="Q15" s="144"/>
      <c r="R15" s="1313" t="s">
        <v>3431</v>
      </c>
      <c r="S15" s="1358" t="s">
        <v>3432</v>
      </c>
      <c r="T15" s="892" t="s">
        <v>3888</v>
      </c>
      <c r="U15" s="2704" t="s">
        <v>3889</v>
      </c>
      <c r="V15" s="3852">
        <f>V12</f>
        <v>178.24</v>
      </c>
      <c r="W15" s="3919">
        <f>W12</f>
        <v>161.27500000000001</v>
      </c>
      <c r="X15" s="3852">
        <f>X12</f>
        <v>267.36</v>
      </c>
      <c r="Y15" s="227" t="s">
        <v>3831</v>
      </c>
      <c r="Z15" s="227"/>
      <c r="AA15" s="1352"/>
      <c r="AB15" s="11"/>
      <c r="AC15" s="11"/>
      <c r="AD15" s="11"/>
      <c r="AE15" s="11"/>
      <c r="AF15" s="11"/>
      <c r="AG15" s="11"/>
      <c r="AH15" s="11"/>
      <c r="AI15" s="11"/>
    </row>
    <row r="16" spans="1:35" x14ac:dyDescent="0.25">
      <c r="A16" s="1360" t="s">
        <v>902</v>
      </c>
      <c r="B16" s="1359" t="s">
        <v>1199</v>
      </c>
      <c r="C16" s="1329">
        <v>106204429</v>
      </c>
      <c r="D16" s="48" t="s">
        <v>1436</v>
      </c>
      <c r="E16" s="2703" t="s">
        <v>2675</v>
      </c>
      <c r="F16" s="2704" t="s">
        <v>2727</v>
      </c>
      <c r="G16" s="1083">
        <f t="shared" si="0"/>
        <v>49</v>
      </c>
      <c r="H16" s="1083">
        <f t="shared" si="1"/>
        <v>48</v>
      </c>
      <c r="I16" s="1316" t="s">
        <v>2655</v>
      </c>
      <c r="J16" s="1316" t="s">
        <v>2655</v>
      </c>
      <c r="K16" s="3656">
        <v>95</v>
      </c>
      <c r="L16" s="1281"/>
      <c r="M16" s="3833"/>
      <c r="N16" s="2701"/>
      <c r="O16" s="1383" t="s">
        <v>1347</v>
      </c>
      <c r="P16" s="1383" t="s">
        <v>1347</v>
      </c>
      <c r="Q16" s="144"/>
      <c r="R16" s="1313" t="s">
        <v>3437</v>
      </c>
      <c r="S16" s="794" t="s">
        <v>3833</v>
      </c>
      <c r="T16" s="1383" t="s">
        <v>3890</v>
      </c>
      <c r="U16" s="2704" t="s">
        <v>3891</v>
      </c>
      <c r="V16" s="3852">
        <v>43.23</v>
      </c>
      <c r="W16" s="3919">
        <f>W8</f>
        <v>29.774999999999999</v>
      </c>
      <c r="X16" s="3852">
        <v>63.28</v>
      </c>
      <c r="Y16" s="227">
        <v>47</v>
      </c>
      <c r="Z16" s="227">
        <v>28</v>
      </c>
      <c r="AA16" s="173"/>
      <c r="AB16" s="173"/>
      <c r="AC16" s="173"/>
      <c r="AD16" s="173"/>
      <c r="AE16" s="173"/>
      <c r="AF16" s="173"/>
      <c r="AG16" s="173"/>
      <c r="AH16" s="173"/>
      <c r="AI16" s="173"/>
    </row>
    <row r="17" spans="1:32" x14ac:dyDescent="0.25">
      <c r="A17" s="1360" t="s">
        <v>411</v>
      </c>
      <c r="B17" s="1359" t="s">
        <v>1193</v>
      </c>
      <c r="C17" s="1329">
        <v>106204409</v>
      </c>
      <c r="D17" s="48" t="s">
        <v>1168</v>
      </c>
      <c r="E17" s="892" t="s">
        <v>2676</v>
      </c>
      <c r="F17" s="2704" t="s">
        <v>2728</v>
      </c>
      <c r="G17" s="1083">
        <f t="shared" si="0"/>
        <v>47</v>
      </c>
      <c r="H17" s="1083">
        <f t="shared" si="1"/>
        <v>44</v>
      </c>
      <c r="I17" s="1316" t="s">
        <v>2655</v>
      </c>
      <c r="J17" s="1316" t="s">
        <v>2655</v>
      </c>
      <c r="K17" s="3656"/>
      <c r="L17" s="1281"/>
      <c r="M17" s="3833"/>
      <c r="N17" s="2701"/>
      <c r="O17" s="1383" t="s">
        <v>1347</v>
      </c>
      <c r="P17" s="1383" t="s">
        <v>1347</v>
      </c>
      <c r="Q17" s="144"/>
      <c r="R17" s="1313" t="s">
        <v>3435</v>
      </c>
      <c r="S17" s="794" t="s">
        <v>3443</v>
      </c>
      <c r="T17" s="892" t="s">
        <v>3892</v>
      </c>
      <c r="U17" s="2704" t="s">
        <v>3893</v>
      </c>
      <c r="V17" s="3852">
        <v>225.78</v>
      </c>
      <c r="W17" s="3919">
        <f>W9</f>
        <v>238.27500000000001</v>
      </c>
      <c r="X17" s="3852">
        <v>343.93</v>
      </c>
    </row>
    <row r="18" spans="1:32" s="1275" customFormat="1" ht="15.75" thickBot="1" x14ac:dyDescent="0.3">
      <c r="A18" s="1360" t="s">
        <v>602</v>
      </c>
      <c r="B18" s="1383" t="s">
        <v>1180</v>
      </c>
      <c r="C18" s="1329">
        <v>106204396</v>
      </c>
      <c r="D18" s="48" t="s">
        <v>1155</v>
      </c>
      <c r="E18" s="892" t="s">
        <v>2677</v>
      </c>
      <c r="F18" s="2704" t="s">
        <v>2729</v>
      </c>
      <c r="G18" s="1083">
        <f t="shared" si="0"/>
        <v>49</v>
      </c>
      <c r="H18" s="1083">
        <f t="shared" si="1"/>
        <v>46</v>
      </c>
      <c r="I18" s="1316" t="s">
        <v>2655</v>
      </c>
      <c r="J18" s="1281">
        <v>94.36</v>
      </c>
      <c r="K18" s="3656">
        <v>94.81</v>
      </c>
      <c r="L18" s="1281">
        <v>95.555555555555557</v>
      </c>
      <c r="M18" s="3833" t="s">
        <v>3796</v>
      </c>
      <c r="N18" s="2701">
        <f t="shared" ref="N18:N33" si="4">(L18-K18)/K18</f>
        <v>7.8636805775293209E-3</v>
      </c>
      <c r="O18" s="1383" t="s">
        <v>1347</v>
      </c>
      <c r="P18" s="1360">
        <v>172</v>
      </c>
      <c r="Q18" s="144"/>
      <c r="R18" s="1313"/>
      <c r="S18" s="794"/>
      <c r="T18" s="2633"/>
      <c r="U18" s="11"/>
      <c r="V18" s="11"/>
      <c r="W18" s="11"/>
      <c r="X18" s="11"/>
      <c r="Y18" s="11"/>
      <c r="Z18" s="11"/>
      <c r="AA18" s="11"/>
      <c r="AB18" s="11"/>
      <c r="AC18" s="11"/>
      <c r="AD18" s="11"/>
      <c r="AE18" s="11"/>
      <c r="AF18" s="11"/>
    </row>
    <row r="19" spans="1:32" ht="30.75" thickBot="1" x14ac:dyDescent="0.3">
      <c r="A19" s="1360" t="s">
        <v>375</v>
      </c>
      <c r="B19" s="1383" t="s">
        <v>1181</v>
      </c>
      <c r="C19" s="1329">
        <v>106205152</v>
      </c>
      <c r="D19" s="48" t="s">
        <v>1156</v>
      </c>
      <c r="E19" s="892" t="s">
        <v>2678</v>
      </c>
      <c r="F19" s="2704" t="s">
        <v>2730</v>
      </c>
      <c r="G19" s="1083">
        <f t="shared" si="0"/>
        <v>49</v>
      </c>
      <c r="H19" s="1083">
        <f t="shared" si="1"/>
        <v>46</v>
      </c>
      <c r="I19" s="1531">
        <v>129.02000000000001</v>
      </c>
      <c r="J19" s="1281">
        <v>128.30000000000001</v>
      </c>
      <c r="K19" s="3656">
        <v>129.63999999999999</v>
      </c>
      <c r="L19" s="1281">
        <v>130.33333333333331</v>
      </c>
      <c r="M19" s="3833" t="s">
        <v>3796</v>
      </c>
      <c r="N19" s="2701">
        <f t="shared" si="4"/>
        <v>5.3481435770852213E-3</v>
      </c>
      <c r="O19" s="1383" t="s">
        <v>1347</v>
      </c>
      <c r="P19" s="1360">
        <v>172</v>
      </c>
      <c r="Q19" s="144"/>
      <c r="R19" s="1275"/>
      <c r="S19" s="1275"/>
      <c r="T19" s="1275"/>
      <c r="U19" s="3849" t="s">
        <v>3834</v>
      </c>
      <c r="V19" s="3850" t="s">
        <v>3835</v>
      </c>
      <c r="W19" s="3850" t="s">
        <v>3836</v>
      </c>
      <c r="X19" s="3850" t="s">
        <v>3850</v>
      </c>
      <c r="Y19" s="1275"/>
      <c r="Z19" s="1275"/>
      <c r="AA19" s="1275"/>
      <c r="AB19" s="1275"/>
      <c r="AC19" s="1275"/>
      <c r="AD19" s="1275"/>
      <c r="AE19" s="1275"/>
      <c r="AF19" s="1275"/>
    </row>
    <row r="20" spans="1:32" ht="15.75" thickBot="1" x14ac:dyDescent="0.3">
      <c r="A20" s="1360" t="s">
        <v>411</v>
      </c>
      <c r="B20" s="1359" t="s">
        <v>1192</v>
      </c>
      <c r="C20" s="1329">
        <v>106205168</v>
      </c>
      <c r="D20" s="48" t="s">
        <v>1167</v>
      </c>
      <c r="E20" s="892" t="s">
        <v>2679</v>
      </c>
      <c r="F20" s="2704" t="s">
        <v>2731</v>
      </c>
      <c r="G20" s="1083">
        <f t="shared" si="0"/>
        <v>44</v>
      </c>
      <c r="H20" s="1083">
        <f t="shared" si="1"/>
        <v>41</v>
      </c>
      <c r="I20" s="68">
        <v>113.01</v>
      </c>
      <c r="J20" s="1281">
        <v>112.29</v>
      </c>
      <c r="K20" s="3656">
        <v>113.43</v>
      </c>
      <c r="L20" s="1281">
        <v>115.55555555555556</v>
      </c>
      <c r="M20" s="3833" t="s">
        <v>3796</v>
      </c>
      <c r="N20" s="2701">
        <f t="shared" si="4"/>
        <v>1.8738918765366746E-2</v>
      </c>
      <c r="O20" s="1383" t="s">
        <v>1347</v>
      </c>
      <c r="P20" s="240">
        <v>162</v>
      </c>
      <c r="Q20" s="144"/>
      <c r="S20" s="1" t="s">
        <v>3820</v>
      </c>
      <c r="T20" s="11"/>
      <c r="U20" s="4460" t="s">
        <v>3837</v>
      </c>
      <c r="V20" s="3851" t="s">
        <v>3838</v>
      </c>
      <c r="W20" s="3851" t="s">
        <v>3437</v>
      </c>
      <c r="X20" s="3851" t="s">
        <v>3839</v>
      </c>
    </row>
    <row r="21" spans="1:32" ht="15.75" thickBot="1" x14ac:dyDescent="0.3">
      <c r="A21" s="1360" t="s">
        <v>411</v>
      </c>
      <c r="B21" s="1359" t="s">
        <v>1175</v>
      </c>
      <c r="C21" s="1329">
        <v>106204391</v>
      </c>
      <c r="D21" s="48" t="s">
        <v>1150</v>
      </c>
      <c r="E21" s="892" t="s">
        <v>2680</v>
      </c>
      <c r="F21" s="2704" t="s">
        <v>2732</v>
      </c>
      <c r="G21" s="1083">
        <f t="shared" si="0"/>
        <v>47</v>
      </c>
      <c r="H21" s="1083">
        <f t="shared" si="1"/>
        <v>44</v>
      </c>
      <c r="I21" s="1316" t="s">
        <v>2655</v>
      </c>
      <c r="J21" s="1316" t="s">
        <v>2655</v>
      </c>
      <c r="K21" s="3656"/>
      <c r="L21" s="1281"/>
      <c r="M21" s="3833"/>
      <c r="N21" s="2701"/>
      <c r="O21" s="1383" t="s">
        <v>1347</v>
      </c>
      <c r="P21" s="1383" t="s">
        <v>1347</v>
      </c>
      <c r="Q21" s="144"/>
      <c r="R21" s="3806">
        <v>106202436</v>
      </c>
      <c r="S21" s="3677" t="s">
        <v>3760</v>
      </c>
      <c r="T21" s="2633">
        <v>2</v>
      </c>
      <c r="U21" s="4461"/>
      <c r="V21" s="3851" t="s">
        <v>3840</v>
      </c>
      <c r="W21" s="3851" t="s">
        <v>3441</v>
      </c>
      <c r="X21" s="3851" t="s">
        <v>3841</v>
      </c>
      <c r="Y21" s="1383"/>
    </row>
    <row r="22" spans="1:32" ht="15.75" thickBot="1" x14ac:dyDescent="0.3">
      <c r="A22" s="1360" t="s">
        <v>1425</v>
      </c>
      <c r="B22" s="1359" t="s">
        <v>1200</v>
      </c>
      <c r="C22" s="1329">
        <v>106204430</v>
      </c>
      <c r="D22" s="48" t="s">
        <v>1174</v>
      </c>
      <c r="E22" s="892" t="s">
        <v>2681</v>
      </c>
      <c r="F22" s="2704" t="s">
        <v>2733</v>
      </c>
      <c r="G22" s="1083">
        <f t="shared" si="0"/>
        <v>47</v>
      </c>
      <c r="H22" s="1083">
        <f t="shared" si="1"/>
        <v>44</v>
      </c>
      <c r="I22" s="68">
        <v>185.49</v>
      </c>
      <c r="J22" s="1281">
        <v>187.16</v>
      </c>
      <c r="K22" s="3656">
        <v>187.5</v>
      </c>
      <c r="L22" s="1281">
        <v>187.83333333333334</v>
      </c>
      <c r="M22" s="3833" t="s">
        <v>3796</v>
      </c>
      <c r="N22" s="2701">
        <f t="shared" si="4"/>
        <v>1.7777777777778284E-3</v>
      </c>
      <c r="O22" s="240">
        <v>319.88</v>
      </c>
      <c r="P22" s="240">
        <v>246.5</v>
      </c>
      <c r="Q22" s="144"/>
      <c r="R22" s="3806">
        <v>106120864</v>
      </c>
      <c r="S22" s="3677" t="s">
        <v>3761</v>
      </c>
      <c r="T22" s="1275">
        <v>6</v>
      </c>
      <c r="U22" s="4461"/>
      <c r="V22" s="3851" t="s">
        <v>3842</v>
      </c>
      <c r="W22" s="3851" t="s">
        <v>3431</v>
      </c>
      <c r="X22" s="3851" t="s">
        <v>3874</v>
      </c>
    </row>
    <row r="23" spans="1:32" s="68" customFormat="1" ht="15.75" thickBot="1" x14ac:dyDescent="0.3">
      <c r="A23" s="1531" t="s">
        <v>1289</v>
      </c>
      <c r="B23" s="68" t="s">
        <v>1197</v>
      </c>
      <c r="C23" s="1329">
        <v>106204413</v>
      </c>
      <c r="D23" s="48" t="s">
        <v>1172</v>
      </c>
      <c r="E23" s="892" t="s">
        <v>2682</v>
      </c>
      <c r="F23" s="2704" t="s">
        <v>2734</v>
      </c>
      <c r="G23" s="1083">
        <f t="shared" si="0"/>
        <v>40</v>
      </c>
      <c r="H23" s="1083">
        <f t="shared" si="1"/>
        <v>39</v>
      </c>
      <c r="I23" s="68">
        <v>146.71</v>
      </c>
      <c r="J23" s="1281">
        <v>146.37</v>
      </c>
      <c r="K23" s="3656">
        <v>146.13</v>
      </c>
      <c r="L23" s="1281">
        <v>147.88888888888889</v>
      </c>
      <c r="M23" s="3833" t="s">
        <v>3796</v>
      </c>
      <c r="N23" s="2701">
        <f t="shared" si="4"/>
        <v>1.2036466768554646E-2</v>
      </c>
      <c r="O23" s="68" t="s">
        <v>1347</v>
      </c>
      <c r="P23" s="68" t="s">
        <v>1347</v>
      </c>
      <c r="Q23" s="48"/>
      <c r="R23" s="3806">
        <v>106121966</v>
      </c>
      <c r="S23" s="3677" t="s">
        <v>3762</v>
      </c>
      <c r="T23" s="2633">
        <v>2</v>
      </c>
      <c r="U23" s="4461"/>
      <c r="V23" s="3851" t="s">
        <v>3843</v>
      </c>
      <c r="W23" s="3851" t="s">
        <v>3435</v>
      </c>
      <c r="X23" s="3851" t="s">
        <v>1029</v>
      </c>
      <c r="Y23" s="11"/>
      <c r="Z23" s="11"/>
      <c r="AA23" s="11"/>
      <c r="AB23" s="11"/>
      <c r="AC23" s="11"/>
      <c r="AD23" s="11"/>
      <c r="AE23" s="11"/>
      <c r="AF23" s="11"/>
    </row>
    <row r="24" spans="1:32" ht="15.75" thickBot="1" x14ac:dyDescent="0.3">
      <c r="A24" s="1360" t="s">
        <v>1051</v>
      </c>
      <c r="B24" s="1359" t="s">
        <v>1025</v>
      </c>
      <c r="C24" s="1329">
        <v>106203900</v>
      </c>
      <c r="D24" s="1358" t="s">
        <v>1435</v>
      </c>
      <c r="E24" s="892" t="s">
        <v>2683</v>
      </c>
      <c r="F24" s="2704" t="s">
        <v>2735</v>
      </c>
      <c r="G24" s="1083">
        <f t="shared" si="0"/>
        <v>43</v>
      </c>
      <c r="H24" s="1083">
        <f t="shared" si="1"/>
        <v>33</v>
      </c>
      <c r="I24" s="1281">
        <v>251.31</v>
      </c>
      <c r="J24" s="1281">
        <v>266.42</v>
      </c>
      <c r="K24" s="3656">
        <v>253.71</v>
      </c>
      <c r="L24" s="1281">
        <v>255.2222222222222</v>
      </c>
      <c r="M24" s="3833" t="s">
        <v>3796</v>
      </c>
      <c r="N24" s="2701">
        <f t="shared" si="4"/>
        <v>5.9604360183760675E-3</v>
      </c>
      <c r="O24" s="1383"/>
      <c r="P24" s="1281">
        <v>359.8</v>
      </c>
      <c r="Q24" s="144"/>
      <c r="R24" s="3806">
        <v>106206886</v>
      </c>
      <c r="S24" s="3677" t="s">
        <v>3763</v>
      </c>
      <c r="T24" s="2633">
        <v>2</v>
      </c>
      <c r="U24" s="4461"/>
      <c r="V24" s="3851" t="s">
        <v>3844</v>
      </c>
      <c r="W24" s="3851" t="s">
        <v>2210</v>
      </c>
      <c r="X24" s="3851" t="s">
        <v>2214</v>
      </c>
      <c r="Y24" s="68"/>
      <c r="Z24" s="68"/>
      <c r="AA24" s="68"/>
      <c r="AB24" s="68"/>
      <c r="AC24" s="68"/>
      <c r="AD24" s="68"/>
      <c r="AE24" s="68"/>
      <c r="AF24" s="68"/>
    </row>
    <row r="25" spans="1:32" s="1286" customFormat="1" ht="15.75" thickBot="1" x14ac:dyDescent="0.3">
      <c r="A25" s="1360" t="s">
        <v>1050</v>
      </c>
      <c r="B25" s="1359" t="s">
        <v>1024</v>
      </c>
      <c r="C25" s="1329">
        <v>106203866</v>
      </c>
      <c r="D25" s="1358" t="s">
        <v>1430</v>
      </c>
      <c r="E25" s="892" t="s">
        <v>2684</v>
      </c>
      <c r="F25" s="2704" t="s">
        <v>2736</v>
      </c>
      <c r="G25" s="1083">
        <f t="shared" si="0"/>
        <v>40</v>
      </c>
      <c r="H25" s="1083">
        <f t="shared" si="1"/>
        <v>30</v>
      </c>
      <c r="I25" s="1281">
        <v>189.8</v>
      </c>
      <c r="J25" s="1281">
        <v>205.36</v>
      </c>
      <c r="K25" s="3656">
        <v>197.73</v>
      </c>
      <c r="L25" s="1281">
        <v>198.43333333333334</v>
      </c>
      <c r="M25" s="3833" t="s">
        <v>3796</v>
      </c>
      <c r="N25" s="2701">
        <f t="shared" si="4"/>
        <v>3.5570390599977109E-3</v>
      </c>
      <c r="O25" s="1383"/>
      <c r="P25" s="1281">
        <v>359.8</v>
      </c>
      <c r="Q25" s="144"/>
      <c r="R25" s="3806">
        <v>106206389</v>
      </c>
      <c r="S25" s="3677" t="s">
        <v>3764</v>
      </c>
      <c r="T25" s="2633">
        <v>2</v>
      </c>
      <c r="U25" s="4461"/>
      <c r="V25" s="3851" t="s">
        <v>3845</v>
      </c>
      <c r="W25" s="3851" t="s">
        <v>3434</v>
      </c>
      <c r="X25" s="3851" t="s">
        <v>2213</v>
      </c>
      <c r="Y25" s="11"/>
      <c r="Z25" s="11"/>
      <c r="AA25" s="11"/>
      <c r="AB25" s="11"/>
      <c r="AC25" s="11"/>
      <c r="AD25" s="11"/>
      <c r="AE25" s="11"/>
      <c r="AF25" s="11"/>
    </row>
    <row r="26" spans="1:32" s="86" customFormat="1" ht="15.75" thickBot="1" x14ac:dyDescent="0.3">
      <c r="A26" s="1360"/>
      <c r="B26" s="1359" t="s">
        <v>1023</v>
      </c>
      <c r="C26" s="1329">
        <v>106204467</v>
      </c>
      <c r="D26" s="1358" t="s">
        <v>1431</v>
      </c>
      <c r="E26" s="892" t="s">
        <v>2685</v>
      </c>
      <c r="F26" s="2704" t="s">
        <v>2737</v>
      </c>
      <c r="G26" s="1083">
        <f t="shared" si="0"/>
        <v>54</v>
      </c>
      <c r="H26" s="1083">
        <f t="shared" si="1"/>
        <v>43</v>
      </c>
      <c r="I26" s="1281">
        <v>466.3</v>
      </c>
      <c r="J26" s="1281">
        <v>496.01</v>
      </c>
      <c r="K26" s="3656">
        <v>473.27</v>
      </c>
      <c r="L26" s="1281">
        <v>474.59999999999997</v>
      </c>
      <c r="M26" s="3833" t="s">
        <v>3796</v>
      </c>
      <c r="N26" s="2701">
        <f t="shared" si="4"/>
        <v>2.8102351723117546E-3</v>
      </c>
      <c r="O26" s="1383"/>
      <c r="P26" s="1281">
        <v>665.84</v>
      </c>
      <c r="Q26" s="144"/>
      <c r="R26" s="3806">
        <v>106111785</v>
      </c>
      <c r="S26" s="3677" t="s">
        <v>3765</v>
      </c>
      <c r="T26" s="2633">
        <v>2</v>
      </c>
      <c r="U26" s="4462"/>
      <c r="V26" s="3851" t="s">
        <v>3846</v>
      </c>
      <c r="W26" s="3851" t="s">
        <v>3847</v>
      </c>
      <c r="X26" s="3851" t="s">
        <v>0</v>
      </c>
      <c r="Y26" s="1286"/>
      <c r="Z26" s="1286"/>
      <c r="AA26" s="1286"/>
      <c r="AB26" s="1286"/>
      <c r="AC26" s="1286"/>
      <c r="AD26" s="1286"/>
      <c r="AE26" s="1286"/>
      <c r="AF26" s="1286"/>
    </row>
    <row r="27" spans="1:32" ht="15.75" thickBot="1" x14ac:dyDescent="0.3">
      <c r="A27" s="1360"/>
      <c r="B27" s="1359" t="s">
        <v>1021</v>
      </c>
      <c r="C27" s="1329">
        <v>106203987</v>
      </c>
      <c r="D27" s="1358" t="s">
        <v>1432</v>
      </c>
      <c r="E27" s="892" t="s">
        <v>2686</v>
      </c>
      <c r="F27" s="2704" t="s">
        <v>2738</v>
      </c>
      <c r="G27" s="1083">
        <f t="shared" si="0"/>
        <v>54</v>
      </c>
      <c r="H27" s="1083">
        <f t="shared" si="1"/>
        <v>43</v>
      </c>
      <c r="I27" s="1281">
        <v>672.08</v>
      </c>
      <c r="J27" s="1281">
        <v>714.26</v>
      </c>
      <c r="K27" s="3656">
        <v>682.58</v>
      </c>
      <c r="L27" s="1281">
        <v>684.05555555555554</v>
      </c>
      <c r="M27" s="3833" t="s">
        <v>3796</v>
      </c>
      <c r="N27" s="2701">
        <f t="shared" si="4"/>
        <v>2.1617327720640832E-3</v>
      </c>
      <c r="O27" s="1383"/>
      <c r="P27" s="1281">
        <v>998.76</v>
      </c>
      <c r="Q27" s="144"/>
      <c r="R27" s="3806">
        <v>106205983</v>
      </c>
      <c r="S27" s="3677" t="s">
        <v>3766</v>
      </c>
      <c r="T27" s="2633">
        <v>2</v>
      </c>
      <c r="U27" s="4463"/>
      <c r="V27" s="4464"/>
      <c r="W27" s="4464"/>
      <c r="X27" s="4465"/>
      <c r="Y27" s="86"/>
      <c r="Z27" s="86"/>
      <c r="AA27" s="86"/>
      <c r="AB27" s="86"/>
      <c r="AC27" s="86"/>
      <c r="AD27" s="86"/>
      <c r="AE27" s="86"/>
      <c r="AF27" s="86"/>
    </row>
    <row r="28" spans="1:32" s="1340" customFormat="1" ht="15.75" thickBot="1" x14ac:dyDescent="0.3">
      <c r="A28" s="1360"/>
      <c r="B28" s="1359" t="s">
        <v>1022</v>
      </c>
      <c r="C28" s="1329">
        <v>106204316</v>
      </c>
      <c r="D28" s="1358" t="s">
        <v>1433</v>
      </c>
      <c r="E28" s="892" t="s">
        <v>2687</v>
      </c>
      <c r="F28" s="2704" t="s">
        <v>2739</v>
      </c>
      <c r="G28" s="1083">
        <f t="shared" si="0"/>
        <v>54</v>
      </c>
      <c r="H28" s="1083">
        <f t="shared" si="1"/>
        <v>43</v>
      </c>
      <c r="I28" s="1281">
        <v>853.92</v>
      </c>
      <c r="J28" s="1281">
        <v>917.06</v>
      </c>
      <c r="K28" s="3656">
        <v>876.78</v>
      </c>
      <c r="L28" s="1281">
        <v>878.34444444444443</v>
      </c>
      <c r="M28" s="3833" t="s">
        <v>3796</v>
      </c>
      <c r="N28" s="2701">
        <f t="shared" si="4"/>
        <v>1.7843067182696476E-3</v>
      </c>
      <c r="O28" s="1383"/>
      <c r="P28" s="1281">
        <v>1331.68</v>
      </c>
      <c r="Q28" s="144"/>
      <c r="R28" s="3806">
        <v>106110898</v>
      </c>
      <c r="S28" s="3677" t="s">
        <v>3767</v>
      </c>
      <c r="T28" s="2633">
        <v>2</v>
      </c>
      <c r="U28" s="4460" t="s">
        <v>3848</v>
      </c>
      <c r="V28" s="3851" t="s">
        <v>3838</v>
      </c>
      <c r="W28" s="3851" t="s">
        <v>3847</v>
      </c>
      <c r="X28" s="3851" t="s">
        <v>0</v>
      </c>
      <c r="Y28" s="11"/>
      <c r="Z28" s="11"/>
      <c r="AA28" s="11"/>
      <c r="AB28" s="11"/>
      <c r="AC28" s="11"/>
      <c r="AD28" s="11"/>
      <c r="AE28" s="11"/>
      <c r="AF28" s="11"/>
    </row>
    <row r="29" spans="1:32" s="1360" customFormat="1" ht="15.75" thickBot="1" x14ac:dyDescent="0.3">
      <c r="A29" s="1360" t="s">
        <v>3399</v>
      </c>
      <c r="C29" s="3666">
        <v>106206153</v>
      </c>
      <c r="D29" s="1531" t="s">
        <v>3400</v>
      </c>
      <c r="F29" s="3667"/>
      <c r="G29" s="3668"/>
      <c r="H29" s="3668"/>
      <c r="I29" s="1569"/>
      <c r="J29" s="1569"/>
      <c r="K29" s="3669"/>
      <c r="L29" s="1281">
        <v>159.28888888888889</v>
      </c>
      <c r="M29" s="3833" t="s">
        <v>3796</v>
      </c>
      <c r="N29" s="3670"/>
      <c r="P29" s="1569"/>
      <c r="Q29" s="2689"/>
      <c r="R29" s="3806">
        <v>106202476</v>
      </c>
      <c r="S29" s="3677" t="s">
        <v>3776</v>
      </c>
      <c r="T29" s="2633">
        <v>2</v>
      </c>
      <c r="U29" s="4461"/>
      <c r="V29" s="3851" t="s">
        <v>3840</v>
      </c>
      <c r="W29" s="3851" t="s">
        <v>3441</v>
      </c>
      <c r="X29" s="3851" t="s">
        <v>3841</v>
      </c>
      <c r="Y29" s="1340"/>
      <c r="Z29" s="1340"/>
      <c r="AA29" s="1340"/>
      <c r="AB29" s="1340"/>
      <c r="AC29" s="1340"/>
      <c r="AD29" s="1340"/>
      <c r="AE29" s="1340"/>
      <c r="AF29" s="1340"/>
    </row>
    <row r="30" spans="1:32" s="173" customFormat="1" ht="15.75" thickBot="1" x14ac:dyDescent="0.3">
      <c r="A30" s="1360" t="s">
        <v>1053</v>
      </c>
      <c r="B30" s="1359" t="s">
        <v>1020</v>
      </c>
      <c r="C30" s="1329">
        <v>106203905</v>
      </c>
      <c r="D30" s="1358" t="s">
        <v>1434</v>
      </c>
      <c r="E30" s="892" t="s">
        <v>2688</v>
      </c>
      <c r="F30" s="2704" t="s">
        <v>2740</v>
      </c>
      <c r="G30" s="1083">
        <f t="shared" si="0"/>
        <v>55</v>
      </c>
      <c r="H30" s="1083">
        <f t="shared" si="1"/>
        <v>49</v>
      </c>
      <c r="I30" s="1281">
        <v>241.84</v>
      </c>
      <c r="J30" s="1281">
        <v>266.66000000000003</v>
      </c>
      <c r="K30" s="3656">
        <v>244.23</v>
      </c>
      <c r="L30" s="1281">
        <v>245.05555555555557</v>
      </c>
      <c r="M30" s="3833" t="s">
        <v>3796</v>
      </c>
      <c r="N30" s="2701">
        <f t="shared" si="4"/>
        <v>3.3802381179854303E-3</v>
      </c>
      <c r="O30" s="1383"/>
      <c r="P30" s="1281">
        <v>359.8</v>
      </c>
      <c r="Q30" s="144"/>
      <c r="R30" s="3806">
        <v>106206368</v>
      </c>
      <c r="S30" s="3677" t="s">
        <v>3768</v>
      </c>
      <c r="T30" s="2633">
        <v>2</v>
      </c>
      <c r="U30" s="4461"/>
      <c r="V30" s="3851" t="s">
        <v>3842</v>
      </c>
      <c r="W30" s="3851" t="s">
        <v>3431</v>
      </c>
      <c r="X30" s="3851" t="s">
        <v>3874</v>
      </c>
      <c r="Y30" s="1360"/>
      <c r="Z30" s="1360"/>
      <c r="AA30" s="1360"/>
      <c r="AB30" s="1360"/>
      <c r="AC30" s="1360"/>
      <c r="AD30" s="1360"/>
      <c r="AE30" s="1360"/>
      <c r="AF30" s="1360"/>
    </row>
    <row r="31" spans="1:32" customFormat="1" ht="15.75" thickBot="1" x14ac:dyDescent="0.3">
      <c r="A31" s="1360"/>
      <c r="B31" s="1359" t="s">
        <v>1026</v>
      </c>
      <c r="C31" s="1329">
        <v>106203971</v>
      </c>
      <c r="D31" s="1358" t="s">
        <v>1428</v>
      </c>
      <c r="E31" s="892" t="s">
        <v>2689</v>
      </c>
      <c r="F31" s="2704" t="s">
        <v>2741</v>
      </c>
      <c r="G31" s="1083">
        <f t="shared" si="0"/>
        <v>49</v>
      </c>
      <c r="H31" s="1083">
        <f t="shared" si="1"/>
        <v>39</v>
      </c>
      <c r="I31" s="1281">
        <v>55.6</v>
      </c>
      <c r="J31" s="1281">
        <v>48.17</v>
      </c>
      <c r="K31" s="3656">
        <v>49.27</v>
      </c>
      <c r="L31" s="1281">
        <v>48.888888888888886</v>
      </c>
      <c r="M31" s="3833" t="s">
        <v>3796</v>
      </c>
      <c r="N31" s="2701">
        <f t="shared" si="4"/>
        <v>-7.7351554924115565E-3</v>
      </c>
      <c r="O31" s="1281">
        <v>450</v>
      </c>
      <c r="P31" s="1281">
        <v>70</v>
      </c>
      <c r="Q31" s="144"/>
      <c r="R31" s="3806">
        <v>106117401</v>
      </c>
      <c r="S31" s="3677" t="s">
        <v>3769</v>
      </c>
      <c r="T31" s="2633">
        <v>20</v>
      </c>
      <c r="U31" s="4461"/>
      <c r="V31" s="3851" t="s">
        <v>3843</v>
      </c>
      <c r="W31" s="3851" t="s">
        <v>3435</v>
      </c>
      <c r="X31" s="3851" t="s">
        <v>1029</v>
      </c>
      <c r="Y31" s="173"/>
      <c r="Z31" s="173"/>
      <c r="AA31" s="173"/>
      <c r="AB31" s="173"/>
      <c r="AC31" s="173"/>
      <c r="AD31" s="173"/>
      <c r="AE31" s="173"/>
      <c r="AF31" s="173"/>
    </row>
    <row r="32" spans="1:32" customFormat="1" ht="15.75" thickBot="1" x14ac:dyDescent="0.3">
      <c r="A32" s="1360"/>
      <c r="B32" s="1359" t="s">
        <v>1028</v>
      </c>
      <c r="C32" s="1329">
        <v>106204435</v>
      </c>
      <c r="D32" s="1358" t="s">
        <v>1429</v>
      </c>
      <c r="E32" s="892" t="s">
        <v>2690</v>
      </c>
      <c r="F32" s="2704" t="s">
        <v>2742</v>
      </c>
      <c r="G32" s="1083">
        <f t="shared" si="0"/>
        <v>49</v>
      </c>
      <c r="H32" s="1083">
        <f t="shared" si="1"/>
        <v>39</v>
      </c>
      <c r="I32" s="1281">
        <v>65.930000000000007</v>
      </c>
      <c r="J32" s="1281">
        <v>45.61</v>
      </c>
      <c r="K32" s="3656">
        <v>49.31</v>
      </c>
      <c r="L32" s="1281">
        <v>48.93333333333333</v>
      </c>
      <c r="M32" s="3833" t="s">
        <v>3796</v>
      </c>
      <c r="N32" s="2701">
        <f t="shared" si="4"/>
        <v>-7.6387480565133286E-3</v>
      </c>
      <c r="O32" s="1281">
        <v>450</v>
      </c>
      <c r="P32" s="1281">
        <v>82.5</v>
      </c>
      <c r="Q32" s="144"/>
      <c r="R32" s="3806">
        <v>106115113</v>
      </c>
      <c r="S32" s="3677" t="s">
        <v>3770</v>
      </c>
      <c r="T32" s="2633">
        <v>20</v>
      </c>
      <c r="U32" s="4461"/>
      <c r="V32" s="3851" t="s">
        <v>3844</v>
      </c>
      <c r="W32" s="3851" t="s">
        <v>2210</v>
      </c>
      <c r="X32" s="3851" t="s">
        <v>2214</v>
      </c>
    </row>
    <row r="33" spans="1:32" customFormat="1" ht="15.75" thickBot="1" x14ac:dyDescent="0.3">
      <c r="A33" s="1360"/>
      <c r="B33" s="1359" t="s">
        <v>1027</v>
      </c>
      <c r="C33" s="1329">
        <v>106203974</v>
      </c>
      <c r="D33" s="1358" t="s">
        <v>1001</v>
      </c>
      <c r="E33" s="892" t="s">
        <v>2691</v>
      </c>
      <c r="F33" s="2704" t="s">
        <v>2743</v>
      </c>
      <c r="G33" s="1083">
        <f t="shared" si="0"/>
        <v>49</v>
      </c>
      <c r="H33" s="1083">
        <f t="shared" si="1"/>
        <v>39</v>
      </c>
      <c r="I33" s="1281">
        <v>65.77</v>
      </c>
      <c r="J33" s="1281">
        <v>45.43</v>
      </c>
      <c r="K33" s="3656">
        <v>49.14</v>
      </c>
      <c r="L33" s="1281">
        <v>48.766666666666666</v>
      </c>
      <c r="M33" s="3833" t="s">
        <v>3796</v>
      </c>
      <c r="N33" s="2701">
        <f t="shared" si="4"/>
        <v>-7.5973409306742947E-3</v>
      </c>
      <c r="O33" s="1281">
        <v>450</v>
      </c>
      <c r="P33" s="1281">
        <v>82.5</v>
      </c>
      <c r="Q33" s="144"/>
      <c r="R33" s="3806">
        <v>106126857</v>
      </c>
      <c r="S33" s="3677" t="s">
        <v>3771</v>
      </c>
      <c r="T33" s="1350">
        <v>20</v>
      </c>
      <c r="U33" s="4461"/>
      <c r="V33" s="3851" t="s">
        <v>3845</v>
      </c>
      <c r="W33" s="3851" t="s">
        <v>3434</v>
      </c>
      <c r="X33" s="3851" t="s">
        <v>2213</v>
      </c>
    </row>
    <row r="34" spans="1:32" customFormat="1" ht="15.75" thickBot="1" x14ac:dyDescent="0.3">
      <c r="A34" s="1360" t="s">
        <v>600</v>
      </c>
      <c r="B34" s="1359" t="s">
        <v>1184</v>
      </c>
      <c r="C34" s="1329">
        <v>106204400</v>
      </c>
      <c r="D34" s="48" t="s">
        <v>1159</v>
      </c>
      <c r="E34" s="892" t="s">
        <v>2692</v>
      </c>
      <c r="F34" s="2704" t="s">
        <v>2744</v>
      </c>
      <c r="G34" s="1083">
        <f t="shared" si="0"/>
        <v>41</v>
      </c>
      <c r="H34" s="1083">
        <f t="shared" si="1"/>
        <v>46</v>
      </c>
      <c r="I34" s="1316" t="s">
        <v>2655</v>
      </c>
      <c r="J34" s="1316" t="s">
        <v>2655</v>
      </c>
      <c r="K34" s="3656"/>
      <c r="L34" s="1281"/>
      <c r="M34" s="3833"/>
      <c r="N34" s="2701"/>
      <c r="O34" s="1341"/>
      <c r="P34" s="1341"/>
      <c r="Q34" s="144"/>
      <c r="R34" s="3806">
        <v>106119667</v>
      </c>
      <c r="S34" s="3677" t="s">
        <v>3772</v>
      </c>
      <c r="T34" s="1350">
        <v>10</v>
      </c>
      <c r="U34" s="4462"/>
      <c r="V34" s="3851" t="s">
        <v>3846</v>
      </c>
      <c r="W34" s="3851" t="s">
        <v>3849</v>
      </c>
      <c r="X34" s="3851" t="s">
        <v>0</v>
      </c>
    </row>
    <row r="35" spans="1:32" customFormat="1" x14ac:dyDescent="0.25">
      <c r="A35" s="1360" t="s">
        <v>367</v>
      </c>
      <c r="B35" s="1359" t="s">
        <v>1185</v>
      </c>
      <c r="C35" s="1329">
        <v>106204401</v>
      </c>
      <c r="D35" s="48" t="s">
        <v>1160</v>
      </c>
      <c r="E35" s="892" t="s">
        <v>2693</v>
      </c>
      <c r="F35" s="2704" t="s">
        <v>2745</v>
      </c>
      <c r="G35" s="1083">
        <f t="shared" si="0"/>
        <v>41</v>
      </c>
      <c r="H35" s="1083">
        <f t="shared" si="1"/>
        <v>46</v>
      </c>
      <c r="I35" s="1316" t="s">
        <v>2655</v>
      </c>
      <c r="J35" s="1316" t="s">
        <v>2655</v>
      </c>
      <c r="K35" s="3656"/>
      <c r="L35" s="1281"/>
      <c r="M35" s="3833"/>
      <c r="N35" s="2701"/>
      <c r="O35" s="1341"/>
      <c r="P35" s="1341"/>
      <c r="Q35" s="144"/>
      <c r="R35" s="3806">
        <v>106116005</v>
      </c>
      <c r="S35" s="3677" t="s">
        <v>3773</v>
      </c>
      <c r="T35" s="1350">
        <v>20</v>
      </c>
      <c r="U35" s="1350"/>
      <c r="V35" s="1279"/>
      <c r="W35" s="1289"/>
      <c r="X35" s="1352"/>
    </row>
    <row r="36" spans="1:32" customFormat="1" ht="15" customHeight="1" x14ac:dyDescent="0.25">
      <c r="A36" s="1360" t="s">
        <v>1440</v>
      </c>
      <c r="B36" s="1359" t="s">
        <v>1198</v>
      </c>
      <c r="C36" s="1329">
        <v>106204414</v>
      </c>
      <c r="D36" s="48" t="s">
        <v>1173</v>
      </c>
      <c r="E36" s="892" t="s">
        <v>2694</v>
      </c>
      <c r="F36" s="2704" t="s">
        <v>2746</v>
      </c>
      <c r="G36" s="1083">
        <f t="shared" si="0"/>
        <v>36</v>
      </c>
      <c r="H36" s="1083">
        <f t="shared" si="1"/>
        <v>38</v>
      </c>
      <c r="I36" s="1281">
        <v>151.80000000000001</v>
      </c>
      <c r="J36" s="1281">
        <v>164.86</v>
      </c>
      <c r="K36" s="3656">
        <v>162.21</v>
      </c>
      <c r="L36" s="1281">
        <v>161.96666666666667</v>
      </c>
      <c r="M36" s="3833" t="s">
        <v>3796</v>
      </c>
      <c r="N36" s="2701">
        <f t="shared" ref="N36" si="5">(L36-K36)/K36</f>
        <v>-1.5001130222140398E-3</v>
      </c>
      <c r="O36" s="1341"/>
      <c r="P36" s="1281">
        <v>253.62</v>
      </c>
      <c r="Q36" s="144"/>
      <c r="R36" s="3806">
        <v>106105901</v>
      </c>
      <c r="S36" s="3677" t="s">
        <v>3908</v>
      </c>
      <c r="T36" s="2633">
        <v>20</v>
      </c>
      <c r="U36" s="1350"/>
      <c r="V36" s="1354"/>
      <c r="W36" s="1289"/>
      <c r="X36" s="1352"/>
    </row>
    <row r="37" spans="1:32" customFormat="1" x14ac:dyDescent="0.25">
      <c r="A37" s="1360" t="s">
        <v>374</v>
      </c>
      <c r="B37" s="1359" t="s">
        <v>1188</v>
      </c>
      <c r="C37" s="1329">
        <v>106204404</v>
      </c>
      <c r="D37" s="68" t="s">
        <v>1163</v>
      </c>
      <c r="E37" s="892" t="s">
        <v>2695</v>
      </c>
      <c r="F37" s="2704" t="s">
        <v>2747</v>
      </c>
      <c r="G37" s="1083">
        <f t="shared" si="0"/>
        <v>30</v>
      </c>
      <c r="H37" s="1083">
        <f t="shared" si="1"/>
        <v>31</v>
      </c>
      <c r="I37" s="1316" t="s">
        <v>2655</v>
      </c>
      <c r="J37" s="1316" t="s">
        <v>2655</v>
      </c>
      <c r="K37" s="3656"/>
      <c r="L37" s="1281"/>
      <c r="M37" s="3833"/>
      <c r="N37" s="2701"/>
      <c r="O37" s="1341"/>
      <c r="P37" s="1341"/>
      <c r="Q37" s="144"/>
      <c r="R37" s="3806">
        <v>106119611</v>
      </c>
      <c r="S37" s="3677" t="s">
        <v>3774</v>
      </c>
      <c r="T37" s="2633">
        <v>2</v>
      </c>
      <c r="U37" s="1350"/>
      <c r="V37" s="1354"/>
      <c r="W37" s="1289"/>
      <c r="X37" s="1352"/>
    </row>
    <row r="38" spans="1:32" customFormat="1" x14ac:dyDescent="0.25">
      <c r="A38" s="1360" t="s">
        <v>895</v>
      </c>
      <c r="B38" s="1359" t="s">
        <v>1196</v>
      </c>
      <c r="C38" s="1329">
        <v>106204412</v>
      </c>
      <c r="D38" s="68" t="s">
        <v>1171</v>
      </c>
      <c r="E38" s="892" t="s">
        <v>2696</v>
      </c>
      <c r="F38" s="2704" t="s">
        <v>2748</v>
      </c>
      <c r="G38" s="1083">
        <f t="shared" si="0"/>
        <v>25</v>
      </c>
      <c r="H38" s="1083">
        <f t="shared" si="1"/>
        <v>26</v>
      </c>
      <c r="I38" s="1281">
        <v>304.31</v>
      </c>
      <c r="J38" s="1281">
        <v>298</v>
      </c>
      <c r="K38" s="3656">
        <v>448.1</v>
      </c>
      <c r="L38" s="1281">
        <v>448.62222222222221</v>
      </c>
      <c r="M38" s="3833" t="s">
        <v>3796</v>
      </c>
      <c r="N38" s="2701">
        <f t="shared" ref="N38:N55" si="6">(L38-K38)/K38</f>
        <v>1.1654144660169226E-3</v>
      </c>
      <c r="O38" s="1341"/>
      <c r="P38" s="1341"/>
      <c r="Q38" s="144"/>
      <c r="R38" s="3806">
        <v>106202883</v>
      </c>
      <c r="S38" s="3677" t="s">
        <v>3775</v>
      </c>
      <c r="T38" s="2633">
        <v>2</v>
      </c>
      <c r="U38" s="1350"/>
      <c r="V38" s="1279"/>
      <c r="W38" s="1289"/>
      <c r="X38" s="1352"/>
    </row>
    <row r="39" spans="1:32" customFormat="1" x14ac:dyDescent="0.25">
      <c r="A39" s="1360" t="s">
        <v>750</v>
      </c>
      <c r="B39" s="1341"/>
      <c r="C39" s="1329" t="s">
        <v>830</v>
      </c>
      <c r="D39" s="1358" t="s">
        <v>1208</v>
      </c>
      <c r="E39" s="1383" t="s">
        <v>2697</v>
      </c>
      <c r="F39" s="2704" t="s">
        <v>2749</v>
      </c>
      <c r="G39" s="1083">
        <f t="shared" si="0"/>
        <v>56</v>
      </c>
      <c r="H39" s="1083">
        <f t="shared" si="1"/>
        <v>44</v>
      </c>
      <c r="I39" s="1281">
        <v>89</v>
      </c>
      <c r="J39" s="1281">
        <v>97.72</v>
      </c>
      <c r="K39" s="3656">
        <v>98.41</v>
      </c>
      <c r="L39" s="1281">
        <v>103.01111111111111</v>
      </c>
      <c r="M39" s="3833" t="s">
        <v>3796</v>
      </c>
      <c r="N39" s="2701">
        <f t="shared" si="6"/>
        <v>4.6754507784890854E-2</v>
      </c>
      <c r="O39" s="1341"/>
      <c r="P39" s="1281"/>
      <c r="Q39" s="144" t="e">
        <f t="shared" ref="Q39:Q47" si="7">K39/P39</f>
        <v>#DIV/0!</v>
      </c>
      <c r="R39" s="3806">
        <v>106122954</v>
      </c>
      <c r="S39" s="3677" t="s">
        <v>3777</v>
      </c>
      <c r="T39" s="2633">
        <v>10</v>
      </c>
      <c r="U39" s="1350"/>
      <c r="V39" s="1279"/>
      <c r="W39" s="1289"/>
      <c r="X39" s="1352"/>
    </row>
    <row r="40" spans="1:32" s="1360" customFormat="1" x14ac:dyDescent="0.25">
      <c r="A40" s="1360" t="s">
        <v>416</v>
      </c>
      <c r="C40" s="3666" t="s">
        <v>826</v>
      </c>
      <c r="D40" s="1531" t="s">
        <v>1209</v>
      </c>
      <c r="E40" s="1360" t="s">
        <v>2698</v>
      </c>
      <c r="F40" s="3667" t="s">
        <v>2750</v>
      </c>
      <c r="G40" s="3668">
        <f t="shared" si="0"/>
        <v>55</v>
      </c>
      <c r="H40" s="3668">
        <f t="shared" si="1"/>
        <v>38</v>
      </c>
      <c r="I40" s="1569">
        <v>73.319999999999993</v>
      </c>
      <c r="J40" s="1569">
        <v>81.66</v>
      </c>
      <c r="K40" s="3669">
        <v>82.37</v>
      </c>
      <c r="L40" s="1569">
        <v>86.966666666666654</v>
      </c>
      <c r="M40" s="3859" t="s">
        <v>3796</v>
      </c>
      <c r="N40" s="3670">
        <f t="shared" si="6"/>
        <v>5.580510703735158E-2</v>
      </c>
      <c r="P40" s="1569"/>
      <c r="Q40" s="2689" t="e">
        <f t="shared" si="7"/>
        <v>#DIV/0!</v>
      </c>
      <c r="R40" s="3938">
        <v>106112712</v>
      </c>
      <c r="S40" s="3858" t="s">
        <v>1856</v>
      </c>
      <c r="T40" s="227">
        <v>10</v>
      </c>
      <c r="U40" s="1350"/>
      <c r="V40" s="1354"/>
      <c r="W40" s="1289"/>
      <c r="X40" s="1352"/>
      <c r="Y40"/>
      <c r="Z40"/>
      <c r="AA40"/>
      <c r="AB40"/>
      <c r="AC40"/>
      <c r="AD40"/>
      <c r="AE40"/>
      <c r="AF40"/>
    </row>
    <row r="41" spans="1:32" customFormat="1" x14ac:dyDescent="0.25">
      <c r="A41" s="1360" t="s">
        <v>810</v>
      </c>
      <c r="B41" s="1341"/>
      <c r="C41" s="1328" t="s">
        <v>1296</v>
      </c>
      <c r="D41" s="794" t="s">
        <v>1295</v>
      </c>
      <c r="E41" t="s">
        <v>2699</v>
      </c>
      <c r="F41" s="2704" t="s">
        <v>2751</v>
      </c>
      <c r="G41" s="1083">
        <f t="shared" si="0"/>
        <v>55</v>
      </c>
      <c r="H41" s="1083">
        <f t="shared" si="1"/>
        <v>43</v>
      </c>
      <c r="I41" s="1281">
        <v>113.42</v>
      </c>
      <c r="J41" s="1281">
        <v>115.59</v>
      </c>
      <c r="K41" s="3656">
        <v>115.69</v>
      </c>
      <c r="L41" s="1281">
        <v>118.57777777777777</v>
      </c>
      <c r="M41" s="3833" t="s">
        <v>3796</v>
      </c>
      <c r="N41" s="2701">
        <f t="shared" si="6"/>
        <v>2.4961343052794287E-2</v>
      </c>
      <c r="O41" s="1341"/>
      <c r="P41" s="1281"/>
      <c r="Q41" s="144" t="e">
        <f t="shared" si="7"/>
        <v>#DIV/0!</v>
      </c>
      <c r="R41" s="3671"/>
      <c r="S41" s="3860"/>
      <c r="T41" s="3349"/>
      <c r="U41" s="3848"/>
      <c r="V41" s="227"/>
      <c r="W41" s="227"/>
      <c r="X41" s="227"/>
      <c r="Y41" s="1360"/>
      <c r="Z41" s="1360"/>
      <c r="AA41" s="1360"/>
      <c r="AB41" s="1360"/>
      <c r="AC41" s="1360"/>
      <c r="AD41" s="1360"/>
      <c r="AE41" s="1360"/>
      <c r="AF41" s="1360"/>
    </row>
    <row r="42" spans="1:32" customFormat="1" x14ac:dyDescent="0.25">
      <c r="A42" s="1341"/>
      <c r="B42" s="1341"/>
      <c r="C42" s="1329" t="s">
        <v>828</v>
      </c>
      <c r="D42" s="1317" t="s">
        <v>1210</v>
      </c>
      <c r="E42" t="s">
        <v>2700</v>
      </c>
      <c r="F42" s="2704" t="s">
        <v>2752</v>
      </c>
      <c r="G42" s="1083">
        <f t="shared" si="0"/>
        <v>52</v>
      </c>
      <c r="H42" s="1083">
        <f t="shared" si="1"/>
        <v>50</v>
      </c>
      <c r="I42" s="1281">
        <v>110.07</v>
      </c>
      <c r="J42" s="1281">
        <v>110.07</v>
      </c>
      <c r="K42" s="3656">
        <v>110.61</v>
      </c>
      <c r="L42" s="1281">
        <v>113.5</v>
      </c>
      <c r="M42" s="3833" t="s">
        <v>3796</v>
      </c>
      <c r="N42" s="2701">
        <f t="shared" si="6"/>
        <v>2.6127836542808071E-2</v>
      </c>
      <c r="O42" s="1341"/>
      <c r="P42" s="1281"/>
      <c r="Q42" s="144" t="e">
        <f t="shared" si="7"/>
        <v>#DIV/0!</v>
      </c>
      <c r="R42" s="2637"/>
      <c r="S42" s="2638"/>
      <c r="T42" s="304"/>
      <c r="U42" s="1350"/>
      <c r="V42" s="1354"/>
      <c r="W42" s="1289"/>
      <c r="X42" s="1352"/>
    </row>
    <row r="43" spans="1:32" customFormat="1" x14ac:dyDescent="0.25">
      <c r="A43" s="1360" t="s">
        <v>813</v>
      </c>
      <c r="B43" s="1341"/>
      <c r="C43" s="1329" t="s">
        <v>827</v>
      </c>
      <c r="D43" s="1358" t="s">
        <v>1211</v>
      </c>
      <c r="E43" s="1383" t="s">
        <v>2701</v>
      </c>
      <c r="F43" s="2704" t="s">
        <v>2753</v>
      </c>
      <c r="G43" s="1083">
        <f t="shared" si="0"/>
        <v>55</v>
      </c>
      <c r="H43" s="1083">
        <f t="shared" si="1"/>
        <v>44</v>
      </c>
      <c r="I43" s="1281">
        <v>107.54</v>
      </c>
      <c r="J43" s="1281">
        <v>107.54</v>
      </c>
      <c r="K43" s="3656">
        <v>108.09</v>
      </c>
      <c r="L43" s="1281">
        <v>110.97777777777777</v>
      </c>
      <c r="M43" s="3833" t="s">
        <v>3796</v>
      </c>
      <c r="N43" s="2701">
        <f t="shared" si="6"/>
        <v>2.6716419444701368E-2</v>
      </c>
      <c r="O43" s="1341"/>
      <c r="P43" s="1281"/>
      <c r="Q43" s="144" t="e">
        <f t="shared" si="7"/>
        <v>#DIV/0!</v>
      </c>
      <c r="R43" s="2637"/>
      <c r="S43" s="2638"/>
      <c r="T43" s="304"/>
      <c r="U43" s="1350"/>
      <c r="V43" s="1279"/>
      <c r="W43" s="1289"/>
      <c r="X43" s="1352"/>
    </row>
    <row r="44" spans="1:32" customFormat="1" x14ac:dyDescent="0.25">
      <c r="A44" s="1360" t="s">
        <v>1030</v>
      </c>
      <c r="B44" s="1341"/>
      <c r="C44" s="1329" t="s">
        <v>825</v>
      </c>
      <c r="D44" s="1358" t="s">
        <v>1212</v>
      </c>
      <c r="E44" t="s">
        <v>2702</v>
      </c>
      <c r="F44" s="2704" t="s">
        <v>2754</v>
      </c>
      <c r="G44" s="1083">
        <f t="shared" si="0"/>
        <v>52</v>
      </c>
      <c r="H44" s="1083">
        <f t="shared" si="1"/>
        <v>49</v>
      </c>
      <c r="I44" s="1281">
        <v>17.2</v>
      </c>
      <c r="J44" s="1281">
        <v>22.78</v>
      </c>
      <c r="K44" s="3656">
        <v>19.600000000000001</v>
      </c>
      <c r="L44" s="1281">
        <v>24.2</v>
      </c>
      <c r="M44" s="3833" t="s">
        <v>3796</v>
      </c>
      <c r="N44" s="2701">
        <f t="shared" si="6"/>
        <v>0.23469387755102028</v>
      </c>
      <c r="O44" s="1341"/>
      <c r="P44" s="1281"/>
      <c r="Q44" s="144" t="e">
        <f t="shared" si="7"/>
        <v>#DIV/0!</v>
      </c>
      <c r="R44" s="2637"/>
      <c r="S44" s="2638"/>
      <c r="T44" s="2642"/>
      <c r="U44" s="1350"/>
      <c r="V44" s="1279"/>
      <c r="W44" s="1289"/>
      <c r="X44" s="1352"/>
    </row>
    <row r="45" spans="1:32" customFormat="1" x14ac:dyDescent="0.25">
      <c r="A45" s="1360" t="s">
        <v>809</v>
      </c>
      <c r="B45" s="1341"/>
      <c r="C45" s="1329" t="s">
        <v>1213</v>
      </c>
      <c r="D45" s="1317" t="s">
        <v>1004</v>
      </c>
      <c r="E45" t="s">
        <v>2703</v>
      </c>
      <c r="F45" s="2704" t="s">
        <v>2755</v>
      </c>
      <c r="G45" s="1083">
        <f t="shared" si="0"/>
        <v>45</v>
      </c>
      <c r="H45" s="1083">
        <f t="shared" si="1"/>
        <v>47</v>
      </c>
      <c r="I45" s="1281">
        <v>167.79</v>
      </c>
      <c r="J45" s="1281">
        <v>187.57</v>
      </c>
      <c r="K45" s="3656">
        <v>187.59</v>
      </c>
      <c r="L45" s="1281">
        <v>190.62222222222223</v>
      </c>
      <c r="M45" s="3833" t="s">
        <v>3796</v>
      </c>
      <c r="N45" s="2701">
        <f t="shared" si="6"/>
        <v>1.6164093087170057E-2</v>
      </c>
      <c r="O45" s="1341"/>
      <c r="P45" s="1281"/>
      <c r="Q45" s="144" t="e">
        <f t="shared" si="7"/>
        <v>#DIV/0!</v>
      </c>
      <c r="R45" s="2637"/>
      <c r="S45" s="2638"/>
      <c r="T45" s="304"/>
      <c r="U45" s="1350"/>
      <c r="V45" s="1279"/>
      <c r="W45" s="1289"/>
      <c r="X45" s="1352"/>
    </row>
    <row r="46" spans="1:32" customFormat="1" x14ac:dyDescent="0.25">
      <c r="A46" s="1688" t="s">
        <v>2799</v>
      </c>
      <c r="B46" s="1341"/>
      <c r="C46" s="1329" t="s">
        <v>829</v>
      </c>
      <c r="D46" s="1358" t="s">
        <v>1005</v>
      </c>
      <c r="E46" s="1383" t="s">
        <v>2704</v>
      </c>
      <c r="F46" s="2704" t="s">
        <v>2756</v>
      </c>
      <c r="G46" s="1083">
        <f t="shared" si="0"/>
        <v>52</v>
      </c>
      <c r="H46" s="1083">
        <f t="shared" si="1"/>
        <v>54</v>
      </c>
      <c r="I46" s="1281">
        <v>188.26</v>
      </c>
      <c r="J46" s="1281">
        <v>205.84</v>
      </c>
      <c r="K46" s="3656">
        <v>206.32</v>
      </c>
      <c r="L46" s="1281">
        <v>211.47777777777779</v>
      </c>
      <c r="M46" s="3833" t="s">
        <v>3796</v>
      </c>
      <c r="N46" s="2701">
        <f t="shared" si="6"/>
        <v>2.4998922924475551E-2</v>
      </c>
      <c r="O46" s="1341"/>
      <c r="P46" s="1281"/>
      <c r="Q46" s="144" t="e">
        <f t="shared" si="7"/>
        <v>#DIV/0!</v>
      </c>
      <c r="R46" s="2637"/>
      <c r="S46" s="2638"/>
      <c r="T46" s="304"/>
      <c r="U46" s="1350"/>
      <c r="V46" s="1279"/>
      <c r="W46" s="1289"/>
      <c r="X46" s="1352"/>
    </row>
    <row r="47" spans="1:32" customFormat="1" x14ac:dyDescent="0.25">
      <c r="A47" s="1688" t="s">
        <v>1029</v>
      </c>
      <c r="B47" s="1341"/>
      <c r="C47" s="1329" t="s">
        <v>1214</v>
      </c>
      <c r="D47" s="1358" t="s">
        <v>1003</v>
      </c>
      <c r="E47" s="1383" t="s">
        <v>2705</v>
      </c>
      <c r="F47" s="2704" t="s">
        <v>2757</v>
      </c>
      <c r="G47" s="1083">
        <f t="shared" si="0"/>
        <v>48</v>
      </c>
      <c r="H47" s="1083">
        <f t="shared" si="1"/>
        <v>48</v>
      </c>
      <c r="I47" s="1281">
        <v>161.91999999999999</v>
      </c>
      <c r="J47" s="1281">
        <v>178.83</v>
      </c>
      <c r="K47" s="3656">
        <v>179.43</v>
      </c>
      <c r="L47" s="1281">
        <v>184.58888888888887</v>
      </c>
      <c r="M47" s="3833" t="s">
        <v>3796</v>
      </c>
      <c r="N47" s="2701">
        <f t="shared" si="6"/>
        <v>2.8751540371670666E-2</v>
      </c>
      <c r="O47" s="1341"/>
      <c r="P47" s="1281"/>
      <c r="Q47" s="144" t="e">
        <f t="shared" si="7"/>
        <v>#DIV/0!</v>
      </c>
      <c r="R47" s="2637"/>
      <c r="S47" s="2638"/>
      <c r="T47" s="304"/>
      <c r="U47" s="1350"/>
      <c r="V47" s="1279"/>
      <c r="W47" s="1289"/>
      <c r="X47" s="1352"/>
    </row>
    <row r="48" spans="1:32" x14ac:dyDescent="0.25">
      <c r="A48" s="1688" t="s">
        <v>1632</v>
      </c>
      <c r="B48" s="1383" t="s">
        <v>1630</v>
      </c>
      <c r="C48" s="1329">
        <v>106205505</v>
      </c>
      <c r="D48" s="1383" t="s">
        <v>1631</v>
      </c>
      <c r="E48" s="1383" t="s">
        <v>2706</v>
      </c>
      <c r="F48" s="2704" t="s">
        <v>2758</v>
      </c>
      <c r="G48" s="1083">
        <f>LEN(E48)</f>
        <v>58</v>
      </c>
      <c r="H48" s="1083">
        <f>LEN(F48)</f>
        <v>58</v>
      </c>
      <c r="I48" s="1316" t="s">
        <v>2655</v>
      </c>
      <c r="J48" s="1281">
        <v>94.44</v>
      </c>
      <c r="K48" s="3656">
        <v>99.3</v>
      </c>
      <c r="L48" s="1281">
        <v>100.53333333333333</v>
      </c>
      <c r="M48" s="3833" t="s">
        <v>3796</v>
      </c>
      <c r="N48" s="2701">
        <f t="shared" si="6"/>
        <v>1.2420275260154424E-2</v>
      </c>
      <c r="O48" s="1281">
        <f>K48/0.4</f>
        <v>248.24999999999997</v>
      </c>
      <c r="P48" s="1281">
        <f>K48/0.6</f>
        <v>165.5</v>
      </c>
      <c r="R48" s="2637"/>
      <c r="S48" s="2638"/>
      <c r="T48" s="304"/>
      <c r="U48" s="1350"/>
      <c r="V48" s="1354"/>
      <c r="W48" s="1289"/>
      <c r="X48" s="1352"/>
      <c r="Y48"/>
      <c r="Z48"/>
      <c r="AA48"/>
      <c r="AB48"/>
      <c r="AC48"/>
      <c r="AD48"/>
      <c r="AE48"/>
      <c r="AF48"/>
    </row>
    <row r="49" spans="1:32" s="1351" customFormat="1" x14ac:dyDescent="0.25">
      <c r="C49" s="1313" t="s">
        <v>2204</v>
      </c>
      <c r="D49" s="1358" t="s">
        <v>2205</v>
      </c>
      <c r="E49" t="s">
        <v>2707</v>
      </c>
      <c r="F49" s="2704" t="s">
        <v>2759</v>
      </c>
      <c r="G49" s="1083">
        <f t="shared" ref="G49:G54" si="8">LEN(E49)</f>
        <v>45</v>
      </c>
      <c r="H49" s="1083">
        <f t="shared" ref="H49:H54" si="9">LEN(F49)</f>
        <v>45</v>
      </c>
      <c r="I49" s="1281">
        <v>71.13</v>
      </c>
      <c r="J49" s="1281">
        <v>73.42</v>
      </c>
      <c r="K49" s="3656">
        <v>75.41</v>
      </c>
      <c r="L49" s="1281">
        <v>75.033333333333331</v>
      </c>
      <c r="M49" s="3833" t="s">
        <v>3796</v>
      </c>
      <c r="N49" s="2701">
        <f t="shared" si="6"/>
        <v>-4.9949166777173478E-3</v>
      </c>
      <c r="O49" s="1576"/>
      <c r="R49" s="2637"/>
      <c r="S49" s="2638"/>
      <c r="T49" s="304"/>
      <c r="U49" s="11"/>
      <c r="V49" s="11"/>
      <c r="W49" s="11"/>
      <c r="X49" s="11"/>
      <c r="Y49" s="11"/>
      <c r="Z49" s="11"/>
      <c r="AA49" s="11"/>
      <c r="AB49" s="11"/>
      <c r="AC49" s="11"/>
      <c r="AD49" s="11"/>
      <c r="AE49" s="11"/>
      <c r="AF49" s="11"/>
    </row>
    <row r="50" spans="1:32" s="1351" customFormat="1" x14ac:dyDescent="0.25">
      <c r="A50" s="1360" t="s">
        <v>2212</v>
      </c>
      <c r="C50" s="1313" t="s">
        <v>2206</v>
      </c>
      <c r="D50" s="1358" t="s">
        <v>2207</v>
      </c>
      <c r="E50" t="s">
        <v>2708</v>
      </c>
      <c r="F50" s="2704" t="s">
        <v>2760</v>
      </c>
      <c r="G50" s="1083">
        <f t="shared" si="8"/>
        <v>35</v>
      </c>
      <c r="H50" s="1083">
        <f t="shared" si="9"/>
        <v>35</v>
      </c>
      <c r="I50" s="1316" t="s">
        <v>2655</v>
      </c>
      <c r="J50" s="1281" t="s">
        <v>0</v>
      </c>
      <c r="K50" s="3656"/>
      <c r="L50" s="1281">
        <v>75.5</v>
      </c>
      <c r="M50" s="3833" t="s">
        <v>3796</v>
      </c>
      <c r="N50" s="2701"/>
      <c r="O50" s="1576"/>
      <c r="R50" s="2637"/>
      <c r="S50" s="2638"/>
      <c r="T50" s="304"/>
    </row>
    <row r="51" spans="1:32" s="1351" customFormat="1" x14ac:dyDescent="0.25">
      <c r="A51" s="1360" t="s">
        <v>2213</v>
      </c>
      <c r="C51" s="1313" t="s">
        <v>2208</v>
      </c>
      <c r="D51" s="1358" t="s">
        <v>2209</v>
      </c>
      <c r="E51" s="1383" t="s">
        <v>3895</v>
      </c>
      <c r="F51" s="2704" t="s">
        <v>3897</v>
      </c>
      <c r="G51" s="1083">
        <f t="shared" si="8"/>
        <v>58</v>
      </c>
      <c r="H51" s="1083">
        <f t="shared" si="9"/>
        <v>57</v>
      </c>
      <c r="I51" s="1281">
        <v>70.459999999999994</v>
      </c>
      <c r="J51" s="1281">
        <v>70.569999999999993</v>
      </c>
      <c r="K51" s="3656">
        <v>73.040000000000006</v>
      </c>
      <c r="L51" s="1281">
        <v>73.555555555555557</v>
      </c>
      <c r="M51" s="3833" t="s">
        <v>3796</v>
      </c>
      <c r="N51" s="2701">
        <f t="shared" si="6"/>
        <v>7.0585371790190419E-3</v>
      </c>
      <c r="O51" s="1576"/>
      <c r="R51" s="2639"/>
      <c r="S51" s="2640"/>
      <c r="T51" s="304"/>
    </row>
    <row r="52" spans="1:32" s="1351" customFormat="1" x14ac:dyDescent="0.25">
      <c r="A52" s="1360" t="s">
        <v>2214</v>
      </c>
      <c r="C52" s="1313" t="s">
        <v>2210</v>
      </c>
      <c r="D52" s="1358" t="s">
        <v>2211</v>
      </c>
      <c r="E52" s="1383" t="s">
        <v>3894</v>
      </c>
      <c r="F52" s="2704" t="s">
        <v>3896</v>
      </c>
      <c r="G52" s="1083">
        <f t="shared" si="8"/>
        <v>50</v>
      </c>
      <c r="H52" s="1083">
        <f t="shared" si="9"/>
        <v>49</v>
      </c>
      <c r="I52" s="1281">
        <v>42.25</v>
      </c>
      <c r="J52" s="1281">
        <v>42.36</v>
      </c>
      <c r="K52" s="3656">
        <v>44.26</v>
      </c>
      <c r="L52" s="1281">
        <v>44.788888888888891</v>
      </c>
      <c r="M52" s="3833" t="s">
        <v>3796</v>
      </c>
      <c r="N52" s="2701">
        <f t="shared" si="6"/>
        <v>1.1949590801827687E-2</v>
      </c>
      <c r="O52" s="1576"/>
      <c r="R52" s="2639"/>
      <c r="S52" s="2640"/>
      <c r="T52" s="2642"/>
    </row>
    <row r="53" spans="1:32" s="1351" customFormat="1" x14ac:dyDescent="0.25">
      <c r="A53" s="1360"/>
      <c r="C53" s="1313" t="s">
        <v>2216</v>
      </c>
      <c r="D53" s="1358" t="s">
        <v>2215</v>
      </c>
      <c r="E53" t="s">
        <v>2711</v>
      </c>
      <c r="F53" s="2704" t="s">
        <v>2711</v>
      </c>
      <c r="G53" s="1083">
        <f t="shared" si="8"/>
        <v>10</v>
      </c>
      <c r="H53" s="1083">
        <f t="shared" si="9"/>
        <v>10</v>
      </c>
      <c r="I53" s="1316" t="s">
        <v>2655</v>
      </c>
      <c r="J53" s="1281">
        <v>154.66</v>
      </c>
      <c r="K53" s="3656">
        <v>150.87</v>
      </c>
      <c r="L53" s="1281">
        <v>150.67777777777778</v>
      </c>
      <c r="M53" s="3833" t="s">
        <v>3796</v>
      </c>
      <c r="N53" s="2701">
        <f t="shared" si="6"/>
        <v>-1.2740917493353709E-3</v>
      </c>
      <c r="O53" s="1576"/>
      <c r="R53" s="2639"/>
      <c r="S53" s="2640"/>
      <c r="T53" s="304"/>
    </row>
    <row r="54" spans="1:32" s="1351" customFormat="1" x14ac:dyDescent="0.25">
      <c r="A54" s="1360"/>
      <c r="C54" s="1313" t="s">
        <v>2217</v>
      </c>
      <c r="D54" s="1358" t="s">
        <v>2218</v>
      </c>
      <c r="E54" t="s">
        <v>2712</v>
      </c>
      <c r="F54" s="2704" t="s">
        <v>2761</v>
      </c>
      <c r="G54" s="1083">
        <f t="shared" si="8"/>
        <v>24</v>
      </c>
      <c r="H54" s="1083">
        <f t="shared" si="9"/>
        <v>25</v>
      </c>
      <c r="I54" s="1316" t="s">
        <v>2655</v>
      </c>
      <c r="J54" s="1281">
        <v>215.77</v>
      </c>
      <c r="K54" s="3656">
        <v>197.13</v>
      </c>
      <c r="L54" s="1281">
        <v>196.73333333333332</v>
      </c>
      <c r="M54" s="3833" t="s">
        <v>3796</v>
      </c>
      <c r="N54" s="2701">
        <f t="shared" si="6"/>
        <v>-2.0122085256768394E-3</v>
      </c>
      <c r="O54" s="1576"/>
      <c r="R54" s="2639"/>
      <c r="S54" s="2640"/>
      <c r="T54" s="304"/>
    </row>
    <row r="55" spans="1:32" x14ac:dyDescent="0.25">
      <c r="A55" s="1360" t="s">
        <v>2607</v>
      </c>
      <c r="C55" s="1313" t="s">
        <v>2656</v>
      </c>
      <c r="D55" s="1383" t="s">
        <v>3020</v>
      </c>
      <c r="E55" s="892" t="s">
        <v>3021</v>
      </c>
      <c r="F55" s="2704" t="s">
        <v>3022</v>
      </c>
      <c r="J55" s="1281">
        <v>152.09</v>
      </c>
      <c r="K55" s="3656">
        <v>138.07</v>
      </c>
      <c r="L55" s="1281">
        <v>129.02222222222221</v>
      </c>
      <c r="M55" s="3833" t="s">
        <v>3796</v>
      </c>
      <c r="N55" s="2701">
        <f t="shared" si="6"/>
        <v>-6.5530367044092E-2</v>
      </c>
      <c r="P55" s="1281"/>
      <c r="Q55" s="144" t="e">
        <f>K55/P55</f>
        <v>#DIV/0!</v>
      </c>
      <c r="R55" s="1351"/>
      <c r="S55" s="1351"/>
      <c r="T55" s="142"/>
      <c r="U55" s="1351"/>
      <c r="V55" s="1351"/>
      <c r="W55" s="1351"/>
      <c r="X55" s="1351"/>
      <c r="Y55" s="1351"/>
      <c r="Z55" s="1351"/>
      <c r="AA55" s="1351"/>
      <c r="AB55" s="1351"/>
      <c r="AC55" s="1351"/>
      <c r="AD55" s="1351"/>
      <c r="AE55" s="1351"/>
      <c r="AF55" s="1351"/>
    </row>
    <row r="56" spans="1:32" s="1383" customFormat="1" x14ac:dyDescent="0.25">
      <c r="A56" s="1360"/>
      <c r="C56" s="1313" t="s">
        <v>3431</v>
      </c>
      <c r="D56" s="1358" t="s">
        <v>3432</v>
      </c>
      <c r="E56" s="892" t="s">
        <v>3888</v>
      </c>
      <c r="F56" s="2704" t="s">
        <v>3889</v>
      </c>
      <c r="G56" s="2633"/>
      <c r="H56" s="2633"/>
      <c r="I56" s="3682"/>
      <c r="J56" s="1281"/>
      <c r="K56" s="3656"/>
      <c r="L56" s="1281">
        <v>129.02222222222221</v>
      </c>
      <c r="M56" s="3833" t="s">
        <v>3796</v>
      </c>
      <c r="N56" s="2701"/>
      <c r="P56" s="1281"/>
      <c r="Q56" s="144"/>
      <c r="R56" s="11"/>
      <c r="S56" s="11"/>
      <c r="T56" s="2633"/>
      <c r="U56" s="11"/>
      <c r="V56" s="11"/>
      <c r="W56" s="11"/>
      <c r="X56" s="11"/>
      <c r="Y56" s="11"/>
      <c r="Z56" s="11"/>
      <c r="AA56" s="11"/>
      <c r="AB56" s="11"/>
      <c r="AC56" s="11"/>
      <c r="AD56" s="11"/>
      <c r="AE56" s="11"/>
      <c r="AF56" s="11"/>
    </row>
    <row r="57" spans="1:32" s="1383" customFormat="1" x14ac:dyDescent="0.25">
      <c r="A57" s="1360"/>
      <c r="C57" s="1313" t="s">
        <v>3437</v>
      </c>
      <c r="D57" s="794" t="s">
        <v>3436</v>
      </c>
      <c r="E57" s="1383" t="s">
        <v>3890</v>
      </c>
      <c r="F57" s="2704" t="s">
        <v>3891</v>
      </c>
      <c r="G57" s="2633"/>
      <c r="H57" s="2633"/>
      <c r="I57" s="3687"/>
      <c r="J57" s="1281"/>
      <c r="K57" s="3656"/>
      <c r="L57" s="1281">
        <v>74.099999999999994</v>
      </c>
      <c r="M57" s="3833" t="s">
        <v>3796</v>
      </c>
      <c r="N57" s="2701"/>
      <c r="P57" s="1281"/>
      <c r="Q57" s="144"/>
      <c r="T57" s="2633"/>
    </row>
    <row r="58" spans="1:32" s="1383" customFormat="1" x14ac:dyDescent="0.25">
      <c r="A58" s="1360"/>
      <c r="C58" s="1313" t="s">
        <v>3439</v>
      </c>
      <c r="D58" s="794" t="s">
        <v>3438</v>
      </c>
      <c r="E58" s="892"/>
      <c r="F58" s="2704"/>
      <c r="G58" s="2633"/>
      <c r="H58" s="2633"/>
      <c r="I58" s="3687"/>
      <c r="J58" s="1281"/>
      <c r="K58" s="3656"/>
      <c r="L58" s="1281"/>
      <c r="M58" s="3833" t="s">
        <v>3796</v>
      </c>
      <c r="N58" s="2701"/>
      <c r="P58" s="1281"/>
      <c r="Q58" s="144"/>
      <c r="T58" s="2633"/>
    </row>
    <row r="59" spans="1:32" s="1383" customFormat="1" x14ac:dyDescent="0.25">
      <c r="A59" s="1360"/>
      <c r="C59" s="1313" t="s">
        <v>3441</v>
      </c>
      <c r="D59" s="794" t="s">
        <v>3440</v>
      </c>
      <c r="E59" s="892" t="s">
        <v>3886</v>
      </c>
      <c r="F59" s="2704" t="s">
        <v>3887</v>
      </c>
      <c r="G59" s="2633"/>
      <c r="H59" s="2633"/>
      <c r="I59" s="3687"/>
      <c r="J59" s="1281"/>
      <c r="K59" s="3656">
        <v>121.51</v>
      </c>
      <c r="L59" s="1281">
        <v>157.64444444444445</v>
      </c>
      <c r="M59" s="3833" t="s">
        <v>3796</v>
      </c>
      <c r="N59" s="2701"/>
      <c r="P59" s="1281"/>
      <c r="Q59" s="144"/>
      <c r="T59" s="2633"/>
    </row>
    <row r="60" spans="1:32" s="1383" customFormat="1" x14ac:dyDescent="0.25">
      <c r="A60" s="1360"/>
      <c r="C60" s="1313" t="s">
        <v>3434</v>
      </c>
      <c r="D60" s="794" t="s">
        <v>3442</v>
      </c>
      <c r="E60" s="892"/>
      <c r="F60" s="2704"/>
      <c r="G60" s="2633"/>
      <c r="H60" s="2633"/>
      <c r="I60" s="3687"/>
      <c r="J60" s="1281"/>
      <c r="K60" s="3656"/>
      <c r="L60" s="1281">
        <v>81.322222222222223</v>
      </c>
      <c r="M60" s="3833" t="s">
        <v>3796</v>
      </c>
      <c r="N60" s="2701"/>
      <c r="P60" s="1281"/>
      <c r="Q60" s="144"/>
      <c r="T60" s="2633"/>
    </row>
    <row r="61" spans="1:32" s="1383" customFormat="1" x14ac:dyDescent="0.25">
      <c r="A61" s="1360"/>
      <c r="C61" s="1313" t="s">
        <v>3435</v>
      </c>
      <c r="D61" s="794" t="s">
        <v>3443</v>
      </c>
      <c r="E61" s="892" t="s">
        <v>3892</v>
      </c>
      <c r="F61" s="2704" t="s">
        <v>3893</v>
      </c>
      <c r="G61" s="2633"/>
      <c r="H61" s="2633"/>
      <c r="I61" s="3687"/>
      <c r="J61" s="1281"/>
      <c r="K61" s="3656"/>
      <c r="L61" s="1281">
        <v>188.84444444444446</v>
      </c>
      <c r="M61" s="3833" t="s">
        <v>3796</v>
      </c>
      <c r="N61" s="2701"/>
      <c r="P61" s="1281"/>
      <c r="Q61" s="144"/>
      <c r="T61" s="2633"/>
    </row>
    <row r="62" spans="1:32" s="1383" customFormat="1" x14ac:dyDescent="0.25">
      <c r="A62" s="1360" t="s">
        <v>2607</v>
      </c>
      <c r="B62" s="1383" t="s">
        <v>3386</v>
      </c>
      <c r="C62" s="1313">
        <v>106205274</v>
      </c>
      <c r="D62" s="1383" t="s">
        <v>3387</v>
      </c>
      <c r="E62" s="892"/>
      <c r="F62" s="2704"/>
      <c r="G62" s="2633"/>
      <c r="H62" s="2633"/>
      <c r="I62" s="3664"/>
      <c r="J62" s="1281"/>
      <c r="K62" s="3656">
        <v>181.8</v>
      </c>
      <c r="L62" s="1281">
        <v>164.5</v>
      </c>
      <c r="M62" s="3833" t="s">
        <v>3796</v>
      </c>
      <c r="N62" s="2701"/>
      <c r="P62" s="1281">
        <f>K62/0.8</f>
        <v>227.25</v>
      </c>
      <c r="Q62" s="144"/>
      <c r="T62" s="2633"/>
    </row>
    <row r="63" spans="1:32" x14ac:dyDescent="0.25">
      <c r="B63" s="1383" t="s">
        <v>3270</v>
      </c>
      <c r="C63" s="75">
        <v>106206467</v>
      </c>
      <c r="D63" s="1383" t="s">
        <v>3271</v>
      </c>
      <c r="G63" s="1281"/>
      <c r="J63" s="1281">
        <v>152.47</v>
      </c>
      <c r="K63" s="3656">
        <v>129.74</v>
      </c>
      <c r="L63" s="1281">
        <v>138.53333333333333</v>
      </c>
      <c r="M63" s="3833" t="s">
        <v>3796</v>
      </c>
      <c r="N63" s="2701">
        <f t="shared" ref="N63" si="10">(L63-K63)/K63</f>
        <v>6.7776578798622797E-2</v>
      </c>
      <c r="P63" s="410">
        <f>J63/0.77</f>
        <v>198.012987012987</v>
      </c>
      <c r="R63" s="1383"/>
      <c r="S63" s="1383"/>
      <c r="U63" s="1383"/>
      <c r="V63" s="1383"/>
      <c r="W63" s="1383"/>
      <c r="X63" s="1383"/>
      <c r="Y63" s="1383"/>
      <c r="Z63" s="1383"/>
      <c r="AA63" s="1383"/>
      <c r="AB63" s="1383"/>
      <c r="AC63" s="1383"/>
      <c r="AD63" s="1383"/>
      <c r="AE63" s="1383"/>
      <c r="AF63" s="1383"/>
    </row>
    <row r="64" spans="1:32" s="1383" customFormat="1" x14ac:dyDescent="0.25">
      <c r="A64" s="1360"/>
      <c r="B64" s="1383" t="s">
        <v>3280</v>
      </c>
      <c r="C64" s="75">
        <v>106206901</v>
      </c>
      <c r="D64" s="1358" t="s">
        <v>3792</v>
      </c>
      <c r="E64" s="1383" t="s">
        <v>3790</v>
      </c>
      <c r="F64" s="1383" t="s">
        <v>3791</v>
      </c>
      <c r="G64" s="1281"/>
      <c r="H64" s="2633"/>
      <c r="I64" s="3599"/>
      <c r="J64" s="1281"/>
      <c r="K64" s="3656">
        <v>247.83</v>
      </c>
      <c r="L64" s="1281"/>
      <c r="M64" s="3833"/>
      <c r="N64" s="2701"/>
      <c r="O64" s="410"/>
      <c r="P64" s="240">
        <v>274.58999999999997</v>
      </c>
      <c r="R64" s="11"/>
      <c r="S64" s="11"/>
      <c r="T64" s="2633"/>
      <c r="U64" s="11"/>
      <c r="V64" s="11"/>
      <c r="W64" s="11"/>
      <c r="X64" s="11"/>
      <c r="Y64" s="11"/>
      <c r="Z64" s="11"/>
      <c r="AA64" s="11"/>
      <c r="AB64" s="11"/>
      <c r="AC64" s="11"/>
      <c r="AD64" s="11"/>
      <c r="AE64" s="11"/>
      <c r="AF64" s="11"/>
    </row>
    <row r="65" spans="1:32" s="1383" customFormat="1" ht="13.5" customHeight="1" x14ac:dyDescent="0.25">
      <c r="A65" s="1360"/>
      <c r="B65" s="1383" t="s">
        <v>2597</v>
      </c>
      <c r="C65" s="1329">
        <v>106205763</v>
      </c>
      <c r="D65" s="48" t="s">
        <v>2599</v>
      </c>
      <c r="E65" s="48" t="s">
        <v>2657</v>
      </c>
      <c r="F65" s="48" t="s">
        <v>2657</v>
      </c>
      <c r="I65" s="1316" t="s">
        <v>2655</v>
      </c>
      <c r="J65" s="1281">
        <v>14.6</v>
      </c>
      <c r="K65" s="3656">
        <v>14.68</v>
      </c>
      <c r="L65" s="1281">
        <v>14.68888888888889</v>
      </c>
      <c r="M65" s="3833" t="s">
        <v>3796</v>
      </c>
      <c r="N65" s="2701">
        <f t="shared" ref="N65:N70" si="11">(L65-K65)/K65</f>
        <v>6.0551014229497807E-4</v>
      </c>
      <c r="Q65" s="144"/>
      <c r="T65" s="2633"/>
    </row>
    <row r="66" spans="1:32" s="1383" customFormat="1" x14ac:dyDescent="0.25">
      <c r="A66" s="1360"/>
      <c r="B66" s="1383" t="s">
        <v>2600</v>
      </c>
      <c r="C66" s="1329">
        <v>106205745</v>
      </c>
      <c r="D66" s="48" t="s">
        <v>2601</v>
      </c>
      <c r="E66" s="48" t="s">
        <v>2658</v>
      </c>
      <c r="F66" s="48" t="s">
        <v>2658</v>
      </c>
      <c r="I66" s="1316" t="s">
        <v>2655</v>
      </c>
      <c r="J66" s="1281">
        <v>21.08</v>
      </c>
      <c r="K66" s="3656">
        <v>21.09</v>
      </c>
      <c r="L66" s="1281">
        <v>20.788888888888888</v>
      </c>
      <c r="M66" s="3833" t="s">
        <v>3796</v>
      </c>
      <c r="N66" s="2701">
        <f t="shared" si="11"/>
        <v>-1.4277435330066951E-2</v>
      </c>
      <c r="P66" s="410">
        <f>K66/0.8</f>
        <v>26.362499999999997</v>
      </c>
      <c r="Q66" s="144"/>
      <c r="T66" s="2633"/>
      <c r="U66" s="1350"/>
      <c r="V66" s="2500"/>
      <c r="W66" s="2500"/>
      <c r="X66" s="2500"/>
    </row>
    <row r="67" spans="1:32" s="68" customFormat="1" x14ac:dyDescent="0.25">
      <c r="A67" s="1531"/>
      <c r="B67" s="68" t="s">
        <v>2598</v>
      </c>
      <c r="C67" s="1329">
        <v>106205950</v>
      </c>
      <c r="D67" s="48" t="s">
        <v>2602</v>
      </c>
      <c r="E67" s="48" t="s">
        <v>2659</v>
      </c>
      <c r="F67" s="48" t="s">
        <v>2659</v>
      </c>
      <c r="I67" s="1281">
        <v>172.84</v>
      </c>
      <c r="J67" s="1281">
        <v>172.84</v>
      </c>
      <c r="K67" s="3656">
        <v>169.71</v>
      </c>
      <c r="L67" s="1281">
        <v>170.01111111111109</v>
      </c>
      <c r="M67" s="3833" t="s">
        <v>3796</v>
      </c>
      <c r="N67" s="2701">
        <f t="shared" si="11"/>
        <v>1.7742685234286935E-3</v>
      </c>
      <c r="O67" s="410">
        <f>(K67/0.6)*1.1</f>
        <v>311.13500000000005</v>
      </c>
      <c r="P67" s="410">
        <f>(K67/0.8)*1.1</f>
        <v>233.35124999999999</v>
      </c>
      <c r="Q67" s="48"/>
      <c r="R67" s="1383"/>
      <c r="S67" s="1383"/>
      <c r="T67" s="2633"/>
      <c r="U67" s="1350"/>
      <c r="V67" s="2500"/>
      <c r="W67" s="2500"/>
      <c r="X67" s="2500"/>
      <c r="Y67" s="1383"/>
      <c r="Z67" s="1383"/>
      <c r="AA67" s="1383"/>
      <c r="AB67" s="1383"/>
      <c r="AC67" s="1383"/>
      <c r="AD67" s="1383"/>
      <c r="AE67" s="1383"/>
      <c r="AF67" s="1383"/>
    </row>
    <row r="68" spans="1:32" s="68" customFormat="1" x14ac:dyDescent="0.25">
      <c r="A68" s="1531"/>
      <c r="B68" s="68" t="s">
        <v>2792</v>
      </c>
      <c r="C68" s="1329">
        <v>106206439</v>
      </c>
      <c r="D68" s="48" t="s">
        <v>2794</v>
      </c>
      <c r="E68" s="892"/>
      <c r="F68" s="892"/>
      <c r="G68" s="48"/>
      <c r="H68" s="48"/>
      <c r="I68" s="1281"/>
      <c r="J68" s="1281">
        <v>24.11</v>
      </c>
      <c r="K68" s="3656">
        <v>26.29</v>
      </c>
      <c r="L68" s="1281">
        <v>27.244444444444444</v>
      </c>
      <c r="M68" s="3833" t="s">
        <v>3796</v>
      </c>
      <c r="N68" s="2701">
        <f t="shared" si="11"/>
        <v>3.6304467266810365E-2</v>
      </c>
      <c r="P68" s="410">
        <f>L68/0.8</f>
        <v>34.05555555555555</v>
      </c>
      <c r="Q68" s="48"/>
      <c r="T68" s="494"/>
      <c r="U68" s="1347"/>
      <c r="V68" s="494"/>
      <c r="W68" s="494"/>
      <c r="X68" s="494"/>
    </row>
    <row r="69" spans="1:32" s="68" customFormat="1" x14ac:dyDescent="0.25">
      <c r="A69" s="1531"/>
      <c r="B69" s="68" t="s">
        <v>2793</v>
      </c>
      <c r="C69" s="1329">
        <v>106206475</v>
      </c>
      <c r="D69" s="48" t="s">
        <v>2795</v>
      </c>
      <c r="E69" s="48" t="s">
        <v>2795</v>
      </c>
      <c r="F69" s="48" t="s">
        <v>2795</v>
      </c>
      <c r="G69" s="48"/>
      <c r="H69" s="48"/>
      <c r="I69" s="1281"/>
      <c r="J69" s="1281">
        <v>12.38</v>
      </c>
      <c r="K69" s="3656">
        <v>12.84</v>
      </c>
      <c r="L69" s="1281">
        <v>12.844444444444445</v>
      </c>
      <c r="M69" s="3833" t="s">
        <v>3796</v>
      </c>
      <c r="N69" s="2701">
        <f t="shared" si="11"/>
        <v>3.4614053305647503E-4</v>
      </c>
      <c r="P69" s="3823">
        <f>K69/0.8</f>
        <v>16.049999999999997</v>
      </c>
      <c r="Q69" s="48"/>
      <c r="T69" s="494"/>
      <c r="U69" s="1347"/>
      <c r="V69" s="494"/>
      <c r="W69" s="494"/>
      <c r="X69" s="494"/>
    </row>
    <row r="70" spans="1:32" s="68" customFormat="1" x14ac:dyDescent="0.25">
      <c r="A70" s="1531"/>
      <c r="B70" s="68" t="s">
        <v>2995</v>
      </c>
      <c r="C70" s="1329">
        <v>106206609</v>
      </c>
      <c r="D70" s="48" t="s">
        <v>2996</v>
      </c>
      <c r="E70" s="48" t="s">
        <v>2996</v>
      </c>
      <c r="F70" s="48" t="s">
        <v>2996</v>
      </c>
      <c r="G70" s="48"/>
      <c r="H70" s="48"/>
      <c r="I70" s="1281"/>
      <c r="J70" s="1281">
        <v>53.7</v>
      </c>
      <c r="K70" s="3656">
        <v>52.09</v>
      </c>
      <c r="L70" s="1281">
        <v>52.87777777777778</v>
      </c>
      <c r="M70" s="3833" t="s">
        <v>3796</v>
      </c>
      <c r="N70" s="2701">
        <f t="shared" si="11"/>
        <v>1.5123397538448389E-2</v>
      </c>
      <c r="Q70" s="48"/>
      <c r="T70" s="494"/>
      <c r="U70" s="1347"/>
      <c r="V70" s="494"/>
      <c r="W70" s="494"/>
      <c r="X70" s="494"/>
    </row>
    <row r="71" spans="1:32" s="1383" customFormat="1" x14ac:dyDescent="0.25">
      <c r="A71" s="227"/>
      <c r="B71" s="1313" t="s">
        <v>2768</v>
      </c>
      <c r="C71" s="1329">
        <v>106205457</v>
      </c>
      <c r="D71" s="1383" t="s">
        <v>2769</v>
      </c>
      <c r="G71" s="2633"/>
      <c r="H71" s="2633"/>
      <c r="I71" s="2632"/>
      <c r="K71" s="3656"/>
      <c r="L71" s="1281">
        <v>4744.0222222222219</v>
      </c>
      <c r="M71" s="3833" t="s">
        <v>3796</v>
      </c>
      <c r="P71" s="1281">
        <v>6106.33</v>
      </c>
      <c r="R71" s="68"/>
      <c r="S71" s="68"/>
      <c r="T71" s="494"/>
      <c r="U71" s="1347"/>
      <c r="V71" s="494"/>
      <c r="W71" s="494"/>
      <c r="X71" s="494"/>
      <c r="Y71" s="68"/>
      <c r="Z71" s="68"/>
      <c r="AA71" s="68"/>
      <c r="AB71" s="68"/>
      <c r="AC71" s="68"/>
      <c r="AD71" s="68"/>
      <c r="AE71" s="68"/>
      <c r="AF71" s="68"/>
    </row>
    <row r="72" spans="1:32" s="1360" customFormat="1" x14ac:dyDescent="0.25">
      <c r="A72" s="227"/>
      <c r="B72" s="4084" t="s">
        <v>3684</v>
      </c>
      <c r="C72" s="3666">
        <v>106208275</v>
      </c>
      <c r="D72" s="1360" t="s">
        <v>3688</v>
      </c>
      <c r="G72" s="227"/>
      <c r="H72" s="227"/>
      <c r="I72" s="224"/>
      <c r="K72" s="3669"/>
      <c r="L72" s="1569">
        <v>1526.0555555555557</v>
      </c>
      <c r="M72" s="3859" t="s">
        <v>3796</v>
      </c>
      <c r="P72" s="1569"/>
    </row>
    <row r="73" spans="1:32" s="1383" customFormat="1" x14ac:dyDescent="0.25">
      <c r="A73" s="227"/>
      <c r="B73" s="1313" t="s">
        <v>3685</v>
      </c>
      <c r="C73" s="1329">
        <v>106208374</v>
      </c>
      <c r="D73" s="1383" t="s">
        <v>3689</v>
      </c>
      <c r="G73" s="2633"/>
      <c r="H73" s="2633"/>
      <c r="I73" s="3762"/>
      <c r="K73" s="3656"/>
      <c r="L73" s="1281">
        <v>1725.7666666666667</v>
      </c>
      <c r="M73" s="3833" t="s">
        <v>3796</v>
      </c>
      <c r="P73" s="1281"/>
    </row>
    <row r="74" spans="1:32" s="1383" customFormat="1" x14ac:dyDescent="0.25">
      <c r="A74" s="227"/>
      <c r="B74" s="1313" t="s">
        <v>3686</v>
      </c>
      <c r="C74" s="1329">
        <v>106208375</v>
      </c>
      <c r="D74" s="1383" t="s">
        <v>3691</v>
      </c>
      <c r="G74" s="2633"/>
      <c r="H74" s="2633"/>
      <c r="I74" s="3762"/>
      <c r="K74" s="3656"/>
      <c r="L74" s="1281">
        <v>1823.9555555555555</v>
      </c>
      <c r="M74" s="3833" t="s">
        <v>3796</v>
      </c>
      <c r="P74" s="1281"/>
    </row>
    <row r="75" spans="1:32" s="1383" customFormat="1" x14ac:dyDescent="0.25">
      <c r="A75" s="227"/>
      <c r="B75" s="1313" t="s">
        <v>3687</v>
      </c>
      <c r="C75" s="1329">
        <v>106208376</v>
      </c>
      <c r="D75" s="1383" t="s">
        <v>3690</v>
      </c>
      <c r="G75" s="2633"/>
      <c r="H75" s="2633"/>
      <c r="I75" s="3762"/>
      <c r="K75" s="3656"/>
      <c r="L75" s="1281">
        <v>1923.2222222222222</v>
      </c>
      <c r="M75" s="3833" t="s">
        <v>3796</v>
      </c>
      <c r="P75" s="1281"/>
    </row>
    <row r="76" spans="1:32" s="1383" customFormat="1" x14ac:dyDescent="0.25">
      <c r="A76" s="227"/>
      <c r="B76" s="1313" t="s">
        <v>3376</v>
      </c>
      <c r="C76" s="1329">
        <v>106207398</v>
      </c>
      <c r="D76" s="1383" t="s">
        <v>3377</v>
      </c>
      <c r="G76" s="2633"/>
      <c r="H76" s="2633"/>
      <c r="I76" s="3592"/>
      <c r="K76" s="3656"/>
      <c r="L76" s="1281">
        <v>93.755555555555546</v>
      </c>
      <c r="M76" s="3833" t="s">
        <v>3796</v>
      </c>
      <c r="P76" s="1281"/>
    </row>
    <row r="77" spans="1:32" s="1383" customFormat="1" x14ac:dyDescent="0.25">
      <c r="A77" s="227"/>
      <c r="B77" s="1313" t="s">
        <v>3423</v>
      </c>
      <c r="C77" s="1313" t="s">
        <v>3423</v>
      </c>
      <c r="D77" s="1383" t="s">
        <v>3427</v>
      </c>
      <c r="G77" s="2633"/>
      <c r="H77" s="2633"/>
      <c r="I77" s="3681"/>
      <c r="K77" s="3656"/>
      <c r="L77" s="1281"/>
      <c r="M77" s="3833"/>
      <c r="P77" s="1281"/>
    </row>
    <row r="78" spans="1:32" s="1383" customFormat="1" x14ac:dyDescent="0.25">
      <c r="A78" s="227"/>
      <c r="B78" s="1313" t="s">
        <v>3424</v>
      </c>
      <c r="C78" s="1313" t="s">
        <v>3424</v>
      </c>
      <c r="D78" s="1383" t="s">
        <v>3428</v>
      </c>
      <c r="G78" s="2633"/>
      <c r="H78" s="2633"/>
      <c r="I78" s="3681"/>
      <c r="K78" s="3656"/>
      <c r="L78" s="1281">
        <v>454.63333333333333</v>
      </c>
      <c r="M78" s="3833" t="s">
        <v>3796</v>
      </c>
      <c r="P78" s="1281"/>
    </row>
    <row r="79" spans="1:32" s="1383" customFormat="1" x14ac:dyDescent="0.25">
      <c r="A79" s="227"/>
      <c r="B79" s="1313" t="s">
        <v>3425</v>
      </c>
      <c r="C79" s="1313" t="s">
        <v>3425</v>
      </c>
      <c r="D79" s="1383" t="s">
        <v>3429</v>
      </c>
      <c r="G79" s="2633"/>
      <c r="H79" s="2633"/>
      <c r="I79" s="3681"/>
      <c r="K79" s="3656"/>
      <c r="L79" s="1281">
        <v>112.72222222222223</v>
      </c>
      <c r="M79" s="3833" t="s">
        <v>3796</v>
      </c>
      <c r="P79" s="1281"/>
    </row>
    <row r="80" spans="1:32" s="1383" customFormat="1" x14ac:dyDescent="0.25">
      <c r="A80" s="227"/>
      <c r="B80" s="1313" t="s">
        <v>3426</v>
      </c>
      <c r="C80" s="1313" t="s">
        <v>3426</v>
      </c>
      <c r="D80" s="1383" t="s">
        <v>3430</v>
      </c>
      <c r="G80" s="2633"/>
      <c r="H80" s="2633"/>
      <c r="I80" s="3681"/>
      <c r="K80" s="3656"/>
      <c r="L80" s="1281">
        <v>281.01111111111112</v>
      </c>
      <c r="M80" s="3833" t="s">
        <v>3796</v>
      </c>
      <c r="P80" s="1281"/>
    </row>
    <row r="81" spans="1:16" s="1383" customFormat="1" x14ac:dyDescent="0.25">
      <c r="A81" s="227" t="s">
        <v>3261</v>
      </c>
      <c r="B81" s="1313"/>
      <c r="C81" s="3593">
        <v>106206664</v>
      </c>
      <c r="D81" s="14" t="s">
        <v>3263</v>
      </c>
      <c r="G81" s="2633"/>
      <c r="H81" s="2633"/>
      <c r="I81" s="3592"/>
      <c r="J81" s="1383">
        <v>156.91</v>
      </c>
      <c r="K81" s="3656"/>
      <c r="L81" s="1281">
        <v>161.18888888888887</v>
      </c>
      <c r="M81" s="3833" t="s">
        <v>3796</v>
      </c>
      <c r="P81" s="1281">
        <f>J81/0.6</f>
        <v>261.51666666666665</v>
      </c>
    </row>
    <row r="82" spans="1:16" s="1383" customFormat="1" x14ac:dyDescent="0.25">
      <c r="A82" s="227" t="s">
        <v>3262</v>
      </c>
      <c r="B82" s="1313"/>
      <c r="C82" s="3593">
        <v>106206663</v>
      </c>
      <c r="D82" s="14" t="s">
        <v>3264</v>
      </c>
      <c r="G82" s="2633"/>
      <c r="H82" s="2633"/>
      <c r="I82" s="3592"/>
      <c r="J82" s="1383">
        <v>103.9</v>
      </c>
      <c r="K82" s="3656"/>
      <c r="L82" s="1281">
        <v>106.65555555555555</v>
      </c>
      <c r="M82" s="3833" t="s">
        <v>3796</v>
      </c>
      <c r="P82" s="1281">
        <f>J82/0.8</f>
        <v>129.875</v>
      </c>
    </row>
    <row r="83" spans="1:16" s="1383" customFormat="1" x14ac:dyDescent="0.25">
      <c r="A83" s="227"/>
      <c r="B83" s="1313" t="s">
        <v>4124</v>
      </c>
      <c r="C83" s="3593">
        <v>106209260</v>
      </c>
      <c r="D83" s="14" t="s">
        <v>4125</v>
      </c>
      <c r="G83" s="2633"/>
      <c r="H83" s="2633"/>
      <c r="I83" s="3660"/>
      <c r="K83" s="3656"/>
      <c r="L83" s="1281">
        <v>641.44000000000005</v>
      </c>
      <c r="M83" s="3833"/>
      <c r="P83" s="1281">
        <v>714.1</v>
      </c>
    </row>
    <row r="84" spans="1:16" s="1383" customFormat="1" x14ac:dyDescent="0.25">
      <c r="A84" s="227" t="s">
        <v>3380</v>
      </c>
      <c r="B84" s="1313"/>
      <c r="C84" s="3593" t="s">
        <v>3378</v>
      </c>
      <c r="D84" s="14" t="s">
        <v>3379</v>
      </c>
      <c r="G84" s="2633"/>
      <c r="H84" s="2633"/>
      <c r="I84" s="3660"/>
      <c r="K84" s="3656">
        <v>13.91</v>
      </c>
      <c r="L84" s="1281"/>
      <c r="M84" s="3833"/>
      <c r="O84" s="410">
        <f>(K84/0.4)</f>
        <v>34.774999999999999</v>
      </c>
      <c r="P84" s="410">
        <f>(K84/0.6)</f>
        <v>23.183333333333334</v>
      </c>
    </row>
    <row r="85" spans="1:16" s="1383" customFormat="1" x14ac:dyDescent="0.25">
      <c r="A85" s="227"/>
      <c r="B85" s="1313" t="s">
        <v>3410</v>
      </c>
      <c r="C85" s="3593">
        <v>106206891</v>
      </c>
      <c r="D85" s="14" t="s">
        <v>3411</v>
      </c>
      <c r="G85" s="2633"/>
      <c r="H85" s="2633"/>
      <c r="I85" s="3680"/>
      <c r="K85" s="3656"/>
      <c r="L85" s="1281">
        <v>283.17777777777781</v>
      </c>
      <c r="M85" s="3833" t="s">
        <v>3796</v>
      </c>
      <c r="P85" s="1281"/>
    </row>
    <row r="86" spans="1:16" s="1383" customFormat="1" x14ac:dyDescent="0.25">
      <c r="A86" s="227"/>
      <c r="B86" s="1313" t="s">
        <v>3487</v>
      </c>
      <c r="C86" s="3593">
        <v>106205357</v>
      </c>
      <c r="D86" s="14" t="s">
        <v>3488</v>
      </c>
      <c r="G86" s="2633"/>
      <c r="H86" s="2633"/>
      <c r="I86" s="3690"/>
      <c r="K86" s="3656"/>
      <c r="L86" s="1281">
        <v>9.9</v>
      </c>
      <c r="M86" s="3833" t="s">
        <v>3796</v>
      </c>
      <c r="P86" s="1281"/>
    </row>
    <row r="87" spans="1:16" s="1383" customFormat="1" x14ac:dyDescent="0.25">
      <c r="A87" s="227"/>
      <c r="B87" s="1313" t="s">
        <v>3567</v>
      </c>
      <c r="C87" s="3593">
        <v>106205739</v>
      </c>
      <c r="D87" s="14" t="s">
        <v>3568</v>
      </c>
      <c r="G87" s="2633"/>
      <c r="H87" s="2633"/>
      <c r="I87" s="3692"/>
      <c r="K87" s="3656">
        <v>485.88</v>
      </c>
      <c r="L87" s="1281">
        <v>528.86666666666667</v>
      </c>
      <c r="M87" s="3833" t="s">
        <v>3796</v>
      </c>
      <c r="O87" s="410">
        <v>629.77</v>
      </c>
      <c r="P87" s="1281">
        <v>522.07000000000005</v>
      </c>
    </row>
    <row r="88" spans="1:16" s="1383" customFormat="1" x14ac:dyDescent="0.25">
      <c r="A88" s="227" t="s">
        <v>3753</v>
      </c>
      <c r="B88" s="1313" t="s">
        <v>3881</v>
      </c>
      <c r="C88" s="1329">
        <v>106208743</v>
      </c>
      <c r="D88" s="1383" t="s">
        <v>3759</v>
      </c>
      <c r="E88" s="1383" t="s">
        <v>3757</v>
      </c>
      <c r="F88" s="1383" t="s">
        <v>3758</v>
      </c>
      <c r="G88" s="2633"/>
      <c r="H88" s="2633"/>
      <c r="I88" s="3803"/>
      <c r="K88" s="3656"/>
      <c r="L88" s="1281">
        <v>131.29</v>
      </c>
      <c r="M88" s="3833"/>
      <c r="O88" s="410">
        <v>322.83</v>
      </c>
      <c r="P88" s="1281">
        <v>215.22</v>
      </c>
    </row>
    <row r="89" spans="1:16" s="1383" customFormat="1" x14ac:dyDescent="0.25">
      <c r="A89" s="227" t="s">
        <v>3873</v>
      </c>
      <c r="B89" s="1313" t="s">
        <v>3872</v>
      </c>
      <c r="C89" s="3593">
        <v>106209363</v>
      </c>
      <c r="D89" s="14" t="s">
        <v>3871</v>
      </c>
      <c r="G89" s="2633"/>
      <c r="H89" s="2633"/>
      <c r="I89" s="3692"/>
      <c r="K89" s="3656"/>
      <c r="L89" s="1281">
        <v>178</v>
      </c>
      <c r="M89" s="3833"/>
      <c r="O89" s="1383">
        <v>352.68</v>
      </c>
      <c r="P89" s="1281">
        <v>251.19</v>
      </c>
    </row>
    <row r="90" spans="1:16" s="1383" customFormat="1" x14ac:dyDescent="0.25">
      <c r="A90" s="2633"/>
      <c r="E90" s="228" t="s">
        <v>326</v>
      </c>
      <c r="F90" s="228" t="s">
        <v>12</v>
      </c>
      <c r="G90" s="2633" t="s">
        <v>448</v>
      </c>
      <c r="H90" s="2633" t="s">
        <v>415</v>
      </c>
      <c r="I90" s="2632" t="s">
        <v>344</v>
      </c>
      <c r="K90" s="3656"/>
      <c r="L90" s="1281"/>
      <c r="M90" s="3833"/>
    </row>
    <row r="91" spans="1:16" s="1383" customFormat="1" x14ac:dyDescent="0.25">
      <c r="A91" s="2633"/>
      <c r="B91" s="223" t="s">
        <v>376</v>
      </c>
      <c r="C91" s="223" t="s">
        <v>377</v>
      </c>
      <c r="D91" s="223"/>
      <c r="E91" s="142"/>
      <c r="F91" s="227"/>
      <c r="G91" s="227"/>
      <c r="H91" s="227"/>
      <c r="I91" s="224"/>
      <c r="K91" s="68"/>
      <c r="L91" s="68"/>
      <c r="M91" s="3833"/>
    </row>
    <row r="92" spans="1:16" s="1383" customFormat="1" x14ac:dyDescent="0.25">
      <c r="A92" s="2633"/>
      <c r="B92" s="223" t="s">
        <v>378</v>
      </c>
      <c r="C92" s="223" t="s">
        <v>379</v>
      </c>
      <c r="D92" s="223"/>
      <c r="E92" s="142">
        <v>106201727</v>
      </c>
      <c r="F92" s="2633">
        <v>109.35</v>
      </c>
      <c r="G92" s="2633"/>
      <c r="H92" s="2633"/>
      <c r="I92" s="2632"/>
      <c r="L92" s="68"/>
      <c r="M92" s="3833"/>
    </row>
    <row r="93" spans="1:16" s="1383" customFormat="1" x14ac:dyDescent="0.25">
      <c r="A93" s="2633"/>
      <c r="B93" s="223" t="s">
        <v>380</v>
      </c>
      <c r="C93" s="223" t="s">
        <v>381</v>
      </c>
      <c r="D93" s="223"/>
      <c r="E93" s="142"/>
      <c r="F93" s="2633"/>
      <c r="G93" s="2633"/>
      <c r="H93" s="2633"/>
      <c r="I93" s="2632"/>
      <c r="L93" s="68"/>
      <c r="M93" s="3833"/>
    </row>
    <row r="94" spans="1:16" s="1383" customFormat="1" x14ac:dyDescent="0.25">
      <c r="A94" s="2633"/>
      <c r="B94" s="223" t="s">
        <v>382</v>
      </c>
      <c r="C94" s="223" t="s">
        <v>383</v>
      </c>
      <c r="D94" s="223"/>
      <c r="E94" s="142">
        <v>106202127</v>
      </c>
      <c r="F94" s="2633">
        <v>104.62</v>
      </c>
      <c r="G94" s="2633"/>
      <c r="H94" s="2633"/>
      <c r="I94" s="2632"/>
      <c r="L94" s="68"/>
      <c r="M94" s="3833"/>
    </row>
    <row r="95" spans="1:16" s="1383" customFormat="1" x14ac:dyDescent="0.25">
      <c r="A95" s="2633"/>
      <c r="B95" s="223" t="s">
        <v>447</v>
      </c>
      <c r="C95" s="223" t="s">
        <v>449</v>
      </c>
      <c r="D95" s="223"/>
      <c r="E95" s="142">
        <v>106201984</v>
      </c>
      <c r="F95" s="2633">
        <v>101.57</v>
      </c>
      <c r="G95" s="141"/>
      <c r="H95" s="2633"/>
      <c r="I95" s="2632"/>
      <c r="L95" s="68"/>
      <c r="M95" s="3833"/>
    </row>
    <row r="96" spans="1:16" s="1383" customFormat="1" x14ac:dyDescent="0.25">
      <c r="A96" s="2633"/>
      <c r="B96" s="223" t="s">
        <v>384</v>
      </c>
      <c r="C96" s="223" t="s">
        <v>450</v>
      </c>
      <c r="D96" s="223"/>
      <c r="E96" s="142">
        <v>106202253</v>
      </c>
      <c r="F96" s="2633">
        <v>131.04</v>
      </c>
      <c r="G96" s="2633"/>
      <c r="H96" s="2633"/>
      <c r="I96" s="2632"/>
      <c r="L96" s="68"/>
      <c r="M96" s="3833"/>
    </row>
    <row r="97" spans="1:13" s="1383" customFormat="1" x14ac:dyDescent="0.25">
      <c r="A97" s="2633"/>
      <c r="B97" s="1360" t="s">
        <v>385</v>
      </c>
      <c r="C97" s="1360" t="s">
        <v>386</v>
      </c>
      <c r="D97" s="1351"/>
      <c r="E97" s="142"/>
      <c r="F97" s="2633"/>
      <c r="G97" s="2633"/>
      <c r="H97" s="2633"/>
      <c r="I97" s="2632"/>
      <c r="L97" s="68"/>
      <c r="M97" s="3833"/>
    </row>
    <row r="98" spans="1:13" s="1383" customFormat="1" x14ac:dyDescent="0.25">
      <c r="A98" s="2633"/>
      <c r="B98" s="223" t="s">
        <v>387</v>
      </c>
      <c r="C98" s="223" t="s">
        <v>388</v>
      </c>
      <c r="D98" s="223"/>
      <c r="E98" s="142">
        <v>106202254</v>
      </c>
      <c r="F98" s="2633">
        <v>226.28</v>
      </c>
      <c r="G98" s="2633"/>
      <c r="H98" s="2633"/>
      <c r="I98" s="2632"/>
      <c r="L98" s="68"/>
      <c r="M98" s="3833"/>
    </row>
    <row r="99" spans="1:13" s="1383" customFormat="1" x14ac:dyDescent="0.25">
      <c r="A99" s="2633"/>
      <c r="B99" s="223" t="s">
        <v>389</v>
      </c>
      <c r="C99" s="223" t="s">
        <v>390</v>
      </c>
      <c r="D99" s="223"/>
      <c r="E99" s="142"/>
      <c r="F99" s="227"/>
      <c r="G99" s="227"/>
      <c r="H99" s="227"/>
      <c r="I99" s="224"/>
      <c r="L99" s="68"/>
      <c r="M99" s="3833"/>
    </row>
    <row r="100" spans="1:13" s="1383" customFormat="1" x14ac:dyDescent="0.25">
      <c r="A100" s="2633"/>
      <c r="B100" s="1360" t="s">
        <v>391</v>
      </c>
      <c r="C100" s="1360" t="s">
        <v>392</v>
      </c>
      <c r="D100" s="223"/>
      <c r="E100" s="142"/>
      <c r="F100" s="2633"/>
      <c r="G100" s="2633"/>
      <c r="H100" s="2633"/>
      <c r="I100" s="2632"/>
      <c r="L100" s="68"/>
      <c r="M100" s="3833"/>
    </row>
    <row r="101" spans="1:13" s="1383" customFormat="1" x14ac:dyDescent="0.25">
      <c r="A101" s="2633"/>
      <c r="B101" s="223" t="s">
        <v>373</v>
      </c>
      <c r="C101" s="223" t="s">
        <v>393</v>
      </c>
      <c r="D101" s="223"/>
      <c r="E101" s="142"/>
      <c r="F101" s="2633"/>
      <c r="G101" s="2633"/>
      <c r="H101" s="2633"/>
      <c r="I101" s="2632"/>
      <c r="L101" s="68"/>
      <c r="M101" s="3833"/>
    </row>
    <row r="102" spans="1:13" s="1383" customFormat="1" x14ac:dyDescent="0.25">
      <c r="A102" s="2633"/>
      <c r="B102" s="223" t="s">
        <v>1424</v>
      </c>
      <c r="C102" s="223" t="s">
        <v>1423</v>
      </c>
      <c r="D102" s="223"/>
      <c r="E102" s="142">
        <v>106202676</v>
      </c>
      <c r="F102" s="2633"/>
      <c r="G102" s="2633"/>
      <c r="H102" s="2633"/>
      <c r="I102" s="2632"/>
      <c r="L102" s="68"/>
      <c r="M102" s="3833"/>
    </row>
    <row r="103" spans="1:13" s="1383" customFormat="1" x14ac:dyDescent="0.25">
      <c r="A103" s="2633"/>
      <c r="B103" s="223"/>
      <c r="C103" s="223"/>
      <c r="D103" s="223"/>
      <c r="E103" s="142"/>
      <c r="F103" s="2633"/>
      <c r="G103" s="2633"/>
      <c r="H103" s="2633"/>
      <c r="I103" s="2632"/>
      <c r="L103" s="68"/>
      <c r="M103" s="68"/>
    </row>
    <row r="104" spans="1:13" s="1383" customFormat="1" x14ac:dyDescent="0.25">
      <c r="A104" s="2633"/>
      <c r="B104" s="223" t="s">
        <v>1090</v>
      </c>
      <c r="C104" s="4451" t="s">
        <v>1092</v>
      </c>
      <c r="D104" s="4451"/>
      <c r="E104" s="142">
        <v>106203175</v>
      </c>
      <c r="F104" s="3454">
        <v>9.69</v>
      </c>
      <c r="G104" s="2633"/>
      <c r="H104" s="2633"/>
      <c r="I104" s="1281">
        <f>(F104/0.6)*1.1</f>
        <v>17.765000000000001</v>
      </c>
      <c r="L104" s="68"/>
      <c r="M104" s="68"/>
    </row>
    <row r="105" spans="1:13" s="1383" customFormat="1" x14ac:dyDescent="0.25">
      <c r="A105" s="2633"/>
      <c r="B105" s="223" t="s">
        <v>1091</v>
      </c>
      <c r="C105" s="4451"/>
      <c r="D105" s="4451"/>
      <c r="E105" s="142"/>
      <c r="F105" s="794"/>
      <c r="G105" s="2633"/>
      <c r="H105" s="2633"/>
      <c r="I105" s="2632"/>
      <c r="L105" s="68"/>
      <c r="M105" s="68"/>
    </row>
    <row r="106" spans="1:13" s="1383" customFormat="1" x14ac:dyDescent="0.25">
      <c r="A106" s="4452" t="s">
        <v>744</v>
      </c>
      <c r="B106" s="223" t="s">
        <v>412</v>
      </c>
      <c r="C106" s="223" t="s">
        <v>413</v>
      </c>
      <c r="D106" s="223"/>
      <c r="E106" s="142">
        <v>106200822</v>
      </c>
      <c r="F106" s="2633">
        <v>73.040000000000006</v>
      </c>
      <c r="G106" s="2633"/>
      <c r="H106" s="2633"/>
      <c r="I106" s="2632"/>
      <c r="L106" s="68"/>
      <c r="M106" s="68"/>
    </row>
    <row r="107" spans="1:13" s="1383" customFormat="1" x14ac:dyDescent="0.25">
      <c r="A107" s="4452"/>
      <c r="B107" s="223" t="s">
        <v>409</v>
      </c>
      <c r="C107" s="223" t="s">
        <v>394</v>
      </c>
      <c r="D107" s="223"/>
      <c r="E107" s="142">
        <v>106202383</v>
      </c>
      <c r="F107" s="2633">
        <v>72.19</v>
      </c>
      <c r="G107" s="2633"/>
      <c r="H107" s="2633"/>
      <c r="I107" s="2632"/>
      <c r="L107" s="68"/>
      <c r="M107" s="68"/>
    </row>
    <row r="108" spans="1:13" s="1383" customFormat="1" x14ac:dyDescent="0.25">
      <c r="A108" s="4452"/>
      <c r="B108" s="223" t="s">
        <v>922</v>
      </c>
      <c r="C108" s="223" t="s">
        <v>921</v>
      </c>
      <c r="D108" s="223"/>
      <c r="E108" s="142">
        <v>106200757</v>
      </c>
      <c r="F108" s="2633"/>
      <c r="G108" s="2633"/>
      <c r="H108" s="2633"/>
      <c r="I108" s="2632"/>
      <c r="L108" s="68"/>
      <c r="M108" s="68"/>
    </row>
    <row r="109" spans="1:13" s="1383" customFormat="1" x14ac:dyDescent="0.25">
      <c r="A109" s="4452"/>
      <c r="B109" s="223" t="s">
        <v>410</v>
      </c>
      <c r="C109" s="223" t="s">
        <v>414</v>
      </c>
      <c r="D109" s="223"/>
      <c r="E109" s="142">
        <v>106200815</v>
      </c>
      <c r="F109" s="2633">
        <v>68.510000000000005</v>
      </c>
      <c r="G109" s="2633"/>
      <c r="H109" s="2633"/>
      <c r="I109" s="2632"/>
      <c r="L109" s="68"/>
      <c r="M109" s="68"/>
    </row>
    <row r="110" spans="1:13" s="1383" customFormat="1" x14ac:dyDescent="0.25">
      <c r="A110" s="2633"/>
      <c r="B110" s="223" t="s">
        <v>411</v>
      </c>
      <c r="C110" s="223" t="s">
        <v>1013</v>
      </c>
      <c r="D110" s="223"/>
      <c r="E110" s="142">
        <v>106200802</v>
      </c>
      <c r="F110" s="2633">
        <v>68.510000000000005</v>
      </c>
      <c r="G110" s="2633"/>
      <c r="H110" s="2633"/>
      <c r="I110" s="2632"/>
      <c r="L110" s="68"/>
      <c r="M110" s="68"/>
    </row>
    <row r="111" spans="1:13" s="1383" customFormat="1" x14ac:dyDescent="0.25">
      <c r="A111" s="2633"/>
      <c r="B111" s="223" t="s">
        <v>1425</v>
      </c>
      <c r="C111" s="223" t="s">
        <v>1343</v>
      </c>
      <c r="D111" s="223"/>
      <c r="E111" s="142">
        <v>106204520</v>
      </c>
      <c r="F111" s="2633"/>
      <c r="G111" s="2633"/>
      <c r="H111" s="2633"/>
      <c r="I111" s="2632"/>
      <c r="L111" s="68"/>
      <c r="M111" s="68"/>
    </row>
    <row r="112" spans="1:13" s="1383" customFormat="1" ht="15.75" thickBot="1" x14ac:dyDescent="0.3">
      <c r="A112" s="2633"/>
      <c r="B112" s="223"/>
      <c r="C112" s="223"/>
      <c r="D112" s="223"/>
      <c r="E112" s="142"/>
      <c r="F112" s="2633"/>
      <c r="G112" s="2633"/>
      <c r="H112" s="2633"/>
      <c r="I112" s="2632"/>
      <c r="L112" s="68"/>
      <c r="M112" s="68"/>
    </row>
    <row r="113" spans="1:13" s="1383" customFormat="1" x14ac:dyDescent="0.25">
      <c r="A113" s="2633"/>
      <c r="B113" s="226" t="s">
        <v>395</v>
      </c>
      <c r="G113" s="4453" t="s">
        <v>832</v>
      </c>
      <c r="H113" s="4454"/>
      <c r="I113" s="2632"/>
      <c r="L113" s="68"/>
      <c r="M113" s="68"/>
    </row>
    <row r="114" spans="1:13" s="1383" customFormat="1" x14ac:dyDescent="0.25">
      <c r="A114" s="2633"/>
      <c r="G114" s="4455"/>
      <c r="H114" s="4456"/>
      <c r="I114" s="2632"/>
      <c r="L114" s="68"/>
      <c r="M114" s="68"/>
    </row>
    <row r="115" spans="1:13" s="1383" customFormat="1" ht="15.75" thickBot="1" x14ac:dyDescent="0.3">
      <c r="A115" s="2633"/>
      <c r="B115" s="1351"/>
      <c r="C115" s="223"/>
      <c r="D115" s="223"/>
      <c r="E115" s="142"/>
      <c r="F115" s="2633"/>
      <c r="G115" s="4457"/>
      <c r="H115" s="4458"/>
      <c r="I115" s="2632"/>
      <c r="L115" s="68"/>
      <c r="M115" s="68"/>
    </row>
    <row r="116" spans="1:13" s="1383" customFormat="1" x14ac:dyDescent="0.25">
      <c r="A116" s="2633"/>
      <c r="B116" s="223" t="s">
        <v>688</v>
      </c>
      <c r="C116" s="223" t="s">
        <v>685</v>
      </c>
      <c r="D116" s="223"/>
      <c r="E116" s="4459" t="s">
        <v>905</v>
      </c>
      <c r="F116" s="2633"/>
      <c r="G116" s="2633"/>
      <c r="H116" s="2633"/>
      <c r="I116" s="2632"/>
      <c r="L116" s="68"/>
      <c r="M116" s="68"/>
    </row>
    <row r="117" spans="1:13" s="1383" customFormat="1" x14ac:dyDescent="0.25">
      <c r="A117" s="2633"/>
      <c r="B117" s="223" t="s">
        <v>687</v>
      </c>
      <c r="C117" s="223" t="s">
        <v>686</v>
      </c>
      <c r="D117" s="223"/>
      <c r="E117" s="4459"/>
      <c r="F117" s="2633"/>
      <c r="G117" s="2633"/>
      <c r="H117" s="2633"/>
      <c r="I117" s="2632"/>
      <c r="L117" s="68"/>
      <c r="M117" s="68"/>
    </row>
    <row r="118" spans="1:13" s="1383" customFormat="1" x14ac:dyDescent="0.25">
      <c r="A118" s="2633"/>
      <c r="B118" s="223" t="s">
        <v>901</v>
      </c>
      <c r="C118" s="223" t="s">
        <v>903</v>
      </c>
      <c r="D118" s="223"/>
      <c r="E118" s="4459"/>
      <c r="F118" s="75" t="s">
        <v>928</v>
      </c>
      <c r="G118" s="2633"/>
      <c r="H118" s="2633"/>
      <c r="I118" s="2632"/>
      <c r="L118" s="68"/>
      <c r="M118" s="68"/>
    </row>
    <row r="119" spans="1:13" s="1383" customFormat="1" x14ac:dyDescent="0.25">
      <c r="A119" s="2633"/>
      <c r="B119" s="223" t="s">
        <v>902</v>
      </c>
      <c r="C119" s="223" t="s">
        <v>904</v>
      </c>
      <c r="D119" s="223"/>
      <c r="E119" s="4459"/>
      <c r="F119" s="2633"/>
      <c r="G119" s="2633"/>
      <c r="H119" s="2633"/>
      <c r="I119" s="2632"/>
      <c r="L119" s="68"/>
      <c r="M119" s="68"/>
    </row>
    <row r="120" spans="1:13" s="1383" customFormat="1" x14ac:dyDescent="0.25">
      <c r="A120" s="2633"/>
      <c r="B120" s="223"/>
      <c r="C120" s="223"/>
      <c r="D120" s="223"/>
      <c r="E120" s="2634"/>
      <c r="F120" s="2633"/>
      <c r="G120" s="2633"/>
      <c r="H120" s="2633"/>
      <c r="I120" s="2632"/>
      <c r="L120" s="68"/>
      <c r="M120" s="68"/>
    </row>
    <row r="121" spans="1:13" s="1383" customFormat="1" x14ac:dyDescent="0.25">
      <c r="A121" s="2633"/>
      <c r="B121" s="223" t="s">
        <v>1289</v>
      </c>
      <c r="C121" s="14" t="s">
        <v>1290</v>
      </c>
      <c r="D121" s="223"/>
      <c r="E121" s="2634">
        <v>106202493</v>
      </c>
      <c r="F121" s="2633">
        <v>152.13</v>
      </c>
      <c r="G121" s="2633"/>
      <c r="H121" s="227">
        <f>F121/0.6</f>
        <v>253.55</v>
      </c>
      <c r="I121" s="227">
        <f>F121/0.4</f>
        <v>380.32499999999999</v>
      </c>
      <c r="L121" s="68"/>
      <c r="M121" s="68"/>
    </row>
    <row r="122" spans="1:13" s="1383" customFormat="1" x14ac:dyDescent="0.25">
      <c r="A122" s="2633"/>
      <c r="B122" s="223"/>
      <c r="C122" s="223"/>
      <c r="D122" s="223"/>
      <c r="E122" s="2634"/>
      <c r="F122" s="2633"/>
      <c r="G122" s="2633"/>
      <c r="H122" s="2633"/>
      <c r="I122" s="2632"/>
      <c r="L122" s="68"/>
      <c r="M122" s="68"/>
    </row>
    <row r="123" spans="1:13" s="1383" customFormat="1" x14ac:dyDescent="0.25">
      <c r="A123" s="2633"/>
      <c r="G123" s="2633"/>
      <c r="H123" s="2633"/>
      <c r="I123" s="2632"/>
      <c r="L123" s="68"/>
      <c r="M123" s="68"/>
    </row>
    <row r="124" spans="1:13" s="1383" customFormat="1" x14ac:dyDescent="0.25">
      <c r="A124" s="2633"/>
      <c r="B124" s="1" t="s">
        <v>396</v>
      </c>
      <c r="C124" s="1" t="s">
        <v>397</v>
      </c>
      <c r="E124" s="1383" t="s">
        <v>398</v>
      </c>
      <c r="G124" s="2633"/>
      <c r="H124" s="2633"/>
      <c r="I124" s="2632"/>
      <c r="L124" s="68"/>
      <c r="M124" s="68"/>
    </row>
    <row r="125" spans="1:13" s="1383" customFormat="1" x14ac:dyDescent="0.25">
      <c r="A125" s="2633"/>
      <c r="B125" s="1" t="s">
        <v>399</v>
      </c>
      <c r="C125" s="1" t="s">
        <v>400</v>
      </c>
      <c r="E125" s="1383" t="s">
        <v>398</v>
      </c>
      <c r="G125" s="2633"/>
      <c r="H125" s="2633"/>
      <c r="I125" s="2632"/>
      <c r="L125" s="68"/>
      <c r="M125" s="68"/>
    </row>
    <row r="126" spans="1:13" s="1383" customFormat="1" x14ac:dyDescent="0.25">
      <c r="A126" s="2633"/>
      <c r="B126" s="1" t="s">
        <v>401</v>
      </c>
      <c r="C126" s="1" t="s">
        <v>402</v>
      </c>
      <c r="E126" s="1383" t="s">
        <v>398</v>
      </c>
      <c r="G126" s="2633"/>
      <c r="H126" s="2633"/>
      <c r="I126" s="2632"/>
      <c r="L126" s="68"/>
      <c r="M126" s="68"/>
    </row>
    <row r="127" spans="1:13" s="1383" customFormat="1" x14ac:dyDescent="0.25">
      <c r="A127" s="2633"/>
      <c r="B127" s="1" t="s">
        <v>403</v>
      </c>
      <c r="C127" s="1" t="s">
        <v>404</v>
      </c>
      <c r="E127" s="1383" t="s">
        <v>405</v>
      </c>
      <c r="G127" s="2633"/>
      <c r="H127" s="2633"/>
      <c r="I127" s="2632"/>
      <c r="L127" s="68"/>
      <c r="M127" s="68"/>
    </row>
    <row r="128" spans="1:13" s="1383" customFormat="1" x14ac:dyDescent="0.25">
      <c r="A128" s="2633"/>
      <c r="G128" s="2633"/>
      <c r="H128" s="2633"/>
      <c r="I128" s="2632"/>
      <c r="L128" s="68"/>
      <c r="M128" s="68"/>
    </row>
    <row r="129" spans="1:13" s="1383" customFormat="1" x14ac:dyDescent="0.25">
      <c r="A129" s="2633"/>
      <c r="G129" s="2633"/>
      <c r="H129" s="2633"/>
      <c r="I129" s="2632"/>
      <c r="L129" s="68"/>
      <c r="M129" s="68"/>
    </row>
    <row r="130" spans="1:13" s="1383" customFormat="1" x14ac:dyDescent="0.25">
      <c r="A130" s="2633"/>
      <c r="B130" s="1" t="s">
        <v>417</v>
      </c>
      <c r="C130" s="1" t="s">
        <v>407</v>
      </c>
      <c r="E130" s="122">
        <v>106113414</v>
      </c>
      <c r="G130" s="2633"/>
      <c r="H130" s="2633"/>
      <c r="I130" s="2632"/>
      <c r="L130" s="68"/>
      <c r="M130" s="68"/>
    </row>
    <row r="131" spans="1:13" s="1383" customFormat="1" x14ac:dyDescent="0.25">
      <c r="A131" s="2633"/>
      <c r="G131" s="2633"/>
      <c r="H131" s="2633"/>
      <c r="I131" s="2632"/>
      <c r="L131" s="68"/>
      <c r="M131" s="68"/>
    </row>
    <row r="132" spans="1:13" s="1383" customFormat="1" x14ac:dyDescent="0.25">
      <c r="A132" s="2633"/>
      <c r="B132" s="1383" t="s">
        <v>2660</v>
      </c>
      <c r="C132" s="1383" t="s">
        <v>990</v>
      </c>
      <c r="E132" s="2633">
        <v>106202121</v>
      </c>
      <c r="F132" s="2633">
        <v>77.98</v>
      </c>
      <c r="G132" s="227">
        <v>111.4</v>
      </c>
      <c r="H132" s="227">
        <v>111.4</v>
      </c>
      <c r="I132" s="2632"/>
      <c r="L132" s="68"/>
      <c r="M132" s="68"/>
    </row>
    <row r="133" spans="1:13" s="1383" customFormat="1" x14ac:dyDescent="0.25">
      <c r="A133" s="2633"/>
      <c r="B133" s="1383" t="s">
        <v>460</v>
      </c>
      <c r="C133" s="1383" t="s">
        <v>682</v>
      </c>
      <c r="E133" s="2633">
        <v>106202476</v>
      </c>
      <c r="F133" s="2633">
        <v>14.59</v>
      </c>
      <c r="G133" s="2633"/>
      <c r="H133" s="2633"/>
      <c r="I133" s="2632"/>
      <c r="L133" s="68"/>
      <c r="M133" s="68"/>
    </row>
    <row r="134" spans="1:13" s="1383" customFormat="1" x14ac:dyDescent="0.25">
      <c r="A134" s="2633"/>
      <c r="B134" s="1383" t="s">
        <v>1572</v>
      </c>
      <c r="C134" s="1383" t="s">
        <v>1574</v>
      </c>
      <c r="E134" s="2633">
        <v>106203379</v>
      </c>
      <c r="F134" s="2633">
        <v>37.619999999999997</v>
      </c>
      <c r="G134" s="238">
        <f>F134/0.8</f>
        <v>47.024999999999991</v>
      </c>
      <c r="H134" s="2633"/>
      <c r="I134" s="2632"/>
      <c r="L134" s="68"/>
      <c r="M134" s="68"/>
    </row>
    <row r="135" spans="1:13" s="1383" customFormat="1" x14ac:dyDescent="0.25">
      <c r="A135" s="2633"/>
      <c r="B135" s="1383" t="s">
        <v>1466</v>
      </c>
      <c r="C135" s="1383" t="s">
        <v>1573</v>
      </c>
      <c r="E135" s="2633">
        <v>106204736</v>
      </c>
      <c r="F135" s="238">
        <v>135.47</v>
      </c>
      <c r="G135" s="238">
        <f>F135/0.8</f>
        <v>169.33749999999998</v>
      </c>
      <c r="H135" s="2633"/>
      <c r="I135" s="2632"/>
      <c r="L135" s="68"/>
      <c r="M135" s="68"/>
    </row>
    <row r="136" spans="1:13" s="1383" customFormat="1" x14ac:dyDescent="0.25">
      <c r="A136" s="2633"/>
      <c r="B136" s="1383" t="s">
        <v>2969</v>
      </c>
      <c r="C136" s="1383" t="s">
        <v>2968</v>
      </c>
      <c r="E136" s="2633">
        <v>106206388</v>
      </c>
      <c r="F136" s="238"/>
      <c r="G136" s="238">
        <v>338.68</v>
      </c>
      <c r="H136" s="2633"/>
      <c r="I136" s="3113"/>
      <c r="L136" s="68"/>
      <c r="M136" s="68"/>
    </row>
    <row r="137" spans="1:13" s="1383" customFormat="1" x14ac:dyDescent="0.25">
      <c r="A137" s="2633"/>
      <c r="B137" s="1383" t="s">
        <v>2979</v>
      </c>
      <c r="C137" s="1383" t="s">
        <v>2970</v>
      </c>
      <c r="E137" s="2633">
        <v>106206596</v>
      </c>
      <c r="F137" s="238"/>
      <c r="G137" s="238">
        <v>442.46</v>
      </c>
      <c r="H137" s="2633"/>
      <c r="I137" s="3113"/>
      <c r="L137" s="68"/>
      <c r="M137" s="68"/>
    </row>
    <row r="138" spans="1:13" s="1383" customFormat="1" ht="15" customHeight="1" x14ac:dyDescent="0.25">
      <c r="A138" s="2633"/>
      <c r="B138" s="1383" t="s">
        <v>931</v>
      </c>
      <c r="C138" s="4449" t="s">
        <v>462</v>
      </c>
      <c r="D138" s="4450"/>
      <c r="E138" s="4446">
        <v>106201807</v>
      </c>
      <c r="F138" s="4442"/>
      <c r="G138" s="4442"/>
      <c r="H138" s="4442"/>
      <c r="I138" s="2632"/>
      <c r="L138" s="68"/>
      <c r="M138" s="68"/>
    </row>
    <row r="139" spans="1:13" s="1383" customFormat="1" x14ac:dyDescent="0.25">
      <c r="A139" s="2633"/>
      <c r="B139" s="1383" t="s">
        <v>206</v>
      </c>
      <c r="C139" s="4449"/>
      <c r="D139" s="4450"/>
      <c r="E139" s="4446"/>
      <c r="F139" s="4442"/>
      <c r="G139" s="4442"/>
      <c r="H139" s="4442"/>
      <c r="I139" s="2632"/>
      <c r="L139" s="68"/>
      <c r="M139" s="68"/>
    </row>
    <row r="140" spans="1:13" s="1383" customFormat="1" x14ac:dyDescent="0.25">
      <c r="A140" s="2633"/>
      <c r="B140" s="223" t="s">
        <v>895</v>
      </c>
      <c r="C140" s="223" t="s">
        <v>743</v>
      </c>
      <c r="G140" s="2633"/>
      <c r="H140" s="2633"/>
      <c r="I140" s="2632"/>
      <c r="L140" s="68"/>
      <c r="M140" s="68"/>
    </row>
    <row r="141" spans="1:13" s="1383" customFormat="1" ht="15.75" thickBot="1" x14ac:dyDescent="0.3">
      <c r="A141" s="2633"/>
      <c r="G141" s="2633"/>
      <c r="H141" s="2633"/>
      <c r="I141" s="2632"/>
      <c r="L141" s="68"/>
      <c r="M141" s="68"/>
    </row>
    <row r="142" spans="1:13" s="1383" customFormat="1" x14ac:dyDescent="0.25">
      <c r="A142" s="2633"/>
      <c r="C142" s="4447" t="s">
        <v>442</v>
      </c>
      <c r="D142" s="4448"/>
      <c r="E142" s="286"/>
      <c r="F142" s="285" t="s">
        <v>595</v>
      </c>
      <c r="G142" s="2633"/>
      <c r="H142" s="2633"/>
      <c r="I142" s="2632"/>
      <c r="L142" s="68"/>
      <c r="M142" s="68"/>
    </row>
    <row r="143" spans="1:13" s="1383" customFormat="1" ht="15.75" thickBot="1" x14ac:dyDescent="0.3">
      <c r="A143" s="2633"/>
      <c r="C143" s="287"/>
      <c r="D143" s="288" t="s">
        <v>261</v>
      </c>
      <c r="E143" s="290">
        <v>106110278</v>
      </c>
      <c r="F143" s="289" t="s">
        <v>443</v>
      </c>
      <c r="G143" s="2633"/>
      <c r="H143" s="2633"/>
      <c r="I143" s="2632"/>
      <c r="L143" s="68"/>
      <c r="M143" s="68"/>
    </row>
    <row r="144" spans="1:13" s="1383" customFormat="1" x14ac:dyDescent="0.25">
      <c r="A144" s="2633"/>
      <c r="C144" s="4447" t="s">
        <v>444</v>
      </c>
      <c r="D144" s="4448"/>
      <c r="E144" s="292"/>
      <c r="F144" s="291"/>
      <c r="G144" s="2633"/>
      <c r="H144" s="2633"/>
      <c r="I144" s="2632"/>
      <c r="L144" s="68"/>
      <c r="M144" s="68"/>
    </row>
    <row r="145" spans="1:13" s="1383" customFormat="1" ht="15.75" thickBot="1" x14ac:dyDescent="0.3">
      <c r="A145" s="2633"/>
      <c r="C145" s="293"/>
      <c r="D145" s="294" t="s">
        <v>263</v>
      </c>
      <c r="E145" s="292">
        <v>106112685</v>
      </c>
      <c r="F145" s="295" t="s">
        <v>445</v>
      </c>
      <c r="G145" s="2633"/>
      <c r="H145" s="2633"/>
      <c r="I145" s="2632"/>
      <c r="L145" s="68"/>
      <c r="M145" s="68"/>
    </row>
    <row r="146" spans="1:13" s="1383" customFormat="1" x14ac:dyDescent="0.25">
      <c r="A146" s="2633"/>
      <c r="C146" s="4447" t="s">
        <v>446</v>
      </c>
      <c r="D146" s="4448"/>
      <c r="E146" s="286"/>
      <c r="F146" s="285"/>
      <c r="G146" s="2633"/>
      <c r="H146" s="2633"/>
      <c r="I146" s="2632"/>
      <c r="L146" s="68"/>
      <c r="M146" s="68"/>
    </row>
    <row r="147" spans="1:13" s="1383" customFormat="1" ht="15.75" thickBot="1" x14ac:dyDescent="0.3">
      <c r="A147" s="2633"/>
      <c r="C147" s="287"/>
      <c r="D147" s="288" t="s">
        <v>341</v>
      </c>
      <c r="E147" s="632">
        <v>106110170</v>
      </c>
      <c r="F147" s="289" t="s">
        <v>594</v>
      </c>
      <c r="G147" s="2633"/>
      <c r="H147" s="2633"/>
      <c r="I147" s="2632"/>
      <c r="L147" s="68"/>
      <c r="M147" s="68"/>
    </row>
    <row r="148" spans="1:13" s="1383" customFormat="1" x14ac:dyDescent="0.25">
      <c r="A148" s="2633"/>
      <c r="C148" s="2633"/>
      <c r="D148" s="2633"/>
      <c r="E148" s="2632"/>
      <c r="L148" s="68"/>
      <c r="M148" s="68"/>
    </row>
    <row r="149" spans="1:13" s="1383" customFormat="1" x14ac:dyDescent="0.25">
      <c r="A149" s="2633"/>
      <c r="B149" s="1383" t="s">
        <v>3124</v>
      </c>
      <c r="C149" s="75" t="s">
        <v>3125</v>
      </c>
      <c r="D149" s="2633"/>
      <c r="E149" s="2633" t="s">
        <v>1380</v>
      </c>
      <c r="F149" s="2633" t="s">
        <v>345</v>
      </c>
      <c r="L149" s="68"/>
      <c r="M149" s="68"/>
    </row>
    <row r="150" spans="1:13" s="1383" customFormat="1" x14ac:dyDescent="0.25">
      <c r="A150" s="2633"/>
      <c r="B150" s="1383">
        <v>106203163</v>
      </c>
      <c r="C150" s="75" t="s">
        <v>3192</v>
      </c>
      <c r="D150" s="2633"/>
      <c r="E150" s="2633">
        <v>24.56</v>
      </c>
      <c r="F150" s="2633">
        <f>E150/0.8</f>
        <v>30.699999999999996</v>
      </c>
      <c r="L150" s="68"/>
      <c r="M150" s="68"/>
    </row>
    <row r="151" spans="1:13" s="1383" customFormat="1" x14ac:dyDescent="0.25">
      <c r="A151" s="2633"/>
      <c r="B151" s="1383" t="s">
        <v>917</v>
      </c>
      <c r="C151" s="1383" t="s">
        <v>918</v>
      </c>
      <c r="G151" s="2633"/>
      <c r="H151" s="2633"/>
      <c r="I151" s="2632"/>
      <c r="L151" s="68"/>
      <c r="M151" s="68"/>
    </row>
    <row r="152" spans="1:13" s="1383" customFormat="1" x14ac:dyDescent="0.25">
      <c r="A152" s="2633"/>
      <c r="B152" s="75">
        <v>106111742</v>
      </c>
      <c r="C152" s="1383" t="s">
        <v>1145</v>
      </c>
      <c r="E152" s="1383">
        <v>10.23</v>
      </c>
      <c r="F152" s="1383">
        <f>E152/0.8</f>
        <v>12.7875</v>
      </c>
      <c r="G152" s="2633"/>
      <c r="H152" s="2633"/>
      <c r="I152" s="2632"/>
      <c r="L152" s="68"/>
      <c r="M152" s="68"/>
    </row>
    <row r="153" spans="1:13" s="1383" customFormat="1" x14ac:dyDescent="0.25">
      <c r="A153" s="2633"/>
      <c r="B153" s="75" t="s">
        <v>3867</v>
      </c>
      <c r="E153" s="1383">
        <v>194.38</v>
      </c>
      <c r="F153" s="1383">
        <f>E153/0.8</f>
        <v>242.97499999999999</v>
      </c>
      <c r="G153" s="2633"/>
      <c r="H153" s="2633"/>
      <c r="I153" s="2632"/>
      <c r="L153" s="68"/>
      <c r="M153" s="68"/>
    </row>
    <row r="154" spans="1:13" s="1383" customFormat="1" x14ac:dyDescent="0.25">
      <c r="A154" s="2633"/>
      <c r="B154" s="75" t="s">
        <v>1300</v>
      </c>
      <c r="C154" s="1383" t="s">
        <v>1301</v>
      </c>
      <c r="E154" s="1383">
        <v>749.78</v>
      </c>
      <c r="F154" s="1360">
        <v>904</v>
      </c>
      <c r="G154" s="2633"/>
      <c r="H154" s="2633"/>
      <c r="I154" s="2632"/>
      <c r="L154" s="68"/>
      <c r="M154" s="68"/>
    </row>
    <row r="155" spans="1:13" s="1383" customFormat="1" x14ac:dyDescent="0.25">
      <c r="A155" s="2633"/>
      <c r="G155" s="2633"/>
      <c r="H155" s="2633"/>
      <c r="I155" s="2632"/>
      <c r="L155" s="68"/>
      <c r="M155" s="68"/>
    </row>
    <row r="156" spans="1:13" s="1383" customFormat="1" x14ac:dyDescent="0.25">
      <c r="A156" s="2633"/>
      <c r="B156" s="1383" t="s">
        <v>956</v>
      </c>
      <c r="C156" s="1383" t="s">
        <v>957</v>
      </c>
      <c r="E156" s="1383" t="s">
        <v>958</v>
      </c>
      <c r="G156" s="2633"/>
      <c r="H156" s="2633"/>
      <c r="I156" s="2632"/>
      <c r="L156" s="68"/>
      <c r="M156" s="68"/>
    </row>
    <row r="157" spans="1:13" s="1383" customFormat="1" x14ac:dyDescent="0.25">
      <c r="A157" s="2633"/>
      <c r="G157" s="2633"/>
      <c r="H157" s="2633"/>
      <c r="I157" s="2632"/>
      <c r="L157" s="68"/>
      <c r="M157" s="68"/>
    </row>
    <row r="158" spans="1:13" s="1383" customFormat="1" x14ac:dyDescent="0.25">
      <c r="A158" s="2633"/>
      <c r="E158" s="2633" t="s">
        <v>12</v>
      </c>
      <c r="F158" s="2633" t="s">
        <v>345</v>
      </c>
      <c r="G158" s="2633"/>
      <c r="H158" s="2633"/>
      <c r="I158" s="2632"/>
      <c r="L158" s="68"/>
      <c r="M158" s="68"/>
    </row>
    <row r="159" spans="1:13" s="1383" customFormat="1" ht="30" x14ac:dyDescent="0.25">
      <c r="A159" s="2633"/>
      <c r="B159" s="2635" t="s">
        <v>1011</v>
      </c>
      <c r="C159" s="928">
        <v>106203865</v>
      </c>
      <c r="D159" s="929" t="s">
        <v>964</v>
      </c>
      <c r="E159" s="930">
        <v>730.11</v>
      </c>
      <c r="F159" s="2376">
        <v>933.08</v>
      </c>
      <c r="G159" s="75" t="s">
        <v>1035</v>
      </c>
      <c r="H159" s="2633"/>
      <c r="I159" s="2632"/>
      <c r="L159" s="68"/>
      <c r="M159" s="68"/>
    </row>
    <row r="160" spans="1:13" s="1383" customFormat="1" x14ac:dyDescent="0.25">
      <c r="A160" s="2633"/>
      <c r="B160" s="2635"/>
      <c r="C160" s="928">
        <v>106116160</v>
      </c>
      <c r="D160" s="929" t="s">
        <v>965</v>
      </c>
      <c r="E160" s="930">
        <v>577.78</v>
      </c>
      <c r="F160" s="2376">
        <f>E160/0.8</f>
        <v>722.22499999999991</v>
      </c>
      <c r="G160" s="2633"/>
      <c r="H160" s="2633"/>
      <c r="I160" s="2632"/>
      <c r="L160" s="68"/>
      <c r="M160" s="68"/>
    </row>
    <row r="161" spans="1:13" s="1383" customFormat="1" x14ac:dyDescent="0.25">
      <c r="A161" s="2633"/>
      <c r="B161" s="1383" t="s">
        <v>969</v>
      </c>
      <c r="C161" s="928">
        <v>106203818</v>
      </c>
      <c r="D161" s="929" t="s">
        <v>1036</v>
      </c>
      <c r="E161" s="930">
        <v>102.67</v>
      </c>
      <c r="F161" s="3917">
        <v>137.07</v>
      </c>
      <c r="G161" s="2633" t="s">
        <v>1054</v>
      </c>
      <c r="H161" s="75" t="s">
        <v>1100</v>
      </c>
      <c r="I161" s="2632"/>
      <c r="L161" s="68"/>
      <c r="M161" s="68"/>
    </row>
    <row r="162" spans="1:13" s="1383" customFormat="1" x14ac:dyDescent="0.25">
      <c r="A162" s="2633"/>
      <c r="C162" s="928">
        <v>106203879</v>
      </c>
      <c r="D162" s="929" t="s">
        <v>966</v>
      </c>
      <c r="E162" s="930">
        <v>75.62</v>
      </c>
      <c r="F162" s="2376">
        <f>E162/0.6</f>
        <v>126.03333333333335</v>
      </c>
      <c r="G162" s="2633"/>
      <c r="H162" s="2633"/>
      <c r="I162" s="2632"/>
      <c r="L162" s="68"/>
      <c r="M162" s="68"/>
    </row>
    <row r="163" spans="1:13" s="1383" customFormat="1" x14ac:dyDescent="0.25">
      <c r="A163" s="2633"/>
      <c r="C163" s="928">
        <v>106203739</v>
      </c>
      <c r="D163" s="929" t="s">
        <v>967</v>
      </c>
      <c r="E163" s="930">
        <v>73.430000000000007</v>
      </c>
      <c r="F163" s="2376">
        <f>E163/0.6</f>
        <v>122.38333333333335</v>
      </c>
      <c r="G163" s="2633"/>
      <c r="H163" s="2633"/>
      <c r="I163" s="2632"/>
      <c r="L163" s="68"/>
      <c r="M163" s="68"/>
    </row>
    <row r="164" spans="1:13" s="1383" customFormat="1" x14ac:dyDescent="0.25">
      <c r="A164" s="2633"/>
      <c r="B164" s="1383" t="s">
        <v>1052</v>
      </c>
      <c r="C164" s="928">
        <v>106202871</v>
      </c>
      <c r="D164" s="929" t="s">
        <v>968</v>
      </c>
      <c r="E164" s="930">
        <v>48.66</v>
      </c>
      <c r="F164" s="2376">
        <f>E164/0.6</f>
        <v>81.099999999999994</v>
      </c>
      <c r="G164" s="4446" t="s">
        <v>1059</v>
      </c>
      <c r="H164" s="2633"/>
      <c r="I164" s="2632"/>
      <c r="L164" s="68"/>
      <c r="M164" s="68"/>
    </row>
    <row r="165" spans="1:13" s="1383" customFormat="1" x14ac:dyDescent="0.25">
      <c r="A165" s="2633"/>
      <c r="D165" s="929" t="s">
        <v>976</v>
      </c>
      <c r="F165" s="1360"/>
      <c r="G165" s="4446"/>
      <c r="H165" s="2633"/>
      <c r="I165" s="2632"/>
      <c r="L165" s="68"/>
      <c r="M165" s="68"/>
    </row>
    <row r="166" spans="1:13" s="1383" customFormat="1" x14ac:dyDescent="0.25">
      <c r="A166" s="2633"/>
      <c r="C166" s="928">
        <v>106204173</v>
      </c>
      <c r="D166" s="929" t="s">
        <v>1037</v>
      </c>
      <c r="E166" s="930">
        <v>795.36</v>
      </c>
      <c r="F166" s="2376">
        <f>E166/0.6</f>
        <v>1325.6000000000001</v>
      </c>
      <c r="G166" s="75" t="s">
        <v>1035</v>
      </c>
      <c r="H166" s="2633"/>
      <c r="I166" s="2632"/>
      <c r="L166" s="68"/>
      <c r="M166" s="68"/>
    </row>
    <row r="167" spans="1:13" s="1383" customFormat="1" x14ac:dyDescent="0.25">
      <c r="A167" s="2633"/>
      <c r="G167" s="2633"/>
      <c r="H167" s="2633"/>
      <c r="I167" s="2632"/>
      <c r="L167" s="68"/>
      <c r="M167" s="68"/>
    </row>
    <row r="168" spans="1:13" s="1383" customFormat="1" x14ac:dyDescent="0.25">
      <c r="A168" s="2633"/>
      <c r="B168" s="1383" t="s">
        <v>1060</v>
      </c>
      <c r="C168" s="1383" t="s">
        <v>984</v>
      </c>
      <c r="G168" s="2633"/>
      <c r="H168" s="2633"/>
      <c r="I168" s="2632"/>
      <c r="L168" s="68"/>
      <c r="M168" s="68"/>
    </row>
    <row r="169" spans="1:13" s="1383" customFormat="1" x14ac:dyDescent="0.25">
      <c r="A169" s="2633"/>
      <c r="G169" s="2633"/>
      <c r="H169" s="2633"/>
      <c r="I169" s="2632"/>
      <c r="L169" s="68"/>
      <c r="M169" s="68"/>
    </row>
    <row r="170" spans="1:13" s="1383" customFormat="1" x14ac:dyDescent="0.25">
      <c r="A170" s="2633"/>
      <c r="C170" s="411">
        <v>106203971</v>
      </c>
      <c r="D170" s="1383" t="s">
        <v>1000</v>
      </c>
      <c r="E170" s="1383">
        <v>45.73</v>
      </c>
      <c r="G170" s="2633"/>
      <c r="H170" s="2633"/>
      <c r="I170" s="2632"/>
      <c r="L170" s="68"/>
      <c r="M170" s="68"/>
    </row>
    <row r="171" spans="1:13" s="1383" customFormat="1" x14ac:dyDescent="0.25">
      <c r="A171" s="2633"/>
      <c r="C171" s="411">
        <v>106203974</v>
      </c>
      <c r="D171" s="1383" t="s">
        <v>1001</v>
      </c>
      <c r="E171" s="1383">
        <v>71.59</v>
      </c>
      <c r="G171" s="2633"/>
      <c r="H171" s="2633"/>
      <c r="I171" s="2632"/>
      <c r="L171" s="68"/>
      <c r="M171" s="68"/>
    </row>
    <row r="172" spans="1:13" s="1383" customFormat="1" x14ac:dyDescent="0.25">
      <c r="A172" s="2633"/>
      <c r="G172" s="2633"/>
      <c r="H172" s="2633"/>
      <c r="I172" s="2632"/>
      <c r="L172" s="68"/>
      <c r="M172" s="68"/>
    </row>
    <row r="173" spans="1:13" s="1383" customFormat="1" x14ac:dyDescent="0.25">
      <c r="A173" s="2633"/>
      <c r="C173" s="1383">
        <v>106206049</v>
      </c>
      <c r="D173" s="1383" t="s">
        <v>3105</v>
      </c>
      <c r="E173" s="930">
        <v>112.39</v>
      </c>
      <c r="F173" s="930">
        <f>E173/0.6</f>
        <v>187.31666666666666</v>
      </c>
      <c r="G173" s="2633"/>
      <c r="H173" s="2633"/>
      <c r="I173" s="2632"/>
      <c r="L173" s="68"/>
      <c r="M173" s="68"/>
    </row>
    <row r="174" spans="1:13" s="1383" customFormat="1" x14ac:dyDescent="0.25">
      <c r="A174" s="2633"/>
      <c r="E174" s="930"/>
      <c r="F174" s="930"/>
      <c r="G174" s="2633"/>
      <c r="H174" s="2633"/>
      <c r="I174" s="3693"/>
      <c r="L174" s="68"/>
      <c r="M174" s="68"/>
    </row>
    <row r="175" spans="1:13" s="1383" customFormat="1" x14ac:dyDescent="0.25">
      <c r="A175" s="2633"/>
      <c r="B175" s="1093" t="s">
        <v>3582</v>
      </c>
      <c r="C175" s="1383">
        <v>106206949</v>
      </c>
      <c r="D175" s="1383" t="s">
        <v>3583</v>
      </c>
      <c r="E175" s="930">
        <v>756.79</v>
      </c>
      <c r="F175" s="930">
        <v>853.19</v>
      </c>
      <c r="G175" s="2633"/>
      <c r="H175" s="2633"/>
      <c r="I175" s="238">
        <v>1064.2</v>
      </c>
      <c r="L175" s="68"/>
      <c r="M175" s="68"/>
    </row>
    <row r="176" spans="1:13" s="1383" customFormat="1" x14ac:dyDescent="0.25">
      <c r="A176" s="2633"/>
      <c r="B176" s="1093" t="s">
        <v>3172</v>
      </c>
      <c r="C176" s="144">
        <v>106206593</v>
      </c>
      <c r="D176" s="1383" t="s">
        <v>3173</v>
      </c>
      <c r="E176" s="930">
        <v>282.68</v>
      </c>
      <c r="F176" s="930">
        <v>361.52</v>
      </c>
      <c r="G176" s="2633"/>
      <c r="H176" s="2632"/>
      <c r="I176" s="238">
        <v>487.47</v>
      </c>
      <c r="L176" s="68"/>
      <c r="M176" s="68"/>
    </row>
    <row r="177" spans="1:32" s="1383" customFormat="1" x14ac:dyDescent="0.25">
      <c r="A177" s="2633"/>
      <c r="B177" s="1093"/>
      <c r="C177" s="239">
        <v>106109925</v>
      </c>
      <c r="D177" s="14" t="s">
        <v>3174</v>
      </c>
      <c r="E177" s="930"/>
      <c r="F177" s="238">
        <f>E177/0.95</f>
        <v>0</v>
      </c>
      <c r="G177" s="2633"/>
      <c r="H177" s="2632"/>
      <c r="L177" s="68"/>
      <c r="M177" s="68"/>
    </row>
    <row r="178" spans="1:32" s="1383" customFormat="1" x14ac:dyDescent="0.25">
      <c r="A178" s="2633"/>
      <c r="B178" s="1093"/>
      <c r="C178" s="144"/>
      <c r="F178" s="2633"/>
      <c r="G178" s="75" t="s">
        <v>1339</v>
      </c>
      <c r="H178" s="2632"/>
      <c r="I178" s="1383" t="s">
        <v>1297</v>
      </c>
      <c r="J178" s="1383" t="s">
        <v>345</v>
      </c>
      <c r="L178" s="68"/>
      <c r="M178" s="68"/>
    </row>
    <row r="179" spans="1:32" s="1383" customFormat="1" x14ac:dyDescent="0.25">
      <c r="A179" s="2633"/>
      <c r="B179" s="1093"/>
      <c r="C179" s="1557">
        <v>106104076</v>
      </c>
      <c r="D179" s="1383" t="s">
        <v>3176</v>
      </c>
      <c r="E179" s="930">
        <v>122.22</v>
      </c>
      <c r="F179" s="930">
        <f>E179/0.95</f>
        <v>128.65263157894736</v>
      </c>
      <c r="G179" s="763">
        <v>106101704</v>
      </c>
      <c r="H179" s="1381" t="s">
        <v>1342</v>
      </c>
      <c r="I179" s="240">
        <v>2.6</v>
      </c>
      <c r="J179" s="240">
        <f>I179/0.75</f>
        <v>3.4666666666666668</v>
      </c>
      <c r="K179" s="240"/>
      <c r="L179" s="3825"/>
      <c r="M179" s="3825"/>
    </row>
    <row r="180" spans="1:32" s="1383" customFormat="1" x14ac:dyDescent="0.25">
      <c r="A180" s="2633"/>
      <c r="B180" s="1093"/>
      <c r="C180" s="144"/>
      <c r="F180" s="2633"/>
      <c r="G180" s="763">
        <v>106101707</v>
      </c>
      <c r="H180" s="1381" t="s">
        <v>1341</v>
      </c>
      <c r="I180" s="240">
        <v>7.66</v>
      </c>
      <c r="J180" s="240">
        <f>I180/0.75</f>
        <v>10.213333333333333</v>
      </c>
      <c r="K180" s="240"/>
      <c r="L180" s="3825"/>
      <c r="M180" s="3825"/>
    </row>
    <row r="181" spans="1:32" s="1383" customFormat="1" x14ac:dyDescent="0.25">
      <c r="A181" s="2633"/>
      <c r="B181" s="1093" t="s">
        <v>3225</v>
      </c>
      <c r="C181" s="144">
        <v>106205614</v>
      </c>
      <c r="D181" s="1383" t="s">
        <v>3226</v>
      </c>
      <c r="E181" s="1383">
        <v>290.83</v>
      </c>
      <c r="F181" s="238">
        <f>E181/0.8</f>
        <v>363.53749999999997</v>
      </c>
      <c r="G181" s="763">
        <v>106116452</v>
      </c>
      <c r="H181" s="1381" t="s">
        <v>1340</v>
      </c>
      <c r="I181" s="240">
        <v>60.97</v>
      </c>
      <c r="J181" s="240">
        <f>I181/0.75</f>
        <v>81.293333333333337</v>
      </c>
      <c r="K181" s="240"/>
      <c r="L181" s="3825"/>
      <c r="M181" s="3825"/>
    </row>
    <row r="182" spans="1:32" x14ac:dyDescent="0.25">
      <c r="G182" s="1281"/>
      <c r="R182" s="1383"/>
      <c r="S182" s="1383"/>
      <c r="T182" s="1383"/>
      <c r="U182" s="1383"/>
      <c r="V182" s="1383"/>
      <c r="W182" s="1383"/>
      <c r="X182" s="1383"/>
      <c r="Y182" s="1383"/>
      <c r="Z182" s="1383"/>
      <c r="AA182" s="1383"/>
      <c r="AB182" s="1383"/>
      <c r="AC182" s="1383"/>
      <c r="AD182" s="1383"/>
      <c r="AE182" s="1383"/>
      <c r="AF182" s="1383"/>
    </row>
    <row r="183" spans="1:32" x14ac:dyDescent="0.25">
      <c r="B183" s="11" t="s">
        <v>3345</v>
      </c>
      <c r="C183" s="14" t="s">
        <v>3344</v>
      </c>
      <c r="D183" s="305" t="s">
        <v>3346</v>
      </c>
      <c r="E183" s="11">
        <v>449.54</v>
      </c>
      <c r="F183" s="238">
        <f>E183/0.8</f>
        <v>561.92499999999995</v>
      </c>
      <c r="G183" s="1281"/>
    </row>
    <row r="184" spans="1:32" x14ac:dyDescent="0.25">
      <c r="G184" s="1281"/>
    </row>
    <row r="185" spans="1:32" x14ac:dyDescent="0.25">
      <c r="B185" s="11" t="s">
        <v>3406</v>
      </c>
      <c r="C185" s="3672">
        <v>106205569</v>
      </c>
      <c r="D185" s="3672" t="s">
        <v>3405</v>
      </c>
      <c r="E185" s="11">
        <v>998.23</v>
      </c>
      <c r="F185" s="238">
        <f>E185/0.8</f>
        <v>1247.7874999999999</v>
      </c>
      <c r="G185" s="1281"/>
    </row>
    <row r="186" spans="1:32" x14ac:dyDescent="0.25">
      <c r="G186" s="1281"/>
    </row>
    <row r="194" spans="1:32" s="1383" customFormat="1" ht="27" thickBot="1" x14ac:dyDescent="0.45">
      <c r="B194" s="218" t="s">
        <v>596</v>
      </c>
      <c r="I194" s="2632"/>
      <c r="L194" s="68"/>
      <c r="M194" s="68"/>
      <c r="R194" s="11"/>
      <c r="S194" s="11"/>
      <c r="T194" s="2633"/>
      <c r="U194" s="11"/>
      <c r="V194" s="11"/>
      <c r="W194" s="11"/>
      <c r="X194" s="11"/>
      <c r="Y194" s="11"/>
      <c r="Z194" s="11"/>
      <c r="AA194" s="11"/>
      <c r="AB194" s="11"/>
      <c r="AC194" s="11"/>
      <c r="AD194" s="11"/>
      <c r="AE194" s="11"/>
      <c r="AF194" s="11"/>
    </row>
    <row r="195" spans="1:32" s="1383" customFormat="1" ht="15.75" thickBot="1" x14ac:dyDescent="0.3">
      <c r="I195" s="2632"/>
      <c r="L195" s="68"/>
      <c r="M195" s="68"/>
      <c r="V195" s="1518" t="s">
        <v>1393</v>
      </c>
      <c r="W195" s="1519" t="s">
        <v>1394</v>
      </c>
    </row>
    <row r="196" spans="1:32" s="1383" customFormat="1" ht="15.75" thickBot="1" x14ac:dyDescent="0.3">
      <c r="B196" s="220" t="s">
        <v>357</v>
      </c>
      <c r="C196" s="2665" t="s">
        <v>358</v>
      </c>
      <c r="D196" s="2665" t="s">
        <v>359</v>
      </c>
      <c r="E196" s="2665" t="s">
        <v>978</v>
      </c>
      <c r="F196" s="2669" t="s">
        <v>597</v>
      </c>
      <c r="G196" s="2669" t="s">
        <v>362</v>
      </c>
      <c r="H196" s="2663" t="s">
        <v>363</v>
      </c>
      <c r="L196" s="68"/>
      <c r="M196" s="68"/>
      <c r="V196" s="1520" t="s">
        <v>1395</v>
      </c>
      <c r="W196" s="1521" t="s">
        <v>1396</v>
      </c>
    </row>
    <row r="197" spans="1:32" s="1383" customFormat="1" ht="15.75" thickBot="1" x14ac:dyDescent="0.3">
      <c r="B197" s="221" t="s">
        <v>364</v>
      </c>
      <c r="C197" s="463"/>
      <c r="D197" s="463"/>
      <c r="E197" s="463"/>
      <c r="F197" s="464"/>
      <c r="G197" s="464"/>
      <c r="H197" s="222" t="s">
        <v>598</v>
      </c>
      <c r="J197" s="1360"/>
      <c r="K197" s="1360"/>
      <c r="L197" s="1531"/>
      <c r="M197" s="1531"/>
      <c r="N197" s="1360"/>
      <c r="O197" s="1360"/>
      <c r="P197" s="1360"/>
      <c r="Q197" s="1360"/>
      <c r="R197" s="1360"/>
      <c r="S197" s="1360"/>
      <c r="V197" s="1520" t="s">
        <v>1397</v>
      </c>
      <c r="W197" s="1521" t="s">
        <v>1398</v>
      </c>
    </row>
    <row r="198" spans="1:32" s="1383" customFormat="1" x14ac:dyDescent="0.25">
      <c r="B198" s="2659"/>
      <c r="C198" s="2658" t="s">
        <v>364</v>
      </c>
      <c r="D198" s="2660"/>
      <c r="E198" s="2660"/>
      <c r="F198" s="2668"/>
      <c r="G198" s="2668"/>
      <c r="H198" s="2656" t="s">
        <v>599</v>
      </c>
      <c r="J198" s="465" t="s">
        <v>603</v>
      </c>
      <c r="K198" s="3651"/>
      <c r="L198" s="3826"/>
      <c r="M198" s="3826"/>
      <c r="N198" s="3874" t="s">
        <v>604</v>
      </c>
      <c r="O198" s="3874"/>
      <c r="P198" s="3874"/>
      <c r="Q198" s="3874"/>
      <c r="R198" s="3874"/>
      <c r="S198" s="3875"/>
      <c r="V198" s="1520" t="s">
        <v>1399</v>
      </c>
      <c r="W198" s="1521" t="s">
        <v>1400</v>
      </c>
    </row>
    <row r="199" spans="1:32" s="1383" customFormat="1" x14ac:dyDescent="0.25">
      <c r="B199" s="2659"/>
      <c r="C199" s="2660"/>
      <c r="D199" s="2658" t="s">
        <v>364</v>
      </c>
      <c r="E199" s="2660"/>
      <c r="F199" s="2668"/>
      <c r="G199" s="2668"/>
      <c r="H199" s="2656" t="s">
        <v>600</v>
      </c>
      <c r="J199" s="2667" t="s">
        <v>605</v>
      </c>
      <c r="K199" s="3652"/>
      <c r="L199" s="3827"/>
      <c r="M199" s="3827"/>
      <c r="N199" s="3876" t="s">
        <v>606</v>
      </c>
      <c r="O199" s="3877"/>
      <c r="P199" s="3877"/>
      <c r="Q199" s="3877"/>
      <c r="R199" s="3877"/>
      <c r="S199" s="3878"/>
      <c r="V199" s="1522" t="s">
        <v>1401</v>
      </c>
      <c r="W199" s="1523">
        <v>106200819</v>
      </c>
    </row>
    <row r="200" spans="1:32" s="1383" customFormat="1" x14ac:dyDescent="0.25">
      <c r="B200" s="2659"/>
      <c r="C200" s="2660"/>
      <c r="D200" s="2660"/>
      <c r="E200" s="2658" t="s">
        <v>364</v>
      </c>
      <c r="F200" s="2657"/>
      <c r="G200" s="2657"/>
      <c r="H200" s="2656" t="s">
        <v>368</v>
      </c>
      <c r="J200" s="2667" t="s">
        <v>607</v>
      </c>
      <c r="K200" s="3653"/>
      <c r="L200" s="3828"/>
      <c r="M200" s="3828"/>
      <c r="N200" s="3879" t="s">
        <v>608</v>
      </c>
      <c r="O200" s="3879"/>
      <c r="P200" s="3879"/>
      <c r="Q200" s="3879"/>
      <c r="R200" s="3879"/>
      <c r="S200" s="3880"/>
      <c r="V200" s="1524" t="s">
        <v>1151</v>
      </c>
      <c r="W200" s="1525">
        <v>106204392</v>
      </c>
    </row>
    <row r="201" spans="1:32" s="1383" customFormat="1" x14ac:dyDescent="0.25">
      <c r="B201" s="2662"/>
      <c r="C201" s="2658" t="s">
        <v>364</v>
      </c>
      <c r="D201" s="2658" t="s">
        <v>364</v>
      </c>
      <c r="E201" s="2660"/>
      <c r="F201" s="2668"/>
      <c r="G201" s="2668"/>
      <c r="H201" s="2656" t="s">
        <v>977</v>
      </c>
      <c r="J201" s="2667" t="s">
        <v>609</v>
      </c>
      <c r="K201" s="3653"/>
      <c r="L201" s="3828"/>
      <c r="M201" s="3828"/>
      <c r="N201" s="3879" t="s">
        <v>610</v>
      </c>
      <c r="O201" s="3879"/>
      <c r="P201" s="3879"/>
      <c r="Q201" s="3879"/>
      <c r="R201" s="3879"/>
      <c r="S201" s="3880"/>
      <c r="V201" s="1522" t="s">
        <v>1402</v>
      </c>
      <c r="W201" s="1523">
        <v>106200785</v>
      </c>
    </row>
    <row r="202" spans="1:32" s="1383" customFormat="1" x14ac:dyDescent="0.25">
      <c r="B202" s="2655"/>
      <c r="C202" s="2654"/>
      <c r="D202" s="2654"/>
      <c r="E202" s="2654"/>
      <c r="F202" s="2653" t="s">
        <v>364</v>
      </c>
      <c r="G202" s="2652"/>
      <c r="H202" s="2651" t="s">
        <v>601</v>
      </c>
      <c r="I202" s="940" t="s">
        <v>979</v>
      </c>
      <c r="J202" s="2667" t="s">
        <v>611</v>
      </c>
      <c r="K202" s="3653"/>
      <c r="L202" s="3828"/>
      <c r="M202" s="3828"/>
      <c r="N202" s="3879" t="s">
        <v>612</v>
      </c>
      <c r="O202" s="3879"/>
      <c r="P202" s="3879"/>
      <c r="Q202" s="3879"/>
      <c r="R202" s="3879"/>
      <c r="S202" s="3880"/>
      <c r="V202" s="1524" t="s">
        <v>1153</v>
      </c>
      <c r="W202" s="1525">
        <v>106204394</v>
      </c>
    </row>
    <row r="203" spans="1:32" s="1383" customFormat="1" ht="15.75" thickBot="1" x14ac:dyDescent="0.3">
      <c r="B203" s="2646"/>
      <c r="C203" s="2645"/>
      <c r="D203" s="2645"/>
      <c r="E203" s="2645"/>
      <c r="F203" s="2644"/>
      <c r="G203" s="2644" t="s">
        <v>364</v>
      </c>
      <c r="H203" s="2643" t="s">
        <v>602</v>
      </c>
      <c r="I203" s="941"/>
      <c r="J203" s="2667" t="s">
        <v>613</v>
      </c>
      <c r="K203" s="3653"/>
      <c r="L203" s="3828"/>
      <c r="M203" s="3828"/>
      <c r="N203" s="3879" t="s">
        <v>614</v>
      </c>
      <c r="O203" s="3879"/>
      <c r="P203" s="3879"/>
      <c r="Q203" s="3879"/>
      <c r="R203" s="3879"/>
      <c r="S203" s="3880"/>
      <c r="V203" s="1522" t="s">
        <v>1403</v>
      </c>
      <c r="W203" s="1523">
        <v>106200786</v>
      </c>
    </row>
    <row r="204" spans="1:32" s="1383" customFormat="1" x14ac:dyDescent="0.25">
      <c r="I204" s="2632"/>
      <c r="J204" s="2667" t="s">
        <v>615</v>
      </c>
      <c r="K204" s="3653"/>
      <c r="L204" s="3828"/>
      <c r="M204" s="3828"/>
      <c r="N204" s="3879" t="s">
        <v>616</v>
      </c>
      <c r="O204" s="3879"/>
      <c r="P204" s="3879"/>
      <c r="Q204" s="3879"/>
      <c r="R204" s="3879"/>
      <c r="S204" s="3880"/>
      <c r="V204" s="1524" t="s">
        <v>1157</v>
      </c>
      <c r="W204" s="1525">
        <v>106204398</v>
      </c>
    </row>
    <row r="205" spans="1:32" s="1383" customFormat="1" x14ac:dyDescent="0.25">
      <c r="I205" s="2632"/>
      <c r="J205" s="2667" t="s">
        <v>617</v>
      </c>
      <c r="K205" s="3653"/>
      <c r="L205" s="3828"/>
      <c r="M205" s="3828"/>
      <c r="N205" s="3879" t="s">
        <v>618</v>
      </c>
      <c r="O205" s="3879"/>
      <c r="P205" s="3879"/>
      <c r="Q205" s="3879"/>
      <c r="R205" s="3879"/>
      <c r="S205" s="3880"/>
      <c r="V205" s="1522" t="s">
        <v>1404</v>
      </c>
      <c r="W205" s="1521">
        <v>106203728</v>
      </c>
    </row>
    <row r="206" spans="1:32" s="1383" customFormat="1" ht="15.75" thickBot="1" x14ac:dyDescent="0.3">
      <c r="I206" s="2632"/>
      <c r="J206" s="2667" t="s">
        <v>619</v>
      </c>
      <c r="K206" s="3653"/>
      <c r="L206" s="3828"/>
      <c r="M206" s="3828"/>
      <c r="N206" s="3879" t="s">
        <v>620</v>
      </c>
      <c r="O206" s="3879"/>
      <c r="P206" s="3879"/>
      <c r="Q206" s="3879"/>
      <c r="R206" s="3879"/>
      <c r="S206" s="3880"/>
      <c r="V206" s="1524" t="s">
        <v>1159</v>
      </c>
      <c r="W206" s="1525">
        <v>106204400</v>
      </c>
    </row>
    <row r="207" spans="1:32" s="1383" customFormat="1" x14ac:dyDescent="0.25">
      <c r="B207" s="465" t="s">
        <v>603</v>
      </c>
      <c r="C207" s="4438" t="s">
        <v>604</v>
      </c>
      <c r="D207" s="4438"/>
      <c r="E207" s="4438"/>
      <c r="F207" s="4438"/>
      <c r="G207" s="4438"/>
      <c r="H207" s="4439"/>
      <c r="I207" s="2632"/>
      <c r="J207" s="2667" t="s">
        <v>412</v>
      </c>
      <c r="K207" s="3653"/>
      <c r="L207" s="3828"/>
      <c r="M207" s="3828"/>
      <c r="N207" s="3879" t="s">
        <v>621</v>
      </c>
      <c r="O207" s="3879"/>
      <c r="P207" s="3879"/>
      <c r="Q207" s="3879"/>
      <c r="R207" s="3879"/>
      <c r="S207" s="3880"/>
      <c r="V207" s="1524" t="s">
        <v>1161</v>
      </c>
      <c r="W207" s="1525">
        <v>106204402</v>
      </c>
    </row>
    <row r="208" spans="1:32" s="1383" customFormat="1" x14ac:dyDescent="0.25">
      <c r="A208" s="1360"/>
      <c r="B208" s="2667" t="s">
        <v>605</v>
      </c>
      <c r="C208" s="4443" t="s">
        <v>606</v>
      </c>
      <c r="D208" s="4444"/>
      <c r="E208" s="4444"/>
      <c r="F208" s="4444"/>
      <c r="G208" s="4444"/>
      <c r="H208" s="4445"/>
      <c r="I208" s="942"/>
      <c r="J208" s="2667" t="s">
        <v>622</v>
      </c>
      <c r="K208" s="3653"/>
      <c r="L208" s="3828"/>
      <c r="M208" s="3828"/>
      <c r="N208" s="3879" t="s">
        <v>623</v>
      </c>
      <c r="O208" s="3879"/>
      <c r="P208" s="3879"/>
      <c r="Q208" s="3879"/>
      <c r="R208" s="3879"/>
      <c r="S208" s="3880"/>
      <c r="V208" s="1520" t="s">
        <v>1405</v>
      </c>
      <c r="W208" s="1521" t="s">
        <v>1406</v>
      </c>
    </row>
    <row r="209" spans="1:32" s="1383" customFormat="1" x14ac:dyDescent="0.25">
      <c r="B209" s="2667" t="s">
        <v>607</v>
      </c>
      <c r="C209" s="4440" t="s">
        <v>608</v>
      </c>
      <c r="D209" s="4440"/>
      <c r="E209" s="4440"/>
      <c r="F209" s="4440"/>
      <c r="G209" s="4440"/>
      <c r="H209" s="4441"/>
      <c r="I209" s="942"/>
      <c r="J209" s="2667" t="s">
        <v>624</v>
      </c>
      <c r="K209" s="3653"/>
      <c r="L209" s="3828"/>
      <c r="M209" s="3828"/>
      <c r="N209" s="3879" t="s">
        <v>625</v>
      </c>
      <c r="O209" s="3879"/>
      <c r="P209" s="3879"/>
      <c r="Q209" s="3879"/>
      <c r="R209" s="3879"/>
      <c r="S209" s="3880"/>
      <c r="V209" s="1520" t="s">
        <v>1407</v>
      </c>
      <c r="W209" s="1521" t="s">
        <v>1408</v>
      </c>
    </row>
    <row r="210" spans="1:32" s="1383" customFormat="1" x14ac:dyDescent="0.25">
      <c r="B210" s="2667" t="s">
        <v>609</v>
      </c>
      <c r="C210" s="4440" t="s">
        <v>610</v>
      </c>
      <c r="D210" s="4440"/>
      <c r="E210" s="4440"/>
      <c r="F210" s="4440"/>
      <c r="G210" s="4440"/>
      <c r="H210" s="4441"/>
      <c r="I210" s="2632"/>
      <c r="J210" s="2667" t="s">
        <v>626</v>
      </c>
      <c r="K210" s="3653"/>
      <c r="L210" s="3828"/>
      <c r="M210" s="3828"/>
      <c r="N210" s="3879" t="s">
        <v>627</v>
      </c>
      <c r="O210" s="3879"/>
      <c r="P210" s="3879"/>
      <c r="Q210" s="3879"/>
      <c r="R210" s="3879"/>
      <c r="S210" s="3880"/>
      <c r="V210" s="1520" t="s">
        <v>1409</v>
      </c>
      <c r="W210" s="1521" t="s">
        <v>269</v>
      </c>
    </row>
    <row r="211" spans="1:32" s="1383" customFormat="1" x14ac:dyDescent="0.25">
      <c r="B211" s="2667" t="s">
        <v>617</v>
      </c>
      <c r="C211" s="4440" t="s">
        <v>618</v>
      </c>
      <c r="D211" s="4440"/>
      <c r="E211" s="4440"/>
      <c r="F211" s="4440"/>
      <c r="G211" s="4440"/>
      <c r="H211" s="4441"/>
      <c r="I211" s="2632"/>
      <c r="J211" s="2667" t="s">
        <v>628</v>
      </c>
      <c r="K211" s="3653"/>
      <c r="L211" s="3828"/>
      <c r="M211" s="3828"/>
      <c r="N211" s="3879" t="s">
        <v>629</v>
      </c>
      <c r="O211" s="3879"/>
      <c r="P211" s="3879"/>
      <c r="Q211" s="3879"/>
      <c r="R211" s="3879"/>
      <c r="S211" s="3880"/>
      <c r="V211" s="1522" t="s">
        <v>1410</v>
      </c>
      <c r="W211" s="1523">
        <v>106203429</v>
      </c>
    </row>
    <row r="212" spans="1:32" s="1383" customFormat="1" x14ac:dyDescent="0.25">
      <c r="A212" s="1360"/>
      <c r="B212" s="2667" t="s">
        <v>619</v>
      </c>
      <c r="C212" s="4440" t="s">
        <v>620</v>
      </c>
      <c r="D212" s="4440"/>
      <c r="E212" s="4440"/>
      <c r="F212" s="4440"/>
      <c r="G212" s="4440"/>
      <c r="H212" s="4441"/>
      <c r="I212" s="224"/>
      <c r="J212" s="2667" t="s">
        <v>630</v>
      </c>
      <c r="K212" s="3653"/>
      <c r="L212" s="3828"/>
      <c r="M212" s="3828"/>
      <c r="N212" s="3879" t="s">
        <v>631</v>
      </c>
      <c r="O212" s="3879"/>
      <c r="P212" s="3879"/>
      <c r="Q212" s="3879"/>
      <c r="R212" s="3879"/>
      <c r="S212" s="3880"/>
      <c r="V212" s="1524" t="s">
        <v>1152</v>
      </c>
      <c r="W212" s="1525">
        <v>106204393</v>
      </c>
    </row>
    <row r="213" spans="1:32" s="1360" customFormat="1" x14ac:dyDescent="0.25">
      <c r="A213" s="1383"/>
      <c r="B213" s="2667" t="s">
        <v>412</v>
      </c>
      <c r="C213" s="4440" t="s">
        <v>621</v>
      </c>
      <c r="D213" s="4440"/>
      <c r="E213" s="4440"/>
      <c r="F213" s="4440"/>
      <c r="G213" s="4440"/>
      <c r="H213" s="4441"/>
      <c r="I213" s="2632"/>
      <c r="J213" s="2667" t="s">
        <v>632</v>
      </c>
      <c r="K213" s="3653"/>
      <c r="L213" s="3828"/>
      <c r="M213" s="3828"/>
      <c r="N213" s="3879" t="s">
        <v>633</v>
      </c>
      <c r="O213" s="3879"/>
      <c r="P213" s="3879"/>
      <c r="Q213" s="3879"/>
      <c r="R213" s="3879"/>
      <c r="S213" s="3880"/>
      <c r="V213" s="1522" t="s">
        <v>1411</v>
      </c>
      <c r="W213" s="1523">
        <v>106201727</v>
      </c>
      <c r="X213" s="1383"/>
      <c r="Y213" s="1383"/>
      <c r="Z213" s="1383"/>
      <c r="AA213" s="1383"/>
      <c r="AB213" s="1383"/>
      <c r="AC213" s="1383"/>
      <c r="AD213" s="1383"/>
      <c r="AE213" s="1383"/>
      <c r="AF213" s="1383"/>
    </row>
    <row r="214" spans="1:32" s="1383" customFormat="1" x14ac:dyDescent="0.25">
      <c r="B214" s="2667" t="s">
        <v>624</v>
      </c>
      <c r="C214" s="4440" t="s">
        <v>625</v>
      </c>
      <c r="D214" s="4440"/>
      <c r="E214" s="4440"/>
      <c r="F214" s="4440"/>
      <c r="G214" s="4440"/>
      <c r="H214" s="4441"/>
      <c r="I214" s="2632"/>
      <c r="J214" s="2667" t="s">
        <v>634</v>
      </c>
      <c r="K214" s="3653"/>
      <c r="L214" s="3828"/>
      <c r="M214" s="3828"/>
      <c r="N214" s="3879" t="s">
        <v>635</v>
      </c>
      <c r="O214" s="3879"/>
      <c r="P214" s="3879"/>
      <c r="Q214" s="3879"/>
      <c r="R214" s="3879"/>
      <c r="S214" s="3880"/>
      <c r="V214" s="1524" t="s">
        <v>1154</v>
      </c>
      <c r="W214" s="1525">
        <v>106204395</v>
      </c>
      <c r="X214" s="1360"/>
      <c r="Y214" s="1360"/>
      <c r="Z214" s="1360"/>
      <c r="AA214" s="1360"/>
      <c r="AB214" s="1360"/>
      <c r="AC214" s="1360"/>
      <c r="AD214" s="1360"/>
      <c r="AE214" s="1360"/>
      <c r="AF214" s="1360"/>
    </row>
    <row r="215" spans="1:32" s="1383" customFormat="1" x14ac:dyDescent="0.25">
      <c r="B215" s="2667" t="s">
        <v>626</v>
      </c>
      <c r="C215" s="4440" t="s">
        <v>980</v>
      </c>
      <c r="D215" s="4440"/>
      <c r="E215" s="4440"/>
      <c r="F215" s="4440"/>
      <c r="G215" s="4440"/>
      <c r="H215" s="4441"/>
      <c r="I215" s="2632"/>
      <c r="J215" s="2667" t="s">
        <v>636</v>
      </c>
      <c r="K215" s="3653"/>
      <c r="L215" s="3828"/>
      <c r="M215" s="3828"/>
      <c r="N215" s="3879" t="s">
        <v>637</v>
      </c>
      <c r="O215" s="3879"/>
      <c r="P215" s="3879"/>
      <c r="Q215" s="3879"/>
      <c r="R215" s="3879"/>
      <c r="S215" s="3880"/>
      <c r="V215" s="1522" t="s">
        <v>1412</v>
      </c>
      <c r="W215" s="1523">
        <v>106202127</v>
      </c>
    </row>
    <row r="216" spans="1:32" s="1383" customFormat="1" ht="15.75" thickBot="1" x14ac:dyDescent="0.3">
      <c r="B216" s="2667" t="s">
        <v>636</v>
      </c>
      <c r="C216" s="4440" t="s">
        <v>637</v>
      </c>
      <c r="D216" s="4440"/>
      <c r="E216" s="4440"/>
      <c r="F216" s="4440"/>
      <c r="G216" s="4440"/>
      <c r="H216" s="4441"/>
      <c r="I216" s="2632"/>
      <c r="J216" s="2666" t="s">
        <v>638</v>
      </c>
      <c r="K216" s="3654"/>
      <c r="L216" s="3829"/>
      <c r="M216" s="3829"/>
      <c r="N216" s="3881" t="s">
        <v>639</v>
      </c>
      <c r="O216" s="3881"/>
      <c r="P216" s="3881"/>
      <c r="Q216" s="3881"/>
      <c r="R216" s="3881"/>
      <c r="S216" s="3882"/>
      <c r="V216" s="1524" t="s">
        <v>1158</v>
      </c>
      <c r="W216" s="1525">
        <v>106204399</v>
      </c>
    </row>
    <row r="217" spans="1:32" s="1383" customFormat="1" ht="15.75" thickBot="1" x14ac:dyDescent="0.3">
      <c r="B217" s="4435" t="s">
        <v>981</v>
      </c>
      <c r="C217" s="4436"/>
      <c r="D217" s="4436"/>
      <c r="E217" s="4436"/>
      <c r="F217" s="4436"/>
      <c r="G217" s="4436"/>
      <c r="H217" s="4437"/>
      <c r="I217" s="2632"/>
      <c r="J217" s="3883" t="s">
        <v>644</v>
      </c>
      <c r="K217" s="3884"/>
      <c r="L217" s="3884"/>
      <c r="M217" s="3884"/>
      <c r="N217" s="3885"/>
      <c r="O217" s="3885"/>
      <c r="P217" s="3885"/>
      <c r="Q217" s="3885"/>
      <c r="R217" s="3885"/>
      <c r="S217" s="3886"/>
      <c r="V217" s="1522" t="s">
        <v>1413</v>
      </c>
      <c r="W217" s="1523">
        <v>106202253</v>
      </c>
    </row>
    <row r="218" spans="1:32" s="1383" customFormat="1" ht="15.75" thickBot="1" x14ac:dyDescent="0.3">
      <c r="I218" s="2632"/>
      <c r="J218" s="466" t="s">
        <v>640</v>
      </c>
      <c r="K218" s="3655"/>
      <c r="L218" s="3830"/>
      <c r="M218" s="3830"/>
      <c r="N218" s="3887" t="s">
        <v>641</v>
      </c>
      <c r="O218" s="3887"/>
      <c r="P218" s="3887"/>
      <c r="Q218" s="3887"/>
      <c r="R218" s="3887"/>
      <c r="S218" s="3888"/>
      <c r="V218" s="1524" t="s">
        <v>1162</v>
      </c>
      <c r="W218" s="1525">
        <v>106204403</v>
      </c>
    </row>
    <row r="219" spans="1:32" s="1383" customFormat="1" x14ac:dyDescent="0.25">
      <c r="B219" s="467" t="s">
        <v>642</v>
      </c>
      <c r="I219" s="2632"/>
      <c r="J219" s="611"/>
      <c r="K219" s="611"/>
      <c r="L219" s="467"/>
      <c r="M219" s="467"/>
      <c r="N219" s="612"/>
      <c r="O219" s="612"/>
      <c r="P219" s="612"/>
      <c r="Q219" s="612"/>
      <c r="R219" s="612"/>
      <c r="S219" s="612"/>
      <c r="V219" s="1524" t="s">
        <v>1160</v>
      </c>
      <c r="W219" s="1525">
        <v>106204401</v>
      </c>
    </row>
    <row r="220" spans="1:32" s="1383" customFormat="1" x14ac:dyDescent="0.25">
      <c r="B220" s="1383" t="s">
        <v>643</v>
      </c>
      <c r="I220" s="2632"/>
      <c r="J220" s="611"/>
      <c r="K220" s="611"/>
      <c r="L220" s="467"/>
      <c r="M220" s="467"/>
      <c r="N220" s="612"/>
      <c r="O220" s="612"/>
      <c r="P220" s="612"/>
      <c r="Q220" s="612"/>
      <c r="R220" s="612"/>
      <c r="S220" s="612"/>
      <c r="V220" s="1522" t="s">
        <v>1414</v>
      </c>
      <c r="W220" s="1526" t="s">
        <v>1415</v>
      </c>
    </row>
    <row r="221" spans="1:32" s="1360" customFormat="1" ht="15.75" thickBot="1" x14ac:dyDescent="0.3">
      <c r="A221" s="2633"/>
      <c r="B221" s="1383"/>
      <c r="C221" s="1383"/>
      <c r="D221" s="1383"/>
      <c r="E221" s="1383"/>
      <c r="F221" s="1383"/>
      <c r="G221" s="2633"/>
      <c r="H221" s="2633"/>
      <c r="I221" s="2632"/>
      <c r="J221" s="611"/>
      <c r="K221" s="611"/>
      <c r="L221" s="467"/>
      <c r="M221" s="467"/>
      <c r="N221" s="612"/>
      <c r="O221" s="612"/>
      <c r="P221" s="612"/>
      <c r="Q221" s="612"/>
      <c r="R221" s="612"/>
      <c r="S221" s="612"/>
      <c r="V221" s="1527" t="s">
        <v>1416</v>
      </c>
      <c r="W221" s="1528">
        <v>106202485</v>
      </c>
      <c r="X221" s="1383"/>
      <c r="Y221" s="1383"/>
      <c r="Z221" s="1383"/>
      <c r="AA221" s="1383"/>
      <c r="AB221" s="1383"/>
      <c r="AC221" s="1383"/>
      <c r="AD221" s="1383"/>
      <c r="AE221" s="1383"/>
      <c r="AF221" s="1383"/>
    </row>
    <row r="222" spans="1:32" s="1383" customFormat="1" ht="26.25" x14ac:dyDescent="0.4">
      <c r="A222" s="2633"/>
      <c r="B222" s="218" t="s">
        <v>356</v>
      </c>
      <c r="G222" s="2633"/>
      <c r="H222" s="2633"/>
      <c r="I222" s="2632"/>
      <c r="J222" s="611"/>
      <c r="K222" s="611"/>
      <c r="L222" s="467"/>
      <c r="M222" s="467"/>
      <c r="N222" s="612"/>
      <c r="O222" s="612"/>
      <c r="P222" s="612"/>
      <c r="Q222" s="612"/>
      <c r="R222" s="612"/>
      <c r="S222" s="612"/>
      <c r="V222" s="1360"/>
      <c r="W222" s="1360"/>
      <c r="X222" s="1360"/>
      <c r="Y222" s="1360"/>
      <c r="Z222" s="1360"/>
      <c r="AA222" s="1360"/>
      <c r="AB222" s="1360"/>
      <c r="AC222" s="1360"/>
      <c r="AD222" s="1360"/>
      <c r="AE222" s="1360"/>
      <c r="AF222" s="1360"/>
    </row>
    <row r="223" spans="1:32" s="1383" customFormat="1" ht="15.75" thickBot="1" x14ac:dyDescent="0.3">
      <c r="A223" s="2633"/>
      <c r="G223" s="2633"/>
      <c r="H223" s="2633"/>
      <c r="I223" s="2632"/>
      <c r="L223" s="68"/>
      <c r="M223" s="68"/>
    </row>
    <row r="224" spans="1:32" s="1383" customFormat="1" ht="15.75" thickBot="1" x14ac:dyDescent="0.3">
      <c r="A224" s="2633"/>
      <c r="B224" s="220" t="s">
        <v>357</v>
      </c>
      <c r="C224" s="2665" t="s">
        <v>358</v>
      </c>
      <c r="D224" s="2665" t="s">
        <v>359</v>
      </c>
      <c r="E224" s="2665" t="s">
        <v>1418</v>
      </c>
      <c r="F224" s="2665" t="s">
        <v>360</v>
      </c>
      <c r="G224" s="2664" t="s">
        <v>361</v>
      </c>
      <c r="H224" s="2664" t="s">
        <v>362</v>
      </c>
      <c r="I224" s="2663" t="s">
        <v>363</v>
      </c>
      <c r="J224" s="467" t="s">
        <v>642</v>
      </c>
      <c r="K224" s="467"/>
      <c r="L224" s="467"/>
      <c r="M224" s="467"/>
    </row>
    <row r="225" spans="1:32" s="1383" customFormat="1" x14ac:dyDescent="0.25">
      <c r="A225" s="2633"/>
      <c r="B225" s="221" t="s">
        <v>364</v>
      </c>
      <c r="C225" s="463"/>
      <c r="D225" s="463"/>
      <c r="E225" s="463"/>
      <c r="F225" s="463"/>
      <c r="G225" s="229"/>
      <c r="H225" s="229"/>
      <c r="I225" s="222" t="s">
        <v>365</v>
      </c>
      <c r="J225" s="1383" t="s">
        <v>643</v>
      </c>
      <c r="L225" s="68"/>
      <c r="M225" s="68"/>
    </row>
    <row r="226" spans="1:32" s="1383" customFormat="1" x14ac:dyDescent="0.25">
      <c r="A226" s="2633"/>
      <c r="B226" s="2659"/>
      <c r="C226" s="2658" t="s">
        <v>364</v>
      </c>
      <c r="D226" s="2660"/>
      <c r="E226" s="2660"/>
      <c r="F226" s="2660"/>
      <c r="G226" s="2661"/>
      <c r="H226" s="2661"/>
      <c r="I226" s="2656" t="s">
        <v>366</v>
      </c>
      <c r="L226" s="68"/>
      <c r="M226" s="68"/>
    </row>
    <row r="227" spans="1:32" s="1383" customFormat="1" x14ac:dyDescent="0.25">
      <c r="A227" s="2633"/>
      <c r="B227" s="2659"/>
      <c r="C227" s="2660"/>
      <c r="D227" s="2658" t="s">
        <v>364</v>
      </c>
      <c r="E227" s="2660"/>
      <c r="F227" s="2660"/>
      <c r="G227" s="2661"/>
      <c r="H227" s="2661"/>
      <c r="I227" s="2656" t="s">
        <v>367</v>
      </c>
      <c r="L227" s="68"/>
      <c r="M227" s="68"/>
    </row>
    <row r="228" spans="1:32" s="1383" customFormat="1" x14ac:dyDescent="0.25">
      <c r="A228" s="2633"/>
      <c r="B228" s="2659"/>
      <c r="C228" s="2660"/>
      <c r="D228" s="2660"/>
      <c r="E228" s="2658" t="s">
        <v>364</v>
      </c>
      <c r="F228" s="2658"/>
      <c r="G228" s="2657"/>
      <c r="H228" s="2657"/>
      <c r="I228" s="2656" t="s">
        <v>368</v>
      </c>
      <c r="J228" s="1383" t="s">
        <v>1417</v>
      </c>
      <c r="L228" s="68"/>
      <c r="M228" s="68"/>
    </row>
    <row r="229" spans="1:32" s="1383" customFormat="1" x14ac:dyDescent="0.25">
      <c r="A229" s="2633"/>
      <c r="B229" s="2662"/>
      <c r="C229" s="2658" t="s">
        <v>364</v>
      </c>
      <c r="D229" s="2658" t="s">
        <v>364</v>
      </c>
      <c r="E229" s="2660"/>
      <c r="F229" s="2660"/>
      <c r="G229" s="2661"/>
      <c r="H229" s="2661"/>
      <c r="I229" s="2656" t="s">
        <v>369</v>
      </c>
      <c r="L229" s="68"/>
      <c r="M229" s="68"/>
    </row>
    <row r="230" spans="1:32" s="1383" customFormat="1" x14ac:dyDescent="0.25">
      <c r="A230" s="227"/>
      <c r="B230" s="2659"/>
      <c r="C230" s="2660"/>
      <c r="D230" s="2658" t="s">
        <v>364</v>
      </c>
      <c r="E230" s="2658" t="s">
        <v>364</v>
      </c>
      <c r="F230" s="2658"/>
      <c r="G230" s="2657"/>
      <c r="H230" s="2657"/>
      <c r="I230" s="2656" t="s">
        <v>370</v>
      </c>
      <c r="L230" s="68"/>
      <c r="M230" s="68"/>
    </row>
    <row r="231" spans="1:32" s="1383" customFormat="1" x14ac:dyDescent="0.25">
      <c r="A231" s="2633"/>
      <c r="B231" s="2659"/>
      <c r="C231" s="2658" t="s">
        <v>364</v>
      </c>
      <c r="D231" s="2660"/>
      <c r="E231" s="2658" t="s">
        <v>364</v>
      </c>
      <c r="F231" s="2658"/>
      <c r="G231" s="2657"/>
      <c r="H231" s="2657"/>
      <c r="I231" s="2656" t="s">
        <v>371</v>
      </c>
      <c r="L231" s="68"/>
      <c r="M231" s="68"/>
    </row>
    <row r="232" spans="1:32" s="1383" customFormat="1" x14ac:dyDescent="0.25">
      <c r="A232" s="2633"/>
      <c r="B232" s="2659"/>
      <c r="C232" s="2658" t="s">
        <v>364</v>
      </c>
      <c r="D232" s="2658" t="s">
        <v>364</v>
      </c>
      <c r="E232" s="2658" t="s">
        <v>364</v>
      </c>
      <c r="F232" s="2658"/>
      <c r="G232" s="2657"/>
      <c r="H232" s="2657"/>
      <c r="I232" s="2656" t="s">
        <v>372</v>
      </c>
      <c r="L232" s="68"/>
      <c r="M232" s="68"/>
    </row>
    <row r="233" spans="1:32" s="1383" customFormat="1" x14ac:dyDescent="0.25">
      <c r="A233" s="2633"/>
      <c r="B233" s="2655"/>
      <c r="C233" s="2654"/>
      <c r="D233" s="2654"/>
      <c r="E233" s="2654"/>
      <c r="F233" s="2654"/>
      <c r="G233" s="2653" t="s">
        <v>364</v>
      </c>
      <c r="H233" s="2652"/>
      <c r="I233" s="2651" t="s">
        <v>373</v>
      </c>
      <c r="L233" s="68"/>
      <c r="M233" s="68"/>
    </row>
    <row r="234" spans="1:32" s="1383" customFormat="1" x14ac:dyDescent="0.25">
      <c r="A234" s="2633"/>
      <c r="B234" s="2650"/>
      <c r="C234" s="2649"/>
      <c r="D234" s="2649"/>
      <c r="E234" s="2649"/>
      <c r="F234" s="2649" t="s">
        <v>364</v>
      </c>
      <c r="G234" s="2648"/>
      <c r="H234" s="2648"/>
      <c r="I234" s="2647" t="s">
        <v>374</v>
      </c>
      <c r="L234" s="68"/>
      <c r="M234" s="68"/>
    </row>
    <row r="235" spans="1:32" s="1383" customFormat="1" ht="15.75" thickBot="1" x14ac:dyDescent="0.3">
      <c r="A235" s="2633"/>
      <c r="B235" s="2646"/>
      <c r="C235" s="2645"/>
      <c r="D235" s="2645"/>
      <c r="E235" s="2645"/>
      <c r="F235" s="2645"/>
      <c r="G235" s="2644"/>
      <c r="H235" s="2644" t="s">
        <v>364</v>
      </c>
      <c r="I235" s="2643" t="s">
        <v>375</v>
      </c>
      <c r="L235" s="68"/>
      <c r="M235" s="68"/>
    </row>
    <row r="236" spans="1:32" ht="15.75" thickBot="1" x14ac:dyDescent="0.3">
      <c r="N236" s="1360">
        <v>2013</v>
      </c>
      <c r="V236" s="1383"/>
      <c r="W236" s="1383"/>
      <c r="X236" s="1383"/>
      <c r="Y236" s="1383"/>
      <c r="Z236" s="1383"/>
      <c r="AA236" s="1383"/>
      <c r="AB236" s="1383"/>
      <c r="AC236" s="1383"/>
      <c r="AD236" s="1383"/>
      <c r="AE236" s="1383"/>
      <c r="AF236" s="1383"/>
    </row>
    <row r="237" spans="1:32" x14ac:dyDescent="0.25">
      <c r="N237" s="1555"/>
      <c r="O237" s="2373" t="s">
        <v>1334</v>
      </c>
      <c r="P237" s="773"/>
      <c r="Q237" s="773"/>
      <c r="R237" s="773"/>
      <c r="S237" s="773"/>
      <c r="T237" s="773"/>
      <c r="U237" s="1556"/>
    </row>
    <row r="238" spans="1:32" x14ac:dyDescent="0.25">
      <c r="N238" s="402"/>
      <c r="O238" s="144"/>
      <c r="P238" s="4433" t="s">
        <v>1332</v>
      </c>
      <c r="Q238" s="4433" t="s">
        <v>1333</v>
      </c>
      <c r="R238" s="144"/>
      <c r="S238" s="4433" t="s">
        <v>267</v>
      </c>
      <c r="T238" s="4433" t="s">
        <v>1336</v>
      </c>
      <c r="U238" s="4434" t="s">
        <v>745</v>
      </c>
    </row>
    <row r="239" spans="1:32" x14ac:dyDescent="0.25">
      <c r="N239" s="2670" t="s">
        <v>1330</v>
      </c>
      <c r="O239" s="144" t="s">
        <v>1331</v>
      </c>
      <c r="P239" s="4433"/>
      <c r="Q239" s="4433"/>
      <c r="R239" s="144"/>
      <c r="S239" s="4433"/>
      <c r="T239" s="4433"/>
      <c r="U239" s="4434"/>
    </row>
    <row r="240" spans="1:32" x14ac:dyDescent="0.25">
      <c r="N240" s="2671">
        <v>106105097</v>
      </c>
      <c r="O240" s="2672" t="s">
        <v>1310</v>
      </c>
      <c r="P240" s="2673">
        <v>0.69</v>
      </c>
      <c r="Q240" s="2673">
        <v>3</v>
      </c>
      <c r="R240" s="144">
        <f t="shared" ref="R240:R263" si="12">P240*Q240</f>
        <v>2.0699999999999998</v>
      </c>
      <c r="S240" s="144">
        <v>0.95</v>
      </c>
      <c r="T240" s="2674">
        <f>P240/S240</f>
        <v>0.72631578947368414</v>
      </c>
      <c r="U240" s="2675">
        <f t="shared" ref="U240:U263" si="13">T240*Q240</f>
        <v>2.1789473684210523</v>
      </c>
    </row>
    <row r="241" spans="14:21" x14ac:dyDescent="0.25">
      <c r="N241" s="2676">
        <v>106105598</v>
      </c>
      <c r="O241" s="2677" t="s">
        <v>1311</v>
      </c>
      <c r="P241" s="2673">
        <v>0.44</v>
      </c>
      <c r="Q241" s="2673">
        <v>1</v>
      </c>
      <c r="R241" s="144">
        <f t="shared" si="12"/>
        <v>0.44</v>
      </c>
      <c r="S241" s="144">
        <v>0.8</v>
      </c>
      <c r="T241" s="2674">
        <f>P241/S241</f>
        <v>0.54999999999999993</v>
      </c>
      <c r="U241" s="2675">
        <f t="shared" si="13"/>
        <v>0.54999999999999993</v>
      </c>
    </row>
    <row r="242" spans="14:21" x14ac:dyDescent="0.25">
      <c r="N242" s="2676">
        <v>106105599</v>
      </c>
      <c r="O242" s="2677" t="s">
        <v>1312</v>
      </c>
      <c r="P242" s="2673">
        <v>0.42</v>
      </c>
      <c r="Q242" s="2673">
        <v>1</v>
      </c>
      <c r="R242" s="144">
        <f t="shared" si="12"/>
        <v>0.42</v>
      </c>
      <c r="S242" s="144">
        <v>0.8</v>
      </c>
      <c r="T242" s="2674">
        <f>P242/S242</f>
        <v>0.52499999999999991</v>
      </c>
      <c r="U242" s="2675">
        <f t="shared" si="13"/>
        <v>0.52499999999999991</v>
      </c>
    </row>
    <row r="243" spans="14:21" x14ac:dyDescent="0.25">
      <c r="N243" s="2676">
        <v>106105616</v>
      </c>
      <c r="O243" s="2677" t="s">
        <v>1313</v>
      </c>
      <c r="P243" s="2673">
        <v>1.36</v>
      </c>
      <c r="Q243" s="2673">
        <v>1</v>
      </c>
      <c r="R243" s="144">
        <f t="shared" si="12"/>
        <v>1.36</v>
      </c>
      <c r="S243" s="144">
        <v>0.8</v>
      </c>
      <c r="T243" s="2674">
        <f>P243/S243</f>
        <v>1.7</v>
      </c>
      <c r="U243" s="2675">
        <f t="shared" si="13"/>
        <v>1.7</v>
      </c>
    </row>
    <row r="244" spans="14:21" x14ac:dyDescent="0.25">
      <c r="N244" s="2671">
        <v>106105886</v>
      </c>
      <c r="O244" s="2672" t="s">
        <v>1314</v>
      </c>
      <c r="P244" s="2678">
        <v>3.33</v>
      </c>
      <c r="Q244" s="2673">
        <v>2</v>
      </c>
      <c r="R244" s="144">
        <f t="shared" si="12"/>
        <v>6.66</v>
      </c>
      <c r="S244" s="144">
        <v>0.95</v>
      </c>
      <c r="T244" s="2679">
        <v>4.84</v>
      </c>
      <c r="U244" s="2675">
        <f t="shared" si="13"/>
        <v>9.68</v>
      </c>
    </row>
    <row r="245" spans="14:21" x14ac:dyDescent="0.25">
      <c r="N245" s="2671">
        <v>106106095</v>
      </c>
      <c r="O245" s="2672" t="s">
        <v>1315</v>
      </c>
      <c r="P245" s="2673">
        <v>0.01</v>
      </c>
      <c r="Q245" s="2673">
        <v>2</v>
      </c>
      <c r="R245" s="144">
        <f t="shared" si="12"/>
        <v>0.02</v>
      </c>
      <c r="S245" s="144">
        <v>0.95</v>
      </c>
      <c r="T245" s="2674">
        <f t="shared" ref="T245:T263" si="14">P245/S245</f>
        <v>1.0526315789473686E-2</v>
      </c>
      <c r="U245" s="2675">
        <f t="shared" si="13"/>
        <v>2.1052631578947371E-2</v>
      </c>
    </row>
    <row r="246" spans="14:21" x14ac:dyDescent="0.25">
      <c r="N246" s="2671">
        <v>106106097</v>
      </c>
      <c r="O246" s="2672" t="s">
        <v>1316</v>
      </c>
      <c r="P246" s="2673">
        <v>0.02</v>
      </c>
      <c r="Q246" s="2673">
        <v>4</v>
      </c>
      <c r="R246" s="144">
        <f t="shared" si="12"/>
        <v>0.08</v>
      </c>
      <c r="S246" s="144">
        <v>0.95</v>
      </c>
      <c r="T246" s="2674">
        <f t="shared" si="14"/>
        <v>2.1052631578947371E-2</v>
      </c>
      <c r="U246" s="2675">
        <f t="shared" si="13"/>
        <v>8.4210526315789486E-2</v>
      </c>
    </row>
    <row r="247" spans="14:21" x14ac:dyDescent="0.25">
      <c r="N247" s="2671">
        <v>106106098</v>
      </c>
      <c r="O247" s="2672" t="s">
        <v>1317</v>
      </c>
      <c r="P247" s="2673">
        <v>0.02</v>
      </c>
      <c r="Q247" s="2673">
        <v>2</v>
      </c>
      <c r="R247" s="144">
        <f t="shared" si="12"/>
        <v>0.04</v>
      </c>
      <c r="S247" s="144">
        <v>0.95</v>
      </c>
      <c r="T247" s="2674">
        <f t="shared" si="14"/>
        <v>2.1052631578947371E-2</v>
      </c>
      <c r="U247" s="2675">
        <f t="shared" si="13"/>
        <v>4.2105263157894743E-2</v>
      </c>
    </row>
    <row r="248" spans="14:21" x14ac:dyDescent="0.25">
      <c r="N248" s="2671">
        <v>106106099</v>
      </c>
      <c r="O248" s="2672" t="s">
        <v>1318</v>
      </c>
      <c r="P248" s="2673">
        <v>0.03</v>
      </c>
      <c r="Q248" s="2673">
        <v>12</v>
      </c>
      <c r="R248" s="144">
        <f t="shared" si="12"/>
        <v>0.36</v>
      </c>
      <c r="S248" s="144">
        <v>0.95</v>
      </c>
      <c r="T248" s="2674">
        <f t="shared" si="14"/>
        <v>3.1578947368421054E-2</v>
      </c>
      <c r="U248" s="2675">
        <f t="shared" si="13"/>
        <v>0.37894736842105264</v>
      </c>
    </row>
    <row r="249" spans="14:21" x14ac:dyDescent="0.25">
      <c r="N249" s="2671">
        <v>106106265</v>
      </c>
      <c r="O249" s="2672" t="s">
        <v>1319</v>
      </c>
      <c r="P249" s="2673">
        <v>0.01</v>
      </c>
      <c r="Q249" s="2673">
        <v>18</v>
      </c>
      <c r="R249" s="144">
        <f t="shared" si="12"/>
        <v>0.18</v>
      </c>
      <c r="S249" s="144">
        <v>0.95</v>
      </c>
      <c r="T249" s="2674">
        <f t="shared" si="14"/>
        <v>1.0526315789473686E-2</v>
      </c>
      <c r="U249" s="2675">
        <f t="shared" si="13"/>
        <v>0.18947368421052635</v>
      </c>
    </row>
    <row r="250" spans="14:21" x14ac:dyDescent="0.25">
      <c r="N250" s="2671">
        <v>106106471</v>
      </c>
      <c r="O250" s="2672" t="s">
        <v>1320</v>
      </c>
      <c r="P250" s="2673">
        <v>1.38</v>
      </c>
      <c r="Q250" s="2673">
        <v>0.16</v>
      </c>
      <c r="R250" s="144">
        <f t="shared" si="12"/>
        <v>0.2208</v>
      </c>
      <c r="S250" s="144">
        <v>0.95</v>
      </c>
      <c r="T250" s="2674">
        <f t="shared" si="14"/>
        <v>1.4526315789473683</v>
      </c>
      <c r="U250" s="2675">
        <f t="shared" si="13"/>
        <v>0.23242105263157892</v>
      </c>
    </row>
    <row r="251" spans="14:21" x14ac:dyDescent="0.25">
      <c r="N251" s="2671">
        <v>106106480</v>
      </c>
      <c r="O251" s="2672" t="s">
        <v>1321</v>
      </c>
      <c r="P251" s="2673">
        <v>2.27</v>
      </c>
      <c r="Q251" s="2673">
        <v>6</v>
      </c>
      <c r="R251" s="144">
        <f t="shared" si="12"/>
        <v>13.620000000000001</v>
      </c>
      <c r="S251" s="144">
        <v>0.8</v>
      </c>
      <c r="T251" s="2674">
        <f t="shared" si="14"/>
        <v>2.8374999999999999</v>
      </c>
      <c r="U251" s="2675">
        <f t="shared" si="13"/>
        <v>17.024999999999999</v>
      </c>
    </row>
    <row r="252" spans="14:21" x14ac:dyDescent="0.25">
      <c r="N252" s="2671">
        <v>106106995</v>
      </c>
      <c r="O252" s="2672" t="s">
        <v>1322</v>
      </c>
      <c r="P252" s="2673">
        <v>0.01</v>
      </c>
      <c r="Q252" s="2673">
        <v>2</v>
      </c>
      <c r="R252" s="144">
        <f t="shared" si="12"/>
        <v>0.02</v>
      </c>
      <c r="S252" s="144">
        <v>0.95</v>
      </c>
      <c r="T252" s="2674">
        <f t="shared" si="14"/>
        <v>1.0526315789473686E-2</v>
      </c>
      <c r="U252" s="2675">
        <f t="shared" si="13"/>
        <v>2.1052631578947371E-2</v>
      </c>
    </row>
    <row r="253" spans="14:21" x14ac:dyDescent="0.25">
      <c r="N253" s="2671">
        <v>106107006</v>
      </c>
      <c r="O253" s="2672" t="s">
        <v>1323</v>
      </c>
      <c r="P253" s="2673">
        <v>0.03</v>
      </c>
      <c r="Q253" s="2673">
        <v>4</v>
      </c>
      <c r="R253" s="144">
        <f t="shared" si="12"/>
        <v>0.12</v>
      </c>
      <c r="S253" s="144">
        <v>0.95</v>
      </c>
      <c r="T253" s="2674">
        <f t="shared" si="14"/>
        <v>3.1578947368421054E-2</v>
      </c>
      <c r="U253" s="2675">
        <f t="shared" si="13"/>
        <v>0.12631578947368421</v>
      </c>
    </row>
    <row r="254" spans="14:21" x14ac:dyDescent="0.25">
      <c r="N254" s="2671">
        <v>106107013</v>
      </c>
      <c r="O254" s="2672" t="s">
        <v>1324</v>
      </c>
      <c r="P254" s="2673">
        <v>0.06</v>
      </c>
      <c r="Q254" s="2673">
        <v>2</v>
      </c>
      <c r="R254" s="144">
        <f t="shared" si="12"/>
        <v>0.12</v>
      </c>
      <c r="S254" s="144">
        <v>0.95</v>
      </c>
      <c r="T254" s="2674">
        <f t="shared" si="14"/>
        <v>6.3157894736842107E-2</v>
      </c>
      <c r="U254" s="2675">
        <f t="shared" si="13"/>
        <v>0.12631578947368421</v>
      </c>
    </row>
    <row r="255" spans="14:21" x14ac:dyDescent="0.25">
      <c r="N255" s="2671">
        <v>106107251</v>
      </c>
      <c r="O255" s="2672" t="s">
        <v>1325</v>
      </c>
      <c r="P255" s="2673">
        <v>0.12</v>
      </c>
      <c r="Q255" s="2673">
        <v>6</v>
      </c>
      <c r="R255" s="144">
        <f t="shared" si="12"/>
        <v>0.72</v>
      </c>
      <c r="S255" s="144">
        <v>0.95</v>
      </c>
      <c r="T255" s="2674">
        <f t="shared" si="14"/>
        <v>0.12631578947368421</v>
      </c>
      <c r="U255" s="2675">
        <f t="shared" si="13"/>
        <v>0.75789473684210529</v>
      </c>
    </row>
    <row r="256" spans="14:21" x14ac:dyDescent="0.25">
      <c r="N256" s="2671">
        <v>106107495</v>
      </c>
      <c r="O256" s="2672" t="s">
        <v>1326</v>
      </c>
      <c r="P256" s="2673">
        <v>0.34</v>
      </c>
      <c r="Q256" s="2673">
        <v>2</v>
      </c>
      <c r="R256" s="144">
        <f t="shared" si="12"/>
        <v>0.68</v>
      </c>
      <c r="S256" s="144">
        <v>0.95</v>
      </c>
      <c r="T256" s="2674">
        <f t="shared" si="14"/>
        <v>0.35789473684210532</v>
      </c>
      <c r="U256" s="2675">
        <f t="shared" si="13"/>
        <v>0.71578947368421064</v>
      </c>
    </row>
    <row r="257" spans="14:21" x14ac:dyDescent="0.25">
      <c r="N257" s="2671">
        <v>106107506</v>
      </c>
      <c r="O257" s="2672" t="s">
        <v>1327</v>
      </c>
      <c r="P257" s="2673">
        <v>0.06</v>
      </c>
      <c r="Q257" s="2673">
        <v>6</v>
      </c>
      <c r="R257" s="144">
        <f t="shared" si="12"/>
        <v>0.36</v>
      </c>
      <c r="S257" s="144">
        <v>0.95</v>
      </c>
      <c r="T257" s="2674">
        <f t="shared" si="14"/>
        <v>6.3157894736842107E-2</v>
      </c>
      <c r="U257" s="2675">
        <f t="shared" si="13"/>
        <v>0.37894736842105264</v>
      </c>
    </row>
    <row r="258" spans="14:21" x14ac:dyDescent="0.25">
      <c r="N258" s="2671">
        <v>106112520</v>
      </c>
      <c r="O258" s="2672" t="s">
        <v>1120</v>
      </c>
      <c r="P258" s="2673">
        <v>2.44</v>
      </c>
      <c r="Q258" s="2673">
        <v>2</v>
      </c>
      <c r="R258" s="144">
        <f t="shared" si="12"/>
        <v>4.88</v>
      </c>
      <c r="S258" s="144">
        <v>0.95</v>
      </c>
      <c r="T258" s="2674">
        <f t="shared" si="14"/>
        <v>2.5684210526315789</v>
      </c>
      <c r="U258" s="2675">
        <f t="shared" si="13"/>
        <v>5.1368421052631579</v>
      </c>
    </row>
    <row r="259" spans="14:21" x14ac:dyDescent="0.25">
      <c r="N259" s="2671">
        <v>106116342</v>
      </c>
      <c r="O259" s="2672" t="s">
        <v>1328</v>
      </c>
      <c r="P259" s="2673">
        <v>8.2899999999999991</v>
      </c>
      <c r="Q259" s="2673">
        <v>1</v>
      </c>
      <c r="R259" s="144">
        <f t="shared" si="12"/>
        <v>8.2899999999999991</v>
      </c>
      <c r="S259" s="144">
        <v>0.8</v>
      </c>
      <c r="T259" s="2674">
        <f t="shared" si="14"/>
        <v>10.362499999999999</v>
      </c>
      <c r="U259" s="2675">
        <f t="shared" si="13"/>
        <v>10.362499999999999</v>
      </c>
    </row>
    <row r="260" spans="14:21" x14ac:dyDescent="0.25">
      <c r="N260" s="2671">
        <v>106203799</v>
      </c>
      <c r="O260" s="2672" t="s">
        <v>1068</v>
      </c>
      <c r="P260" s="2673">
        <v>15.8</v>
      </c>
      <c r="Q260" s="2673">
        <v>1</v>
      </c>
      <c r="R260" s="144">
        <f t="shared" si="12"/>
        <v>15.8</v>
      </c>
      <c r="S260" s="144">
        <v>0.6</v>
      </c>
      <c r="T260" s="2674">
        <f t="shared" si="14"/>
        <v>26.333333333333336</v>
      </c>
      <c r="U260" s="2675">
        <f t="shared" si="13"/>
        <v>26.333333333333336</v>
      </c>
    </row>
    <row r="261" spans="14:21" x14ac:dyDescent="0.25">
      <c r="N261" s="2671">
        <v>106203861</v>
      </c>
      <c r="O261" s="2672" t="s">
        <v>1329</v>
      </c>
      <c r="P261" s="2673">
        <v>39.409999999999997</v>
      </c>
      <c r="Q261" s="2673">
        <v>1</v>
      </c>
      <c r="R261" s="144">
        <f t="shared" si="12"/>
        <v>39.409999999999997</v>
      </c>
      <c r="S261" s="144">
        <v>0.8</v>
      </c>
      <c r="T261" s="2674">
        <f t="shared" si="14"/>
        <v>49.262499999999996</v>
      </c>
      <c r="U261" s="2675">
        <f t="shared" si="13"/>
        <v>49.262499999999996</v>
      </c>
    </row>
    <row r="262" spans="14:21" x14ac:dyDescent="0.25">
      <c r="N262" s="2680">
        <v>106116160</v>
      </c>
      <c r="O262" s="2681" t="s">
        <v>965</v>
      </c>
      <c r="P262" s="2674">
        <v>577.78</v>
      </c>
      <c r="Q262" s="2673">
        <v>1</v>
      </c>
      <c r="R262" s="144">
        <f t="shared" si="12"/>
        <v>577.78</v>
      </c>
      <c r="S262" s="144">
        <v>0.8</v>
      </c>
      <c r="T262" s="2674">
        <f t="shared" si="14"/>
        <v>722.22499999999991</v>
      </c>
      <c r="U262" s="2675">
        <f t="shared" si="13"/>
        <v>722.22499999999991</v>
      </c>
    </row>
    <row r="263" spans="14:21" x14ac:dyDescent="0.25">
      <c r="N263" s="402"/>
      <c r="O263" s="2672" t="s">
        <v>1335</v>
      </c>
      <c r="P263" s="2673">
        <v>34.729999999999997</v>
      </c>
      <c r="Q263" s="2673">
        <v>1</v>
      </c>
      <c r="R263" s="144">
        <f t="shared" si="12"/>
        <v>34.729999999999997</v>
      </c>
      <c r="S263" s="144">
        <v>0.6</v>
      </c>
      <c r="T263" s="2674">
        <f t="shared" si="14"/>
        <v>57.883333333333333</v>
      </c>
      <c r="U263" s="2675">
        <f t="shared" si="13"/>
        <v>57.883333333333333</v>
      </c>
    </row>
    <row r="264" spans="14:21" ht="15.75" thickBot="1" x14ac:dyDescent="0.3">
      <c r="N264" s="2547"/>
      <c r="O264" s="2682" t="s">
        <v>941</v>
      </c>
      <c r="P264" s="379"/>
      <c r="Q264" s="379"/>
      <c r="R264" s="379">
        <f>SUM(R240:R263)</f>
        <v>708.38080000000002</v>
      </c>
      <c r="S264" s="379"/>
      <c r="T264" s="2683"/>
      <c r="U264" s="2684">
        <f>SUM(U240:U263)</f>
        <v>905.9369824561403</v>
      </c>
    </row>
  </sheetData>
  <mergeCells count="32">
    <mergeCell ref="C104:D105"/>
    <mergeCell ref="A106:A109"/>
    <mergeCell ref="G113:H115"/>
    <mergeCell ref="E116:E119"/>
    <mergeCell ref="U20:U26"/>
    <mergeCell ref="U27:X27"/>
    <mergeCell ref="U28:U34"/>
    <mergeCell ref="F138:F139"/>
    <mergeCell ref="G138:G139"/>
    <mergeCell ref="H138:H139"/>
    <mergeCell ref="C208:H208"/>
    <mergeCell ref="C209:H209"/>
    <mergeCell ref="G164:G165"/>
    <mergeCell ref="C142:D142"/>
    <mergeCell ref="C144:D144"/>
    <mergeCell ref="C146:D146"/>
    <mergeCell ref="C138:D139"/>
    <mergeCell ref="E138:E139"/>
    <mergeCell ref="T238:T239"/>
    <mergeCell ref="U238:U239"/>
    <mergeCell ref="B217:H217"/>
    <mergeCell ref="C207:H207"/>
    <mergeCell ref="C212:H212"/>
    <mergeCell ref="C213:H213"/>
    <mergeCell ref="C214:H214"/>
    <mergeCell ref="C215:H215"/>
    <mergeCell ref="S238:S239"/>
    <mergeCell ref="P238:P239"/>
    <mergeCell ref="Q238:Q239"/>
    <mergeCell ref="C210:H210"/>
    <mergeCell ref="C211:H211"/>
    <mergeCell ref="C216:H216"/>
  </mergeCells>
  <conditionalFormatting sqref="N2:N90">
    <cfRule type="cellIs" dxfId="1" priority="1" operator="lessThan">
      <formula>-0.05</formula>
    </cfRule>
    <cfRule type="cellIs" dxfId="0" priority="2" operator="greaterThan">
      <formula>0.05</formula>
    </cfRule>
  </conditionalFormatting>
  <pageMargins left="0.70866141732283472" right="0.70866141732283472" top="0.74803149606299213" bottom="0.74803149606299213" header="0.31496062992125984" footer="0.31496062992125984"/>
  <pageSetup paperSize="9" scale="56" orientation="portrait"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72"/>
  <sheetViews>
    <sheetView topLeftCell="B46" workbookViewId="0">
      <selection activeCell="E67" sqref="E67"/>
    </sheetView>
  </sheetViews>
  <sheetFormatPr baseColWidth="10" defaultRowHeight="15" x14ac:dyDescent="0.25"/>
  <cols>
    <col min="1" max="1" width="21.140625" customWidth="1"/>
    <col min="2" max="2" width="120.5703125" customWidth="1"/>
    <col min="3" max="3" width="13" customWidth="1"/>
    <col min="4" max="4" width="8" bestFit="1" customWidth="1"/>
    <col min="6" max="6" width="14.7109375" customWidth="1"/>
    <col min="7" max="7" width="13.85546875" customWidth="1"/>
    <col min="8" max="8" width="13.5703125" bestFit="1" customWidth="1"/>
    <col min="9" max="9" width="23.28515625" bestFit="1" customWidth="1"/>
    <col min="10" max="10" width="25.85546875" bestFit="1" customWidth="1"/>
    <col min="11" max="11" width="26.42578125" bestFit="1" customWidth="1"/>
  </cols>
  <sheetData>
    <row r="1" spans="1:11" s="1383" customFormat="1" x14ac:dyDescent="0.25">
      <c r="B1" s="1360" t="s">
        <v>2477</v>
      </c>
    </row>
    <row r="2" spans="1:11" s="11" customFormat="1" x14ac:dyDescent="0.25">
      <c r="D2" s="11" t="s">
        <v>76</v>
      </c>
      <c r="E2" s="11" t="s">
        <v>741</v>
      </c>
      <c r="F2" s="11" t="s">
        <v>745</v>
      </c>
    </row>
    <row r="3" spans="1:11" x14ac:dyDescent="0.25">
      <c r="B3" s="14" t="s">
        <v>418</v>
      </c>
      <c r="C3" s="239">
        <v>106202659</v>
      </c>
      <c r="D3" s="238">
        <v>13.69</v>
      </c>
      <c r="E3" s="240">
        <f>D3/0.6</f>
        <v>22.816666666666666</v>
      </c>
      <c r="H3" s="3683"/>
      <c r="I3" s="3686" t="s">
        <v>3412</v>
      </c>
      <c r="J3" s="3686" t="s">
        <v>3413</v>
      </c>
      <c r="K3" s="3686" t="s">
        <v>3414</v>
      </c>
    </row>
    <row r="4" spans="1:11" s="219" customFormat="1" ht="30" customHeight="1" x14ac:dyDescent="0.25">
      <c r="A4" s="11"/>
      <c r="B4"/>
      <c r="C4" s="39"/>
      <c r="D4" s="39"/>
      <c r="E4"/>
      <c r="H4" s="3684"/>
      <c r="I4" s="3240" t="s">
        <v>3422</v>
      </c>
      <c r="J4" s="3684" t="s">
        <v>3415</v>
      </c>
      <c r="K4" s="3684" t="s">
        <v>3416</v>
      </c>
    </row>
    <row r="5" spans="1:11" s="11" customFormat="1" x14ac:dyDescent="0.25">
      <c r="A5"/>
      <c r="B5" s="1" t="s">
        <v>455</v>
      </c>
      <c r="C5" s="39"/>
      <c r="D5" s="39"/>
      <c r="E5"/>
      <c r="H5" s="3686" t="s">
        <v>345</v>
      </c>
      <c r="I5" s="3685" t="s">
        <v>3418</v>
      </c>
      <c r="J5" s="3685" t="s">
        <v>3419</v>
      </c>
      <c r="K5" s="3685" t="s">
        <v>3420</v>
      </c>
    </row>
    <row r="6" spans="1:11" s="11" customFormat="1" ht="15.75" customHeight="1" x14ac:dyDescent="0.25">
      <c r="A6" s="11" t="s">
        <v>707</v>
      </c>
      <c r="B6" s="303" t="s">
        <v>456</v>
      </c>
      <c r="C6" s="302">
        <v>106105136</v>
      </c>
      <c r="D6" s="304">
        <v>1.79</v>
      </c>
      <c r="E6" s="304">
        <f>F6/0.8</f>
        <v>2.3552631578947367</v>
      </c>
      <c r="F6" s="410">
        <f>D6/0.95</f>
        <v>1.8842105263157896</v>
      </c>
      <c r="H6" s="3686" t="s">
        <v>3417</v>
      </c>
      <c r="I6" s="3685" t="s">
        <v>3419</v>
      </c>
      <c r="J6" s="3685" t="s">
        <v>3420</v>
      </c>
      <c r="K6" s="3685" t="s">
        <v>3421</v>
      </c>
    </row>
    <row r="7" spans="1:11" s="11" customFormat="1" ht="15.75" customHeight="1" x14ac:dyDescent="0.25">
      <c r="A7"/>
      <c r="B7" s="303" t="s">
        <v>457</v>
      </c>
      <c r="C7" s="302">
        <v>106105138</v>
      </c>
      <c r="D7" s="304">
        <v>1.52</v>
      </c>
      <c r="E7" s="304">
        <f>F7/0.8</f>
        <v>2</v>
      </c>
      <c r="F7" s="410">
        <f>D7/0.95</f>
        <v>1.6</v>
      </c>
    </row>
    <row r="8" spans="1:11" s="11" customFormat="1" ht="15.75" customHeight="1" x14ac:dyDescent="0.25">
      <c r="A8"/>
      <c r="B8" s="303"/>
      <c r="C8" s="39"/>
      <c r="D8" s="304"/>
      <c r="E8" s="304"/>
    </row>
    <row r="9" spans="1:11" s="11" customFormat="1" ht="15.75" customHeight="1" x14ac:dyDescent="0.25">
      <c r="A9" s="11" t="s">
        <v>708</v>
      </c>
      <c r="B9" s="303" t="s">
        <v>459</v>
      </c>
      <c r="C9" s="302">
        <v>106105140</v>
      </c>
      <c r="D9" s="304"/>
      <c r="E9" s="304"/>
      <c r="F9" s="410"/>
    </row>
    <row r="10" spans="1:11" s="11" customFormat="1" ht="15.75" customHeight="1" x14ac:dyDescent="0.25">
      <c r="A10"/>
      <c r="B10" s="303" t="s">
        <v>458</v>
      </c>
      <c r="C10" s="302">
        <v>106105141</v>
      </c>
      <c r="D10" s="304"/>
      <c r="E10" s="304"/>
      <c r="F10" s="410"/>
    </row>
    <row r="11" spans="1:11" s="11" customFormat="1" ht="15.75" customHeight="1" x14ac:dyDescent="0.25"/>
    <row r="12" spans="1:11" x14ac:dyDescent="0.25">
      <c r="B12" s="305" t="s">
        <v>742</v>
      </c>
      <c r="C12" s="689">
        <v>106107044</v>
      </c>
      <c r="D12" s="304">
        <v>0.24</v>
      </c>
      <c r="E12" s="304">
        <f>F12/0.8</f>
        <v>0.31578947368421051</v>
      </c>
      <c r="F12" s="410">
        <f>D12/0.95</f>
        <v>0.25263157894736843</v>
      </c>
    </row>
    <row r="16" spans="1:11" x14ac:dyDescent="0.25">
      <c r="B16" s="11" t="s">
        <v>752</v>
      </c>
      <c r="C16" s="122">
        <v>106107025</v>
      </c>
      <c r="D16" s="304">
        <v>0.14000000000000001</v>
      </c>
      <c r="E16" s="304">
        <f>F16/0.8</f>
        <v>0.18421052631578949</v>
      </c>
      <c r="F16" s="410">
        <f>D16/0.95</f>
        <v>0.14736842105263159</v>
      </c>
      <c r="G16" s="11" t="s">
        <v>753</v>
      </c>
    </row>
    <row r="17" spans="1:6" s="11" customFormat="1" x14ac:dyDescent="0.25">
      <c r="A17" s="4452" t="s">
        <v>985</v>
      </c>
      <c r="B17" s="953" t="s">
        <v>986</v>
      </c>
      <c r="C17" s="122">
        <v>106107013</v>
      </c>
      <c r="D17" s="304">
        <f>0.08</f>
        <v>0.08</v>
      </c>
      <c r="E17" s="304">
        <f>F17/0.8</f>
        <v>0.10526315789473685</v>
      </c>
      <c r="F17" s="410">
        <f>D17/0.95</f>
        <v>8.4210526315789486E-2</v>
      </c>
    </row>
    <row r="18" spans="1:6" s="11" customFormat="1" x14ac:dyDescent="0.25">
      <c r="A18" s="4452"/>
      <c r="B18" s="953" t="s">
        <v>987</v>
      </c>
      <c r="C18" s="122">
        <v>106106098</v>
      </c>
      <c r="D18" s="304">
        <v>0.03</v>
      </c>
      <c r="E18" s="304">
        <f>F18/0.8</f>
        <v>3.9473684210526314E-2</v>
      </c>
      <c r="F18" s="410">
        <f>D18/0.95</f>
        <v>3.1578947368421054E-2</v>
      </c>
    </row>
    <row r="19" spans="1:6" s="11" customFormat="1" x14ac:dyDescent="0.25">
      <c r="A19" s="4452"/>
      <c r="B19" s="953" t="s">
        <v>988</v>
      </c>
      <c r="C19" s="122">
        <v>106107495</v>
      </c>
      <c r="D19" s="304">
        <v>0.34</v>
      </c>
      <c r="E19" s="304">
        <f>F19/0.8</f>
        <v>0.44736842105263164</v>
      </c>
      <c r="F19" s="410">
        <f>D19/0.95</f>
        <v>0.35789473684210532</v>
      </c>
    </row>
    <row r="20" spans="1:6" s="11" customFormat="1" x14ac:dyDescent="0.25">
      <c r="C20" s="122"/>
      <c r="D20" s="304"/>
      <c r="E20" s="304"/>
      <c r="F20" s="410"/>
    </row>
    <row r="23" spans="1:6" x14ac:dyDescent="0.25">
      <c r="B23" s="1383" t="s">
        <v>1568</v>
      </c>
      <c r="C23">
        <v>106105108</v>
      </c>
      <c r="D23" s="304">
        <v>9.65</v>
      </c>
      <c r="E23" s="304">
        <f>F23/0.6</f>
        <v>20.104166666666668</v>
      </c>
      <c r="F23" s="410">
        <f>D23/0.8</f>
        <v>12.0625</v>
      </c>
    </row>
    <row r="24" spans="1:6" s="11" customFormat="1" x14ac:dyDescent="0.25">
      <c r="B24" s="11" t="s">
        <v>800</v>
      </c>
      <c r="C24" s="122">
        <v>106106240</v>
      </c>
      <c r="D24" s="304">
        <v>25.03</v>
      </c>
      <c r="E24" s="304">
        <f>F24/0.6</f>
        <v>52.145833333333336</v>
      </c>
      <c r="F24" s="410">
        <f>D24/0.8</f>
        <v>31.287500000000001</v>
      </c>
    </row>
    <row r="27" spans="1:6" x14ac:dyDescent="0.25">
      <c r="A27" s="11" t="s">
        <v>784</v>
      </c>
      <c r="B27" s="1383" t="s">
        <v>995</v>
      </c>
      <c r="C27" s="305">
        <v>106203760</v>
      </c>
      <c r="D27" s="2700">
        <v>28.31</v>
      </c>
      <c r="F27" s="410">
        <f>D27/0.6</f>
        <v>47.18333333333333</v>
      </c>
    </row>
    <row r="28" spans="1:6" s="11" customFormat="1" x14ac:dyDescent="0.25">
      <c r="A28" s="1383" t="s">
        <v>989</v>
      </c>
      <c r="B28" s="1383" t="s">
        <v>991</v>
      </c>
      <c r="C28" s="11">
        <v>106203848</v>
      </c>
      <c r="D28" s="304">
        <v>122.86</v>
      </c>
      <c r="E28" s="304"/>
      <c r="F28" s="410">
        <f>D28/0.6</f>
        <v>204.76666666666668</v>
      </c>
    </row>
    <row r="29" spans="1:6" s="11" customFormat="1" x14ac:dyDescent="0.25">
      <c r="A29" s="1383" t="s">
        <v>934</v>
      </c>
      <c r="B29" s="1383" t="s">
        <v>992</v>
      </c>
      <c r="C29" s="11">
        <v>106200868</v>
      </c>
      <c r="D29" s="304">
        <v>47.84</v>
      </c>
      <c r="E29" s="304"/>
      <c r="F29" s="410">
        <f>D29/0.6</f>
        <v>79.733333333333348</v>
      </c>
    </row>
    <row r="30" spans="1:6" s="1383" customFormat="1" x14ac:dyDescent="0.25">
      <c r="D30" s="304"/>
      <c r="E30" s="304"/>
      <c r="F30" s="410"/>
    </row>
    <row r="31" spans="1:6" x14ac:dyDescent="0.25">
      <c r="A31" s="11" t="s">
        <v>927</v>
      </c>
    </row>
    <row r="32" spans="1:6" ht="15.75" thickBot="1" x14ac:dyDescent="0.3"/>
    <row r="33" spans="1:7" s="1383" customFormat="1" x14ac:dyDescent="0.25">
      <c r="A33" s="1555"/>
      <c r="B33" s="2373" t="s">
        <v>1524</v>
      </c>
      <c r="C33" s="773"/>
      <c r="D33" s="773"/>
      <c r="E33" s="773"/>
      <c r="F33" s="1556"/>
    </row>
    <row r="34" spans="1:7" x14ac:dyDescent="0.25">
      <c r="A34" s="4467" t="s">
        <v>821</v>
      </c>
      <c r="B34" s="624" t="s">
        <v>823</v>
      </c>
      <c r="C34" s="144">
        <v>106110238</v>
      </c>
      <c r="D34" s="693">
        <v>5.09</v>
      </c>
      <c r="E34" s="693">
        <f>F34/0.8</f>
        <v>6.6973684210526319</v>
      </c>
      <c r="F34" s="383">
        <f>D34/0.95</f>
        <v>5.3578947368421055</v>
      </c>
      <c r="G34" s="1383"/>
    </row>
    <row r="35" spans="1:7" x14ac:dyDescent="0.25">
      <c r="A35" s="4467"/>
      <c r="B35" s="624" t="s">
        <v>822</v>
      </c>
      <c r="C35" s="144">
        <v>106110239</v>
      </c>
      <c r="D35" s="693">
        <v>4.26</v>
      </c>
      <c r="E35" s="693">
        <f>F35/0.8</f>
        <v>5.6052631578947363</v>
      </c>
      <c r="F35" s="383">
        <f>D35/0.95</f>
        <v>4.4842105263157892</v>
      </c>
      <c r="G35" s="1383"/>
    </row>
    <row r="36" spans="1:7" s="1383" customFormat="1" x14ac:dyDescent="0.25">
      <c r="A36" s="2359"/>
      <c r="B36" s="624"/>
      <c r="C36" s="144"/>
      <c r="D36" s="693"/>
      <c r="E36" s="693"/>
      <c r="F36" s="383"/>
    </row>
    <row r="37" spans="1:7" s="1383" customFormat="1" x14ac:dyDescent="0.25">
      <c r="A37" s="4466" t="s">
        <v>1523</v>
      </c>
      <c r="B37" s="624" t="s">
        <v>1521</v>
      </c>
      <c r="C37" s="1557">
        <v>106106449</v>
      </c>
      <c r="D37" s="693" t="s">
        <v>0</v>
      </c>
      <c r="E37" s="693">
        <v>6.03</v>
      </c>
      <c r="F37" s="383">
        <v>4.82</v>
      </c>
    </row>
    <row r="38" spans="1:7" s="1383" customFormat="1" ht="19.5" customHeight="1" x14ac:dyDescent="0.25">
      <c r="A38" s="4466"/>
      <c r="B38" s="624" t="s">
        <v>1522</v>
      </c>
      <c r="C38" s="1557">
        <v>106106450</v>
      </c>
      <c r="D38" s="693" t="s">
        <v>0</v>
      </c>
      <c r="E38" s="693">
        <v>5.36</v>
      </c>
      <c r="F38" s="383">
        <v>4.28</v>
      </c>
    </row>
    <row r="39" spans="1:7" s="11" customFormat="1" x14ac:dyDescent="0.25">
      <c r="A39" s="402"/>
      <c r="B39" s="624"/>
      <c r="C39" s="144"/>
      <c r="D39" s="693"/>
      <c r="E39" s="144"/>
      <c r="F39" s="383"/>
    </row>
    <row r="40" spans="1:7" s="11" customFormat="1" x14ac:dyDescent="0.25">
      <c r="A40" s="4467" t="s">
        <v>824</v>
      </c>
      <c r="B40" s="1558" t="s">
        <v>816</v>
      </c>
      <c r="C40" s="1557">
        <v>106106457</v>
      </c>
      <c r="D40" s="693">
        <v>0.02</v>
      </c>
      <c r="E40" s="693">
        <f>F40/0.8</f>
        <v>2.6315789473684213E-2</v>
      </c>
      <c r="F40" s="383">
        <f>D40/0.95</f>
        <v>2.1052631578947371E-2</v>
      </c>
    </row>
    <row r="41" spans="1:7" s="11" customFormat="1" x14ac:dyDescent="0.25">
      <c r="A41" s="4467"/>
      <c r="B41" s="1558" t="s">
        <v>820</v>
      </c>
      <c r="C41" s="1559">
        <v>106106451</v>
      </c>
      <c r="D41" s="693">
        <v>1.41</v>
      </c>
      <c r="E41" s="693">
        <f>F41/0.8</f>
        <v>1.8552631578947367</v>
      </c>
      <c r="F41" s="383">
        <f>D41/0.95</f>
        <v>1.4842105263157894</v>
      </c>
    </row>
    <row r="42" spans="1:7" s="11" customFormat="1" x14ac:dyDescent="0.25">
      <c r="A42" s="4467"/>
      <c r="B42" s="1558" t="s">
        <v>817</v>
      </c>
      <c r="C42" s="1557">
        <v>106106440</v>
      </c>
      <c r="D42" s="693">
        <v>1.24</v>
      </c>
      <c r="E42" s="693">
        <f>F42/0.8</f>
        <v>1.631578947368421</v>
      </c>
      <c r="F42" s="383">
        <f>D42/0.95</f>
        <v>1.3052631578947369</v>
      </c>
    </row>
    <row r="43" spans="1:7" s="11" customFormat="1" x14ac:dyDescent="0.25">
      <c r="A43" s="4467"/>
      <c r="B43" s="1558" t="s">
        <v>818</v>
      </c>
      <c r="C43" s="1557">
        <v>106106454</v>
      </c>
      <c r="D43" s="693">
        <v>0.01</v>
      </c>
      <c r="E43" s="693">
        <f>F43/0.8</f>
        <v>1.3157894736842106E-2</v>
      </c>
      <c r="F43" s="383">
        <f>D43/0.95</f>
        <v>1.0526315789473686E-2</v>
      </c>
    </row>
    <row r="44" spans="1:7" s="11" customFormat="1" ht="15.75" thickBot="1" x14ac:dyDescent="0.3">
      <c r="A44" s="4468"/>
      <c r="B44" s="1560" t="s">
        <v>819</v>
      </c>
      <c r="C44" s="1561">
        <v>106106459</v>
      </c>
      <c r="D44" s="1562">
        <v>0.02</v>
      </c>
      <c r="E44" s="1562">
        <f>F44/0.8</f>
        <v>2.6315789473684213E-2</v>
      </c>
      <c r="F44" s="384">
        <f>D44/0.95</f>
        <v>2.1052631578947371E-2</v>
      </c>
    </row>
    <row r="45" spans="1:7" s="11" customFormat="1" x14ac:dyDescent="0.25">
      <c r="A45" s="1555"/>
      <c r="B45" s="2373" t="s">
        <v>3913</v>
      </c>
      <c r="C45" s="773"/>
      <c r="D45" s="773"/>
      <c r="E45" s="773"/>
      <c r="F45" s="1556"/>
    </row>
    <row r="46" spans="1:7" s="1383" customFormat="1" x14ac:dyDescent="0.25">
      <c r="A46" s="4467" t="s">
        <v>3914</v>
      </c>
      <c r="B46" s="3941" t="s">
        <v>3915</v>
      </c>
      <c r="C46" s="2691">
        <v>106106464</v>
      </c>
      <c r="D46" s="1281">
        <v>2.93</v>
      </c>
      <c r="E46" s="2702">
        <f>D46/0.8</f>
        <v>3.6625000000000001</v>
      </c>
      <c r="F46" s="3942">
        <f>D46/0.95</f>
        <v>3.0842105263157897</v>
      </c>
    </row>
    <row r="47" spans="1:7" s="1383" customFormat="1" x14ac:dyDescent="0.25">
      <c r="A47" s="4467"/>
      <c r="B47" s="3941" t="s">
        <v>3916</v>
      </c>
      <c r="C47" s="2691">
        <v>106106452</v>
      </c>
      <c r="D47" s="1281">
        <v>1.65</v>
      </c>
      <c r="E47" s="2702">
        <f t="shared" ref="E47:E51" si="0">D47/0.8</f>
        <v>2.0624999999999996</v>
      </c>
      <c r="F47" s="3942">
        <f t="shared" ref="F47:F51" si="1">D47/0.95</f>
        <v>1.736842105263158</v>
      </c>
    </row>
    <row r="48" spans="1:7" s="1383" customFormat="1" x14ac:dyDescent="0.25">
      <c r="A48" s="4472" t="s">
        <v>3921</v>
      </c>
      <c r="B48" s="3941" t="s">
        <v>3917</v>
      </c>
      <c r="C48" s="2691">
        <v>106106466</v>
      </c>
      <c r="D48" s="1281">
        <v>2.86</v>
      </c>
      <c r="E48" s="2702">
        <f t="shared" si="0"/>
        <v>3.5749999999999997</v>
      </c>
      <c r="F48" s="3942">
        <f t="shared" si="1"/>
        <v>3.0105263157894737</v>
      </c>
    </row>
    <row r="49" spans="1:6" s="1383" customFormat="1" x14ac:dyDescent="0.25">
      <c r="A49" s="4472"/>
      <c r="B49" s="3941" t="s">
        <v>3918</v>
      </c>
      <c r="C49" s="2691">
        <v>106106455</v>
      </c>
      <c r="D49" s="1281">
        <v>1.26</v>
      </c>
      <c r="E49" s="2702">
        <f t="shared" si="0"/>
        <v>1.575</v>
      </c>
      <c r="F49" s="3942">
        <f t="shared" si="1"/>
        <v>1.3263157894736843</v>
      </c>
    </row>
    <row r="50" spans="1:6" s="1383" customFormat="1" x14ac:dyDescent="0.25">
      <c r="A50" s="4472"/>
      <c r="B50" s="3941" t="s">
        <v>3919</v>
      </c>
      <c r="C50" s="2691">
        <v>106106440</v>
      </c>
      <c r="D50" s="1281">
        <v>1.24</v>
      </c>
      <c r="E50" s="2702">
        <f t="shared" si="0"/>
        <v>1.5499999999999998</v>
      </c>
      <c r="F50" s="3942">
        <f t="shared" si="1"/>
        <v>1.3052631578947369</v>
      </c>
    </row>
    <row r="51" spans="1:6" s="1383" customFormat="1" ht="15.75" thickBot="1" x14ac:dyDescent="0.3">
      <c r="A51" s="4473"/>
      <c r="B51" s="3943" t="s">
        <v>3920</v>
      </c>
      <c r="C51" s="3944">
        <v>106106441</v>
      </c>
      <c r="D51" s="3945">
        <v>0.15</v>
      </c>
      <c r="E51" s="3946">
        <f t="shared" si="0"/>
        <v>0.18749999999999997</v>
      </c>
      <c r="F51" s="3947">
        <f t="shared" si="1"/>
        <v>0.15789473684210525</v>
      </c>
    </row>
    <row r="52" spans="1:6" s="1383" customFormat="1" x14ac:dyDescent="0.25">
      <c r="B52" s="765"/>
    </row>
    <row r="53" spans="1:6" x14ac:dyDescent="0.25">
      <c r="A53" s="11" t="s">
        <v>799</v>
      </c>
      <c r="B53" s="1383" t="s">
        <v>798</v>
      </c>
      <c r="C53">
        <v>106202098</v>
      </c>
      <c r="D53" s="304">
        <v>11.02</v>
      </c>
      <c r="E53" s="11" t="s">
        <v>815</v>
      </c>
      <c r="F53" s="410">
        <f>D53/0.8</f>
        <v>13.774999999999999</v>
      </c>
    </row>
    <row r="54" spans="1:6" x14ac:dyDescent="0.25">
      <c r="A54" s="1383" t="s">
        <v>2818</v>
      </c>
      <c r="B54" s="1383" t="s">
        <v>2819</v>
      </c>
      <c r="C54" s="122">
        <v>106110312</v>
      </c>
      <c r="D54" s="304">
        <v>4.3099999999999996</v>
      </c>
      <c r="F54" s="410">
        <f>D54/0.8</f>
        <v>5.3874999999999993</v>
      </c>
    </row>
    <row r="56" spans="1:6" x14ac:dyDescent="0.25">
      <c r="A56" s="857" t="s">
        <v>807</v>
      </c>
      <c r="B56" s="1383" t="s">
        <v>814</v>
      </c>
      <c r="C56" s="763">
        <v>106113001</v>
      </c>
      <c r="D56" s="3847">
        <v>2.5299999999999998</v>
      </c>
      <c r="E56" s="304">
        <f>D56/0.6</f>
        <v>4.2166666666666668</v>
      </c>
      <c r="F56" s="304">
        <f>D56/0.8</f>
        <v>3.1624999999999996</v>
      </c>
    </row>
    <row r="57" spans="1:6" x14ac:dyDescent="0.25">
      <c r="A57" s="962" t="s">
        <v>808</v>
      </c>
      <c r="B57" s="1383" t="s">
        <v>804</v>
      </c>
      <c r="C57" s="763">
        <v>106113003</v>
      </c>
      <c r="D57" s="3847">
        <v>3.58</v>
      </c>
      <c r="E57" s="304">
        <f>D57/0.6</f>
        <v>5.9666666666666668</v>
      </c>
      <c r="F57" s="304">
        <f>D57/0.8</f>
        <v>4.4749999999999996</v>
      </c>
    </row>
    <row r="58" spans="1:6" s="1315" customFormat="1" x14ac:dyDescent="0.25">
      <c r="A58" s="1320"/>
      <c r="C58" s="763"/>
      <c r="D58" s="304"/>
      <c r="E58" s="304"/>
      <c r="F58" s="304"/>
    </row>
    <row r="59" spans="1:6" s="1315" customFormat="1" x14ac:dyDescent="0.25">
      <c r="A59" s="2550" t="s">
        <v>1219</v>
      </c>
      <c r="B59" s="1383" t="s">
        <v>1221</v>
      </c>
      <c r="C59" s="763">
        <v>106104352</v>
      </c>
      <c r="D59" s="304">
        <v>39.14</v>
      </c>
      <c r="E59" s="304">
        <f>D59/0.6</f>
        <v>65.233333333333334</v>
      </c>
      <c r="F59" s="304">
        <f>D59/0.8</f>
        <v>48.924999999999997</v>
      </c>
    </row>
    <row r="60" spans="1:6" s="1315" customFormat="1" x14ac:dyDescent="0.25">
      <c r="A60" s="1320" t="s">
        <v>1220</v>
      </c>
      <c r="B60" s="1383" t="s">
        <v>1350</v>
      </c>
      <c r="C60" s="763"/>
      <c r="D60" s="304">
        <v>2.46</v>
      </c>
      <c r="E60" s="304"/>
      <c r="F60" s="304">
        <f>D60/0.8</f>
        <v>3.0749999999999997</v>
      </c>
    </row>
    <row r="61" spans="1:6" s="1383" customFormat="1" x14ac:dyDescent="0.25">
      <c r="A61" s="1382" t="s">
        <v>1349</v>
      </c>
      <c r="B61" s="1383" t="s">
        <v>1351</v>
      </c>
      <c r="C61" s="763"/>
      <c r="D61" s="304">
        <v>13.48</v>
      </c>
      <c r="E61" s="304"/>
      <c r="F61" s="304">
        <f>D61/0.8</f>
        <v>16.849999999999998</v>
      </c>
    </row>
    <row r="62" spans="1:6" s="1383" customFormat="1" x14ac:dyDescent="0.25">
      <c r="A62" s="1571">
        <v>106104373</v>
      </c>
      <c r="B62" s="1383" t="s">
        <v>1569</v>
      </c>
      <c r="C62" s="763"/>
      <c r="D62" s="304"/>
      <c r="E62" s="304">
        <v>13.76</v>
      </c>
      <c r="F62" s="304"/>
    </row>
    <row r="63" spans="1:6" s="1383" customFormat="1" x14ac:dyDescent="0.25">
      <c r="A63" s="1571" t="s">
        <v>3266</v>
      </c>
      <c r="B63" s="305" t="s">
        <v>3268</v>
      </c>
      <c r="C63" s="305">
        <v>106104358</v>
      </c>
      <c r="D63" s="304"/>
      <c r="E63" s="304"/>
      <c r="F63" s="304"/>
    </row>
    <row r="64" spans="1:6" s="1383" customFormat="1" x14ac:dyDescent="0.25">
      <c r="A64" s="1571" t="s">
        <v>3267</v>
      </c>
      <c r="B64" s="305" t="s">
        <v>3269</v>
      </c>
      <c r="C64" s="305">
        <v>106104359</v>
      </c>
      <c r="D64" s="304">
        <v>5.98</v>
      </c>
      <c r="E64" s="304">
        <f>D64/0.6</f>
        <v>9.9666666666666686</v>
      </c>
      <c r="F64" s="304">
        <f>D64/0.8</f>
        <v>7.4750000000000005</v>
      </c>
    </row>
    <row r="65" spans="1:6" s="1383" customFormat="1" x14ac:dyDescent="0.25">
      <c r="A65" s="1571"/>
      <c r="B65" s="305" t="s">
        <v>3374</v>
      </c>
      <c r="C65" s="689">
        <v>106104370</v>
      </c>
      <c r="D65" s="304">
        <v>15.27</v>
      </c>
      <c r="E65" s="304">
        <f>D65/0.6</f>
        <v>25.45</v>
      </c>
      <c r="F65" s="304">
        <f>D65/0.8</f>
        <v>19.087499999999999</v>
      </c>
    </row>
    <row r="66" spans="1:6" s="1383" customFormat="1" x14ac:dyDescent="0.25">
      <c r="A66" s="1571"/>
      <c r="B66" s="226" t="s">
        <v>4188</v>
      </c>
      <c r="C66">
        <v>106106401</v>
      </c>
      <c r="D66" s="2700">
        <v>20.079999999999998</v>
      </c>
      <c r="E66" s="410">
        <f>D66/0.6</f>
        <v>33.466666666666669</v>
      </c>
      <c r="F66" s="410">
        <f>D66/0.8</f>
        <v>25.099999999999998</v>
      </c>
    </row>
    <row r="68" spans="1:6" x14ac:dyDescent="0.25">
      <c r="B68" s="1383" t="s">
        <v>2614</v>
      </c>
      <c r="C68" s="14" t="s">
        <v>906</v>
      </c>
      <c r="D68" s="11">
        <v>1.38</v>
      </c>
      <c r="E68" s="304">
        <f>D68/0.6</f>
        <v>2.2999999999999998</v>
      </c>
      <c r="F68" s="304">
        <f>D68/0.8</f>
        <v>1.7249999999999999</v>
      </c>
    </row>
    <row r="69" spans="1:6" s="1383" customFormat="1" x14ac:dyDescent="0.25">
      <c r="B69" s="1383" t="s">
        <v>3223</v>
      </c>
      <c r="C69" s="239">
        <v>106112746</v>
      </c>
      <c r="D69" s="304">
        <v>2.72</v>
      </c>
      <c r="E69" s="304">
        <f>D69/0.6</f>
        <v>4.5333333333333341</v>
      </c>
      <c r="F69" s="304"/>
    </row>
    <row r="70" spans="1:6" x14ac:dyDescent="0.25">
      <c r="B70" s="11" t="s">
        <v>909</v>
      </c>
      <c r="C70" s="11" t="s">
        <v>908</v>
      </c>
    </row>
    <row r="71" spans="1:6" s="11" customFormat="1" x14ac:dyDescent="0.25"/>
    <row r="72" spans="1:6" s="1383" customFormat="1" x14ac:dyDescent="0.25">
      <c r="B72" s="14"/>
      <c r="C72" s="239"/>
      <c r="D72" s="14"/>
      <c r="E72" s="304"/>
      <c r="F72" s="304"/>
    </row>
    <row r="73" spans="1:6" s="1383" customFormat="1" x14ac:dyDescent="0.25">
      <c r="A73" s="4469" t="s">
        <v>3025</v>
      </c>
      <c r="B73" s="14" t="s">
        <v>3023</v>
      </c>
      <c r="C73" s="239">
        <v>106116693</v>
      </c>
      <c r="D73" s="14">
        <v>139.02000000000001</v>
      </c>
      <c r="E73" s="304"/>
      <c r="F73" s="304">
        <f>D73/0.8</f>
        <v>173.77500000000001</v>
      </c>
    </row>
    <row r="74" spans="1:6" s="1383" customFormat="1" x14ac:dyDescent="0.25">
      <c r="A74" s="4469"/>
      <c r="B74" s="14" t="s">
        <v>3024</v>
      </c>
      <c r="C74" s="239">
        <v>106116692</v>
      </c>
      <c r="D74" s="14"/>
      <c r="E74" s="304"/>
      <c r="F74" s="304"/>
    </row>
    <row r="75" spans="1:6" s="1383" customFormat="1" x14ac:dyDescent="0.25">
      <c r="B75" s="14"/>
      <c r="C75" s="239"/>
      <c r="D75" s="14"/>
      <c r="E75" s="304"/>
      <c r="F75" s="304"/>
    </row>
    <row r="76" spans="1:6" s="1383" customFormat="1" x14ac:dyDescent="0.25">
      <c r="B76" s="14"/>
      <c r="C76" s="239"/>
      <c r="D76" s="14"/>
      <c r="E76" s="304"/>
      <c r="F76" s="304"/>
    </row>
    <row r="77" spans="1:6" s="1383" customFormat="1" x14ac:dyDescent="0.25">
      <c r="B77" s="411" t="s">
        <v>2191</v>
      </c>
      <c r="C77" s="239"/>
      <c r="D77" s="304">
        <v>336.02</v>
      </c>
      <c r="E77" s="304"/>
      <c r="F77" s="304"/>
    </row>
    <row r="78" spans="1:6" s="1383" customFormat="1" x14ac:dyDescent="0.25">
      <c r="B78" s="411"/>
      <c r="C78" s="239"/>
      <c r="D78" s="304"/>
      <c r="E78" s="304"/>
      <c r="F78" s="304"/>
    </row>
    <row r="79" spans="1:6" s="1383" customFormat="1" x14ac:dyDescent="0.25">
      <c r="A79" s="4452" t="s">
        <v>3309</v>
      </c>
      <c r="B79" s="305" t="s">
        <v>3303</v>
      </c>
      <c r="C79" s="689">
        <v>106103853</v>
      </c>
      <c r="D79" s="304">
        <v>6.6</v>
      </c>
      <c r="E79" s="304">
        <f t="shared" ref="E79:E91" si="2">D79/0.6</f>
        <v>11</v>
      </c>
      <c r="F79" s="304">
        <f>D79/0.8</f>
        <v>8.2499999999999982</v>
      </c>
    </row>
    <row r="80" spans="1:6" x14ac:dyDescent="0.25">
      <c r="A80" s="4452"/>
      <c r="B80" s="305" t="s">
        <v>3304</v>
      </c>
      <c r="C80" s="689">
        <v>106108492</v>
      </c>
      <c r="D80" s="304">
        <v>15.47</v>
      </c>
      <c r="E80" s="304">
        <f t="shared" si="2"/>
        <v>25.783333333333335</v>
      </c>
      <c r="F80" s="304">
        <f>D80/0.8</f>
        <v>19.337499999999999</v>
      </c>
    </row>
    <row r="81" spans="1:7" s="1383" customFormat="1" x14ac:dyDescent="0.25">
      <c r="A81" s="4452" t="s">
        <v>3308</v>
      </c>
      <c r="B81" s="305" t="s">
        <v>3301</v>
      </c>
      <c r="C81" s="689">
        <v>106111480</v>
      </c>
      <c r="D81" s="304">
        <v>6.6</v>
      </c>
      <c r="E81" s="304">
        <f>D81/0.6</f>
        <v>11</v>
      </c>
      <c r="F81" s="304">
        <f>D81/0.8</f>
        <v>8.2499999999999982</v>
      </c>
    </row>
    <row r="82" spans="1:7" s="1383" customFormat="1" x14ac:dyDescent="0.25">
      <c r="A82" s="4452"/>
      <c r="B82" s="305" t="s">
        <v>3302</v>
      </c>
      <c r="C82" s="689">
        <v>106111481</v>
      </c>
      <c r="D82" s="304">
        <v>15.47</v>
      </c>
      <c r="E82" s="304">
        <f>D82/0.6</f>
        <v>25.783333333333335</v>
      </c>
      <c r="F82" s="304">
        <f>D82/0.8</f>
        <v>19.337499999999999</v>
      </c>
    </row>
    <row r="83" spans="1:7" s="1383" customFormat="1" x14ac:dyDescent="0.25">
      <c r="B83" s="305"/>
      <c r="C83" s="689"/>
      <c r="D83" s="304"/>
      <c r="E83" s="304"/>
      <c r="F83" s="304"/>
    </row>
    <row r="84" spans="1:7" s="1383" customFormat="1" x14ac:dyDescent="0.25">
      <c r="B84" s="14" t="s">
        <v>2460</v>
      </c>
      <c r="C84" s="763">
        <v>106107588</v>
      </c>
      <c r="D84" s="304">
        <v>7.65</v>
      </c>
      <c r="E84" s="304">
        <f t="shared" si="2"/>
        <v>12.750000000000002</v>
      </c>
      <c r="F84" s="304">
        <f>D84/0.8</f>
        <v>9.5625</v>
      </c>
    </row>
    <row r="85" spans="1:7" s="1383" customFormat="1" x14ac:dyDescent="0.25">
      <c r="B85" s="3603" t="s">
        <v>3305</v>
      </c>
      <c r="C85" s="763"/>
      <c r="D85" s="304"/>
      <c r="E85" s="304"/>
    </row>
    <row r="86" spans="1:7" s="1383" customFormat="1" x14ac:dyDescent="0.25">
      <c r="B86" s="3603" t="s">
        <v>3306</v>
      </c>
      <c r="C86" s="763">
        <v>106126049</v>
      </c>
      <c r="D86" s="304"/>
      <c r="E86" s="304"/>
    </row>
    <row r="87" spans="1:7" s="1383" customFormat="1" x14ac:dyDescent="0.25">
      <c r="B87" s="3603" t="s">
        <v>3307</v>
      </c>
      <c r="C87" s="763">
        <v>106126050</v>
      </c>
      <c r="D87" s="304"/>
      <c r="E87" s="304"/>
    </row>
    <row r="88" spans="1:7" s="1383" customFormat="1" x14ac:dyDescent="0.25">
      <c r="B88" s="3603"/>
      <c r="C88" s="763"/>
      <c r="D88" s="304"/>
      <c r="E88" s="304"/>
    </row>
    <row r="89" spans="1:7" x14ac:dyDescent="0.25">
      <c r="A89" s="1383" t="s">
        <v>1419</v>
      </c>
      <c r="B89" s="1383" t="s">
        <v>2476</v>
      </c>
      <c r="C89" s="763">
        <v>106110968</v>
      </c>
      <c r="D89" s="304">
        <v>15.18</v>
      </c>
      <c r="E89" s="304">
        <f t="shared" si="2"/>
        <v>25.3</v>
      </c>
      <c r="F89" s="304">
        <f>D89/0.8</f>
        <v>18.974999999999998</v>
      </c>
      <c r="G89" t="s">
        <v>3409</v>
      </c>
    </row>
    <row r="90" spans="1:7" s="1383" customFormat="1" x14ac:dyDescent="0.25">
      <c r="B90" s="1383" t="s">
        <v>3102</v>
      </c>
      <c r="C90" s="763">
        <v>106123368</v>
      </c>
      <c r="D90" s="304">
        <v>2.2000000000000002</v>
      </c>
      <c r="E90" s="304">
        <f t="shared" si="2"/>
        <v>3.666666666666667</v>
      </c>
      <c r="F90" s="304">
        <f>D90/0.8</f>
        <v>2.75</v>
      </c>
    </row>
    <row r="91" spans="1:7" x14ac:dyDescent="0.25">
      <c r="A91" s="1383" t="s">
        <v>916</v>
      </c>
      <c r="B91" s="1383" t="s">
        <v>1202</v>
      </c>
      <c r="C91" s="763">
        <v>106201873</v>
      </c>
      <c r="D91" s="304">
        <v>10.72</v>
      </c>
      <c r="E91" s="304">
        <f t="shared" si="2"/>
        <v>17.866666666666667</v>
      </c>
      <c r="F91" s="304">
        <f>D91/0.8</f>
        <v>13.4</v>
      </c>
    </row>
    <row r="92" spans="1:7" x14ac:dyDescent="0.25">
      <c r="A92" s="1383" t="s">
        <v>1098</v>
      </c>
      <c r="B92" s="11" t="s">
        <v>1099</v>
      </c>
    </row>
    <row r="93" spans="1:7" s="1383" customFormat="1" x14ac:dyDescent="0.25">
      <c r="A93" s="1383" t="s">
        <v>3313</v>
      </c>
      <c r="B93" s="1383" t="s">
        <v>3314</v>
      </c>
      <c r="C93" s="1383">
        <v>106200500</v>
      </c>
      <c r="D93" s="304">
        <v>17.14</v>
      </c>
      <c r="E93" s="304">
        <f>D93/0.4</f>
        <v>42.85</v>
      </c>
      <c r="F93" s="304">
        <f>D93/0.6</f>
        <v>28.56666666666667</v>
      </c>
    </row>
    <row r="94" spans="1:7" s="1383" customFormat="1" x14ac:dyDescent="0.25">
      <c r="A94" s="1383" t="s">
        <v>1421</v>
      </c>
      <c r="B94" s="1383" t="s">
        <v>1420</v>
      </c>
      <c r="C94" s="763">
        <v>106110935</v>
      </c>
      <c r="D94" s="304">
        <v>19.96</v>
      </c>
      <c r="F94" s="304">
        <f>D94/0.8</f>
        <v>24.95</v>
      </c>
    </row>
    <row r="95" spans="1:7" s="1315" customFormat="1" x14ac:dyDescent="0.25"/>
    <row r="96" spans="1:7" s="1315" customFormat="1" x14ac:dyDescent="0.25">
      <c r="A96" s="4470" t="s">
        <v>3312</v>
      </c>
      <c r="B96" s="14" t="s">
        <v>3311</v>
      </c>
      <c r="C96" s="1319" t="s">
        <v>1203</v>
      </c>
      <c r="D96" s="304">
        <v>8.94</v>
      </c>
      <c r="E96" s="304">
        <f>D96/0.6</f>
        <v>14.9</v>
      </c>
      <c r="F96" s="304">
        <f>D96/0.8</f>
        <v>11.174999999999999</v>
      </c>
      <c r="G96" s="1383" t="s">
        <v>1570</v>
      </c>
    </row>
    <row r="97" spans="1:6" s="1383" customFormat="1" x14ac:dyDescent="0.25">
      <c r="A97" s="4470"/>
      <c r="B97" s="3600" t="s">
        <v>3310</v>
      </c>
      <c r="C97" s="763">
        <v>106200956</v>
      </c>
      <c r="D97" s="304"/>
      <c r="E97" s="304"/>
      <c r="F97" s="304"/>
    </row>
    <row r="98" spans="1:6" s="1383" customFormat="1" x14ac:dyDescent="0.25">
      <c r="B98" s="3600"/>
      <c r="C98" s="3601"/>
      <c r="D98" s="304"/>
      <c r="E98" s="304"/>
      <c r="F98" s="304"/>
    </row>
    <row r="99" spans="1:6" s="1315" customFormat="1" x14ac:dyDescent="0.25">
      <c r="B99" s="14" t="s">
        <v>1204</v>
      </c>
      <c r="C99" s="1319" t="s">
        <v>1205</v>
      </c>
      <c r="D99" s="304">
        <v>8.94</v>
      </c>
      <c r="E99" s="304">
        <f>D99/0.6</f>
        <v>14.9</v>
      </c>
      <c r="F99" s="304">
        <f>D99/0.8</f>
        <v>11.174999999999999</v>
      </c>
    </row>
    <row r="101" spans="1:6" x14ac:dyDescent="0.25">
      <c r="B101" s="11" t="s">
        <v>919</v>
      </c>
      <c r="C101" s="763">
        <v>106202564</v>
      </c>
      <c r="D101" s="304">
        <v>78.739999999999995</v>
      </c>
      <c r="F101" s="410">
        <f>D101/0.8</f>
        <v>98.424999999999983</v>
      </c>
    </row>
    <row r="102" spans="1:6" s="1383" customFormat="1" x14ac:dyDescent="0.25">
      <c r="B102" s="411" t="s">
        <v>3277</v>
      </c>
      <c r="C102" s="763">
        <v>106206028</v>
      </c>
      <c r="D102" s="3847">
        <v>49.77</v>
      </c>
      <c r="F102" s="410">
        <f t="shared" ref="F102:F107" si="3">D102/0.8</f>
        <v>62.212499999999999</v>
      </c>
    </row>
    <row r="103" spans="1:6" s="1383" customFormat="1" x14ac:dyDescent="0.25">
      <c r="B103" s="411" t="s">
        <v>2910</v>
      </c>
      <c r="C103" s="763">
        <v>106114321</v>
      </c>
      <c r="D103" s="3847">
        <v>3.19</v>
      </c>
      <c r="F103" s="410">
        <f t="shared" si="3"/>
        <v>3.9874999999999998</v>
      </c>
    </row>
    <row r="104" spans="1:6" s="1383" customFormat="1" x14ac:dyDescent="0.25">
      <c r="B104" s="14" t="s">
        <v>2911</v>
      </c>
      <c r="C104" s="14">
        <v>106203055</v>
      </c>
      <c r="D104" s="3847">
        <v>125.29</v>
      </c>
      <c r="F104" s="410">
        <f t="shared" si="3"/>
        <v>156.61250000000001</v>
      </c>
    </row>
    <row r="105" spans="1:6" s="1383" customFormat="1" x14ac:dyDescent="0.25">
      <c r="B105" s="14" t="s">
        <v>2919</v>
      </c>
      <c r="C105" s="14">
        <v>106205688</v>
      </c>
      <c r="D105" s="2700"/>
      <c r="F105" s="410">
        <f>D105/0.8</f>
        <v>0</v>
      </c>
    </row>
    <row r="106" spans="1:6" s="1383" customFormat="1" x14ac:dyDescent="0.25">
      <c r="B106" s="14" t="s">
        <v>2920</v>
      </c>
      <c r="C106" s="305">
        <v>106204686</v>
      </c>
      <c r="D106" s="14">
        <v>78.27</v>
      </c>
      <c r="F106" s="410">
        <f t="shared" si="3"/>
        <v>97.837499999999991</v>
      </c>
    </row>
    <row r="107" spans="1:6" s="1383" customFormat="1" x14ac:dyDescent="0.25">
      <c r="B107" s="14" t="s">
        <v>2921</v>
      </c>
      <c r="C107" s="305">
        <v>106204952</v>
      </c>
      <c r="D107" s="14">
        <v>62.22</v>
      </c>
      <c r="F107" s="410">
        <f t="shared" si="3"/>
        <v>77.774999999999991</v>
      </c>
    </row>
    <row r="108" spans="1:6" s="1383" customFormat="1" x14ac:dyDescent="0.25">
      <c r="B108" s="14"/>
      <c r="C108" s="305"/>
      <c r="D108" s="14"/>
      <c r="F108" s="410"/>
    </row>
    <row r="109" spans="1:6" s="1383" customFormat="1" x14ac:dyDescent="0.25">
      <c r="A109" s="4471" t="s">
        <v>3403</v>
      </c>
      <c r="B109" s="1383" t="s">
        <v>3401</v>
      </c>
      <c r="C109" s="3672">
        <v>106122252</v>
      </c>
      <c r="D109" s="3847">
        <v>14.71</v>
      </c>
      <c r="E109" s="304">
        <f>D109/0.6</f>
        <v>24.516666666666669</v>
      </c>
      <c r="F109" s="304">
        <f>D109/0.8</f>
        <v>18.387499999999999</v>
      </c>
    </row>
    <row r="110" spans="1:6" s="1383" customFormat="1" x14ac:dyDescent="0.25">
      <c r="A110" s="4471"/>
      <c r="B110" s="1383" t="s">
        <v>3402</v>
      </c>
      <c r="C110" s="3672">
        <v>106122253</v>
      </c>
      <c r="D110" s="3847">
        <v>3.26</v>
      </c>
      <c r="E110" s="304">
        <f>D110/0.6</f>
        <v>5.4333333333333336</v>
      </c>
      <c r="F110" s="304">
        <f>D110/0.8</f>
        <v>4.0749999999999993</v>
      </c>
    </row>
    <row r="112" spans="1:6" ht="27" customHeight="1" x14ac:dyDescent="0.25">
      <c r="A112" s="1383" t="s">
        <v>1646</v>
      </c>
      <c r="B112" s="1553" t="s">
        <v>1503</v>
      </c>
      <c r="C112" s="763">
        <v>106118316</v>
      </c>
      <c r="D112" s="304">
        <v>9.2100000000000009</v>
      </c>
      <c r="F112" s="304">
        <f>D112/0.8</f>
        <v>11.512500000000001</v>
      </c>
    </row>
    <row r="114" spans="1:6" s="1383" customFormat="1" x14ac:dyDescent="0.25">
      <c r="B114" s="1383" t="s">
        <v>3407</v>
      </c>
      <c r="C114" s="689">
        <v>106104353</v>
      </c>
      <c r="D114" s="1351">
        <v>18.43</v>
      </c>
      <c r="E114" s="304">
        <f>D114/0.6</f>
        <v>30.716666666666669</v>
      </c>
      <c r="F114" s="304">
        <f>D114/0.8</f>
        <v>23.037499999999998</v>
      </c>
    </row>
    <row r="115" spans="1:6" x14ac:dyDescent="0.25">
      <c r="B115" s="11" t="s">
        <v>4187</v>
      </c>
      <c r="C115" s="689">
        <v>106106413</v>
      </c>
      <c r="E115" s="304">
        <f>E117</f>
        <v>9.9666666666666686</v>
      </c>
      <c r="F115" s="304">
        <f>F117</f>
        <v>7.4750000000000005</v>
      </c>
    </row>
    <row r="116" spans="1:6" x14ac:dyDescent="0.25">
      <c r="B116" s="11" t="s">
        <v>961</v>
      </c>
      <c r="C116" s="689">
        <v>106204036</v>
      </c>
      <c r="E116" s="304">
        <f>E117</f>
        <v>9.9666666666666686</v>
      </c>
      <c r="F116" s="304">
        <f>F117</f>
        <v>7.4750000000000005</v>
      </c>
    </row>
    <row r="117" spans="1:6" x14ac:dyDescent="0.25">
      <c r="B117" s="1383" t="s">
        <v>3191</v>
      </c>
      <c r="C117" s="3570">
        <v>106104359</v>
      </c>
      <c r="D117" s="3349">
        <v>5.98</v>
      </c>
      <c r="E117" s="3349">
        <f>D117/0.6</f>
        <v>9.9666666666666686</v>
      </c>
      <c r="F117" s="3349">
        <f>D117/0.8</f>
        <v>7.4750000000000005</v>
      </c>
    </row>
    <row r="118" spans="1:6" s="1383" customFormat="1" x14ac:dyDescent="0.25">
      <c r="B118" s="1383" t="s">
        <v>3009</v>
      </c>
      <c r="C118" s="3570">
        <v>106203986</v>
      </c>
      <c r="D118" s="3349"/>
      <c r="E118" s="304">
        <f>E117</f>
        <v>9.9666666666666686</v>
      </c>
      <c r="F118" s="304">
        <f>F117</f>
        <v>7.4750000000000005</v>
      </c>
    </row>
    <row r="119" spans="1:6" s="1383" customFormat="1" x14ac:dyDescent="0.25">
      <c r="B119" s="305" t="s">
        <v>2770</v>
      </c>
      <c r="C119" s="689">
        <v>106106333</v>
      </c>
      <c r="D119" s="3349">
        <v>31.21</v>
      </c>
      <c r="E119" s="304">
        <f>D119/0.6</f>
        <v>52.016666666666673</v>
      </c>
      <c r="F119" s="304">
        <f>D119/0.8</f>
        <v>39.012499999999996</v>
      </c>
    </row>
    <row r="120" spans="1:6" s="1383" customFormat="1" x14ac:dyDescent="0.25">
      <c r="B120" s="305" t="s">
        <v>3348</v>
      </c>
      <c r="C120" s="689">
        <v>106208709</v>
      </c>
      <c r="D120" s="3349">
        <v>34.18</v>
      </c>
      <c r="E120" s="304">
        <f>D120/0.6</f>
        <v>56.966666666666669</v>
      </c>
      <c r="F120" s="304">
        <f>D120/0.8</f>
        <v>42.724999999999994</v>
      </c>
    </row>
    <row r="122" spans="1:6" x14ac:dyDescent="0.25">
      <c r="B122" s="14" t="s">
        <v>1298</v>
      </c>
      <c r="C122" s="239">
        <v>106114159</v>
      </c>
      <c r="D122" s="304">
        <v>0.16</v>
      </c>
      <c r="F122" s="304">
        <f>D122/0.95</f>
        <v>0.16842105263157897</v>
      </c>
    </row>
    <row r="123" spans="1:6" x14ac:dyDescent="0.25">
      <c r="B123" s="14" t="s">
        <v>1299</v>
      </c>
      <c r="C123" s="239">
        <v>106114161</v>
      </c>
      <c r="D123" s="304">
        <v>0.05</v>
      </c>
      <c r="F123" s="304">
        <f>D123/0.95</f>
        <v>5.2631578947368425E-2</v>
      </c>
    </row>
    <row r="126" spans="1:6" x14ac:dyDescent="0.25">
      <c r="A126" s="4452" t="s">
        <v>1472</v>
      </c>
      <c r="B126" s="14" t="s">
        <v>1473</v>
      </c>
      <c r="C126" s="239">
        <v>106112632</v>
      </c>
      <c r="D126" s="304">
        <v>17.21</v>
      </c>
      <c r="F126" s="304">
        <f>D126/0.8</f>
        <v>21.512499999999999</v>
      </c>
    </row>
    <row r="127" spans="1:6" x14ac:dyDescent="0.25">
      <c r="A127" s="4452"/>
      <c r="B127" s="14" t="s">
        <v>1474</v>
      </c>
      <c r="C127" s="14" t="s">
        <v>1475</v>
      </c>
      <c r="D127" s="304">
        <v>5.19</v>
      </c>
      <c r="F127" s="304">
        <f>D127/0.8</f>
        <v>6.4874999999999998</v>
      </c>
    </row>
    <row r="130" spans="1:6" x14ac:dyDescent="0.25">
      <c r="B130" s="14" t="s">
        <v>1571</v>
      </c>
      <c r="C130" s="689">
        <v>106205299</v>
      </c>
      <c r="D130" s="304">
        <v>340.79</v>
      </c>
      <c r="E130" s="304"/>
      <c r="F130" s="304">
        <f>D130/0.8</f>
        <v>425.98750000000001</v>
      </c>
    </row>
    <row r="133" spans="1:6" x14ac:dyDescent="0.25">
      <c r="B133" s="1383" t="s">
        <v>1667</v>
      </c>
      <c r="C133" s="122">
        <v>106112733</v>
      </c>
      <c r="D133" s="2700">
        <v>3.83</v>
      </c>
      <c r="E133" s="304">
        <f>D133/0.6</f>
        <v>6.3833333333333337</v>
      </c>
      <c r="F133" s="304">
        <f>D133/0.8</f>
        <v>4.7874999999999996</v>
      </c>
    </row>
    <row r="134" spans="1:6" x14ac:dyDescent="0.25">
      <c r="B134" s="1383" t="s">
        <v>1668</v>
      </c>
      <c r="C134" s="122">
        <v>106104365</v>
      </c>
      <c r="D134" s="304">
        <v>2.69</v>
      </c>
      <c r="E134" s="304">
        <f>D134/0.6</f>
        <v>4.4833333333333334</v>
      </c>
      <c r="F134" s="304">
        <f>D134/0.8</f>
        <v>3.3624999999999998</v>
      </c>
    </row>
    <row r="137" spans="1:6" x14ac:dyDescent="0.25">
      <c r="B137" s="14" t="s">
        <v>2195</v>
      </c>
      <c r="C137" s="239">
        <v>106119040</v>
      </c>
      <c r="D137">
        <v>0.92</v>
      </c>
      <c r="F137" s="410">
        <f>D137/0.8</f>
        <v>1.1499999999999999</v>
      </c>
    </row>
    <row r="138" spans="1:6" x14ac:dyDescent="0.25">
      <c r="B138" s="14" t="s">
        <v>2196</v>
      </c>
      <c r="C138" s="239">
        <v>106120085</v>
      </c>
      <c r="D138">
        <v>0.67</v>
      </c>
      <c r="F138" s="410">
        <f>D138/0.8</f>
        <v>0.83750000000000002</v>
      </c>
    </row>
    <row r="140" spans="1:6" x14ac:dyDescent="0.25">
      <c r="A140" s="4446" t="s">
        <v>2918</v>
      </c>
      <c r="B140" s="14" t="s">
        <v>3273</v>
      </c>
      <c r="C140" s="122">
        <v>106122182</v>
      </c>
      <c r="D140" s="3847">
        <v>9.09</v>
      </c>
      <c r="F140" s="410">
        <f>D140/0.8</f>
        <v>11.362499999999999</v>
      </c>
    </row>
    <row r="141" spans="1:6" x14ac:dyDescent="0.25">
      <c r="A141" s="4446"/>
      <c r="B141" s="14" t="s">
        <v>2912</v>
      </c>
      <c r="C141" s="122">
        <v>106106289</v>
      </c>
      <c r="D141" s="3847">
        <v>11.96</v>
      </c>
      <c r="F141" s="410">
        <f t="shared" ref="F141:F146" si="4">D141/0.8</f>
        <v>14.950000000000001</v>
      </c>
    </row>
    <row r="142" spans="1:6" x14ac:dyDescent="0.25">
      <c r="A142" s="4446"/>
      <c r="B142" s="14" t="s">
        <v>2913</v>
      </c>
      <c r="C142" s="122">
        <v>106107807</v>
      </c>
      <c r="D142" s="3847">
        <v>3.07</v>
      </c>
      <c r="F142" s="410">
        <f>D142/0.95</f>
        <v>3.2315789473684209</v>
      </c>
    </row>
    <row r="143" spans="1:6" x14ac:dyDescent="0.25">
      <c r="A143" s="4446"/>
      <c r="B143" s="14" t="s">
        <v>2914</v>
      </c>
      <c r="C143" s="122">
        <v>106118837</v>
      </c>
      <c r="D143" s="3847">
        <v>7.24</v>
      </c>
      <c r="F143" s="410">
        <f>D143/0.95</f>
        <v>7.621052631578948</v>
      </c>
    </row>
    <row r="144" spans="1:6" x14ac:dyDescent="0.25">
      <c r="A144" s="4446"/>
      <c r="B144" s="14" t="s">
        <v>2915</v>
      </c>
      <c r="C144" s="122">
        <v>106121650</v>
      </c>
      <c r="D144" s="3847">
        <v>577.78</v>
      </c>
      <c r="F144" s="410">
        <f t="shared" si="4"/>
        <v>722.22499999999991</v>
      </c>
    </row>
    <row r="145" spans="1:6" x14ac:dyDescent="0.25">
      <c r="A145" s="4446"/>
      <c r="B145" s="14" t="s">
        <v>2916</v>
      </c>
      <c r="C145" s="122">
        <v>106204841</v>
      </c>
      <c r="D145" s="3847">
        <v>750</v>
      </c>
      <c r="F145" s="410">
        <f t="shared" si="4"/>
        <v>937.5</v>
      </c>
    </row>
    <row r="146" spans="1:6" x14ac:dyDescent="0.25">
      <c r="A146" s="4446"/>
      <c r="B146" s="14" t="s">
        <v>2917</v>
      </c>
      <c r="C146" s="122">
        <v>106204842</v>
      </c>
      <c r="D146" s="3847">
        <v>322.22000000000003</v>
      </c>
      <c r="F146" s="410">
        <f t="shared" si="4"/>
        <v>402.77500000000003</v>
      </c>
    </row>
    <row r="147" spans="1:6" x14ac:dyDescent="0.25">
      <c r="D147" s="1351"/>
    </row>
    <row r="148" spans="1:6" x14ac:dyDescent="0.25">
      <c r="D148" s="1351"/>
    </row>
    <row r="149" spans="1:6" x14ac:dyDescent="0.25">
      <c r="A149" s="4452" t="s">
        <v>2967</v>
      </c>
      <c r="B149" s="14" t="s">
        <v>2964</v>
      </c>
      <c r="C149" s="1319" t="s">
        <v>2962</v>
      </c>
      <c r="D149" s="3847">
        <v>4.5599999999999996</v>
      </c>
      <c r="F149" s="410">
        <f>D149/0.8</f>
        <v>5.6999999999999993</v>
      </c>
    </row>
    <row r="150" spans="1:6" x14ac:dyDescent="0.25">
      <c r="A150" s="4452"/>
      <c r="B150" s="14" t="s">
        <v>2965</v>
      </c>
      <c r="C150" s="1319" t="s">
        <v>2963</v>
      </c>
      <c r="D150" s="3847">
        <v>1.39</v>
      </c>
      <c r="F150" s="410">
        <f>D150/0.8</f>
        <v>1.7374999999999998</v>
      </c>
    </row>
    <row r="151" spans="1:6" x14ac:dyDescent="0.25">
      <c r="A151" s="4452"/>
      <c r="B151" s="14" t="s">
        <v>2966</v>
      </c>
      <c r="C151" s="1319">
        <v>106113772</v>
      </c>
      <c r="D151" s="3847">
        <v>37.78</v>
      </c>
      <c r="F151" s="410">
        <f>D151/0.8</f>
        <v>47.225000000000001</v>
      </c>
    </row>
    <row r="152" spans="1:6" x14ac:dyDescent="0.25">
      <c r="B152" s="14" t="s">
        <v>3101</v>
      </c>
      <c r="C152">
        <v>106113805</v>
      </c>
      <c r="D152" s="3847">
        <v>7.63</v>
      </c>
      <c r="F152" s="410">
        <f>D152/0.8</f>
        <v>9.5374999999999996</v>
      </c>
    </row>
    <row r="154" spans="1:6" x14ac:dyDescent="0.25">
      <c r="B154" s="305" t="s">
        <v>3112</v>
      </c>
      <c r="C154" s="1383">
        <v>106106263</v>
      </c>
    </row>
    <row r="155" spans="1:6" x14ac:dyDescent="0.25">
      <c r="B155" s="305" t="s">
        <v>3113</v>
      </c>
      <c r="C155" s="1383">
        <v>106106264</v>
      </c>
    </row>
    <row r="156" spans="1:6" x14ac:dyDescent="0.25">
      <c r="B156" s="305" t="s">
        <v>3114</v>
      </c>
      <c r="C156" s="1383">
        <v>106106265</v>
      </c>
    </row>
    <row r="158" spans="1:6" x14ac:dyDescent="0.25">
      <c r="B158" s="305" t="s">
        <v>3347</v>
      </c>
      <c r="C158" s="3617">
        <v>106122758</v>
      </c>
      <c r="D158" s="3847">
        <v>6.82</v>
      </c>
      <c r="F158" s="410">
        <f>D158/0.8</f>
        <v>8.5250000000000004</v>
      </c>
    </row>
    <row r="159" spans="1:6" x14ac:dyDescent="0.25">
      <c r="D159" s="1351"/>
    </row>
    <row r="160" spans="1:6" x14ac:dyDescent="0.25">
      <c r="B160" s="3673" t="s">
        <v>3404</v>
      </c>
      <c r="D160" s="1351"/>
    </row>
    <row r="161" spans="1:6" x14ac:dyDescent="0.25">
      <c r="B161" t="s">
        <v>3383</v>
      </c>
      <c r="C161">
        <v>106127123</v>
      </c>
      <c r="D161" s="3847">
        <v>15.43</v>
      </c>
      <c r="E161" s="410">
        <f>D161/0.6</f>
        <v>25.716666666666669</v>
      </c>
      <c r="F161" s="410">
        <f t="shared" ref="F161:F166" si="5">D161/0.8</f>
        <v>19.287499999999998</v>
      </c>
    </row>
    <row r="162" spans="1:6" x14ac:dyDescent="0.25">
      <c r="B162" t="s">
        <v>3384</v>
      </c>
      <c r="C162" s="1383">
        <v>106127124</v>
      </c>
      <c r="D162" s="3847">
        <v>18.52</v>
      </c>
      <c r="E162" s="410">
        <f>D162/0.6</f>
        <v>30.866666666666667</v>
      </c>
      <c r="F162" s="410">
        <f t="shared" si="5"/>
        <v>23.15</v>
      </c>
    </row>
    <row r="163" spans="1:6" s="1360" customFormat="1" x14ac:dyDescent="0.25">
      <c r="B163" s="1360" t="s">
        <v>3385</v>
      </c>
      <c r="C163" s="1360">
        <v>106122868</v>
      </c>
      <c r="D163" s="3349">
        <v>5.0599999999999996</v>
      </c>
      <c r="E163" s="3229">
        <f>D163/0.6</f>
        <v>8.4333333333333336</v>
      </c>
      <c r="F163" s="3229">
        <f t="shared" si="5"/>
        <v>6.3249999999999993</v>
      </c>
    </row>
    <row r="164" spans="1:6" s="11" customFormat="1" x14ac:dyDescent="0.25">
      <c r="A164" s="1267" t="s">
        <v>1094</v>
      </c>
      <c r="B164" s="1383" t="s">
        <v>1095</v>
      </c>
      <c r="C164" s="122">
        <v>106110764</v>
      </c>
      <c r="D164" s="304">
        <v>23.76</v>
      </c>
      <c r="E164" s="304">
        <f>D164/0.6</f>
        <v>39.6</v>
      </c>
      <c r="F164" s="304">
        <f t="shared" si="5"/>
        <v>29.7</v>
      </c>
    </row>
    <row r="165" spans="1:6" x14ac:dyDescent="0.25">
      <c r="B165" s="14" t="s">
        <v>1443</v>
      </c>
      <c r="C165" s="239">
        <v>106118627</v>
      </c>
      <c r="D165" s="14">
        <v>85.56</v>
      </c>
      <c r="E165" s="304">
        <f t="shared" ref="E165:E170" si="6">D165/0.6</f>
        <v>142.60000000000002</v>
      </c>
      <c r="F165" s="304">
        <f t="shared" si="5"/>
        <v>106.95</v>
      </c>
    </row>
    <row r="166" spans="1:6" s="1383" customFormat="1" x14ac:dyDescent="0.25">
      <c r="B166" s="14" t="s">
        <v>1467</v>
      </c>
      <c r="C166" s="239">
        <v>106120100</v>
      </c>
      <c r="D166" s="14">
        <v>33.32</v>
      </c>
      <c r="E166" s="304">
        <f t="shared" si="6"/>
        <v>55.533333333333339</v>
      </c>
      <c r="F166" s="304">
        <f t="shared" si="5"/>
        <v>41.65</v>
      </c>
    </row>
    <row r="167" spans="1:6" s="1383" customFormat="1" x14ac:dyDescent="0.25">
      <c r="B167" s="14"/>
      <c r="C167" s="239"/>
      <c r="D167" s="14"/>
      <c r="E167" s="304"/>
      <c r="F167" s="304"/>
    </row>
    <row r="168" spans="1:6" s="1383" customFormat="1" x14ac:dyDescent="0.25">
      <c r="B168" s="14" t="s">
        <v>1614</v>
      </c>
      <c r="C168" s="239">
        <v>106104764</v>
      </c>
      <c r="D168" s="14">
        <v>224.45</v>
      </c>
      <c r="E168" s="304">
        <f t="shared" si="6"/>
        <v>374.08333333333331</v>
      </c>
      <c r="F168" s="304">
        <f>D168/0.8</f>
        <v>280.56249999999994</v>
      </c>
    </row>
    <row r="169" spans="1:6" s="1383" customFormat="1" x14ac:dyDescent="0.25">
      <c r="B169" s="14" t="s">
        <v>1650</v>
      </c>
      <c r="C169" s="239">
        <v>106205594</v>
      </c>
      <c r="D169" s="14"/>
      <c r="E169" s="304"/>
      <c r="F169" s="304"/>
    </row>
    <row r="170" spans="1:6" s="1383" customFormat="1" x14ac:dyDescent="0.25">
      <c r="B170" s="14" t="s">
        <v>3085</v>
      </c>
      <c r="C170" s="239">
        <v>106113809</v>
      </c>
      <c r="D170" s="14">
        <v>6.52</v>
      </c>
      <c r="E170" s="304">
        <f t="shared" si="6"/>
        <v>10.866666666666667</v>
      </c>
      <c r="F170" s="304">
        <f>D170/0.8</f>
        <v>8.1499999999999986</v>
      </c>
    </row>
    <row r="171" spans="1:6" s="1383" customFormat="1" x14ac:dyDescent="0.25">
      <c r="B171" s="14" t="s">
        <v>3086</v>
      </c>
      <c r="C171" s="239">
        <v>106104797</v>
      </c>
      <c r="D171" s="14"/>
      <c r="E171" s="304"/>
      <c r="F171" s="304"/>
    </row>
    <row r="172" spans="1:6" s="1383" customFormat="1" x14ac:dyDescent="0.25">
      <c r="B172" s="14" t="s">
        <v>3375</v>
      </c>
      <c r="C172" s="239">
        <v>106119413</v>
      </c>
      <c r="D172" s="14"/>
      <c r="E172" s="304"/>
      <c r="F172" s="304"/>
    </row>
  </sheetData>
  <mergeCells count="14">
    <mergeCell ref="A17:A19"/>
    <mergeCell ref="A126:A127"/>
    <mergeCell ref="A37:A38"/>
    <mergeCell ref="A149:A151"/>
    <mergeCell ref="A140:A146"/>
    <mergeCell ref="A40:A44"/>
    <mergeCell ref="A34:A35"/>
    <mergeCell ref="A73:A74"/>
    <mergeCell ref="A79:A80"/>
    <mergeCell ref="A81:A82"/>
    <mergeCell ref="A96:A97"/>
    <mergeCell ref="A109:A110"/>
    <mergeCell ref="A46:A47"/>
    <mergeCell ref="A48:A51"/>
  </mergeCells>
  <pageMargins left="0.70866141732283472" right="0.70866141732283472" top="0.74803149606299213" bottom="0.74803149606299213" header="0.31496062992125984" footer="0.31496062992125984"/>
  <pageSetup paperSize="9" scale="35" orientation="portrait" r:id="rId1"/>
  <ignoredErrors>
    <ignoredError sqref="E118:F118" formula="1"/>
  </ignoredErrors>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B5" sqref="B5"/>
    </sheetView>
  </sheetViews>
  <sheetFormatPr baseColWidth="10" defaultRowHeight="15" x14ac:dyDescent="0.25"/>
  <cols>
    <col min="1" max="1" width="15.140625" customWidth="1"/>
    <col min="2" max="2" width="11.42578125" style="11"/>
    <col min="3" max="3" width="29" bestFit="1" customWidth="1"/>
    <col min="6" max="6" width="13.85546875" bestFit="1" customWidth="1"/>
  </cols>
  <sheetData>
    <row r="1" spans="1:6" x14ac:dyDescent="0.25">
      <c r="C1" s="11" t="s">
        <v>785</v>
      </c>
      <c r="D1" s="11" t="s">
        <v>786</v>
      </c>
      <c r="E1" s="11" t="s">
        <v>76</v>
      </c>
      <c r="F1" s="11" t="s">
        <v>787</v>
      </c>
    </row>
    <row r="2" spans="1:6" x14ac:dyDescent="0.25">
      <c r="A2" s="892" t="s">
        <v>913</v>
      </c>
      <c r="C2" s="11" t="s">
        <v>894</v>
      </c>
      <c r="D2">
        <v>2</v>
      </c>
      <c r="E2" s="410"/>
      <c r="F2" s="243">
        <v>58020</v>
      </c>
    </row>
    <row r="3" spans="1:6" x14ac:dyDescent="0.25">
      <c r="A3" s="892" t="s">
        <v>911</v>
      </c>
      <c r="C3" s="11" t="s">
        <v>893</v>
      </c>
      <c r="D3">
        <v>2</v>
      </c>
      <c r="E3" s="410">
        <v>1950.2</v>
      </c>
      <c r="F3" s="410">
        <f>E3/0.6</f>
        <v>3250.3333333333335</v>
      </c>
    </row>
    <row r="4" spans="1:6" s="11" customFormat="1" x14ac:dyDescent="0.25">
      <c r="A4" s="892" t="s">
        <v>912</v>
      </c>
      <c r="E4" s="410"/>
      <c r="F4" s="410"/>
    </row>
    <row r="5" spans="1:6" x14ac:dyDescent="0.25">
      <c r="A5" s="1359" t="s">
        <v>788</v>
      </c>
      <c r="B5" s="122">
        <v>106112817</v>
      </c>
      <c r="C5" s="1359" t="s">
        <v>892</v>
      </c>
      <c r="D5">
        <v>2</v>
      </c>
      <c r="E5" s="410">
        <v>877.78</v>
      </c>
      <c r="F5" s="410">
        <f>E5/0.6</f>
        <v>1462.9666666666667</v>
      </c>
    </row>
    <row r="6" spans="1:6" x14ac:dyDescent="0.25">
      <c r="A6" s="11" t="s">
        <v>792</v>
      </c>
      <c r="B6" s="122">
        <v>106200767</v>
      </c>
      <c r="C6" s="11" t="s">
        <v>793</v>
      </c>
      <c r="D6">
        <v>75</v>
      </c>
      <c r="E6" s="410">
        <v>10.39</v>
      </c>
      <c r="F6" s="243">
        <v>0</v>
      </c>
    </row>
  </sheetData>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3"/>
  <sheetViews>
    <sheetView topLeftCell="A5" workbookViewId="0">
      <selection activeCell="C25" sqref="C25"/>
    </sheetView>
  </sheetViews>
  <sheetFormatPr baseColWidth="10" defaultRowHeight="15" x14ac:dyDescent="0.25"/>
  <cols>
    <col min="1" max="3" width="11.42578125" style="11"/>
    <col min="4" max="4" width="53.7109375" style="11" bestFit="1" customWidth="1"/>
    <col min="5" max="5" width="11.42578125" style="11"/>
    <col min="6" max="6" width="11.42578125" style="1118"/>
    <col min="7" max="9" width="11.42578125" style="11"/>
    <col min="10" max="10" width="58.42578125" style="11" bestFit="1" customWidth="1"/>
    <col min="11" max="17" width="11.42578125" style="11"/>
    <col min="18" max="18" width="60.42578125" style="11" bestFit="1" customWidth="1"/>
    <col min="19" max="19" width="11.7109375" style="11" customWidth="1"/>
    <col min="20" max="20" width="19.7109375" style="11" bestFit="1" customWidth="1"/>
    <col min="21" max="25" width="11.42578125" style="11"/>
    <col min="26" max="26" width="60.42578125" style="11" bestFit="1" customWidth="1"/>
    <col min="27" max="16384" width="11.42578125" style="11"/>
  </cols>
  <sheetData>
    <row r="2" spans="1:6" ht="15.75" thickBot="1" x14ac:dyDescent="0.3">
      <c r="A2" s="4476" t="s">
        <v>1079</v>
      </c>
      <c r="B2" s="4477"/>
      <c r="C2" s="4477"/>
      <c r="D2" s="4478"/>
    </row>
    <row r="3" spans="1:6" ht="27.75" customHeight="1" x14ac:dyDescent="0.25">
      <c r="A3" s="4111" t="s">
        <v>79</v>
      </c>
      <c r="B3" s="4479"/>
      <c r="C3" s="904" t="s">
        <v>936</v>
      </c>
      <c r="D3" s="76" t="s">
        <v>1</v>
      </c>
      <c r="E3" s="1119" t="s">
        <v>1080</v>
      </c>
    </row>
    <row r="4" spans="1:6" ht="17.25" customHeight="1" x14ac:dyDescent="0.25">
      <c r="A4" s="4480" t="s">
        <v>21</v>
      </c>
      <c r="B4" s="1120" t="s">
        <v>21</v>
      </c>
      <c r="C4" s="1121">
        <v>106104113</v>
      </c>
      <c r="D4" s="1122" t="s">
        <v>883</v>
      </c>
      <c r="E4" s="1123">
        <v>1</v>
      </c>
      <c r="F4" s="1124" t="s">
        <v>731</v>
      </c>
    </row>
    <row r="5" spans="1:6" x14ac:dyDescent="0.25">
      <c r="A5" s="4481"/>
      <c r="B5" s="1125" t="s">
        <v>21</v>
      </c>
      <c r="C5" s="1126">
        <v>106110160</v>
      </c>
      <c r="D5" s="901" t="s">
        <v>256</v>
      </c>
      <c r="E5" s="1127">
        <v>1</v>
      </c>
      <c r="F5" s="1128" t="s">
        <v>1081</v>
      </c>
    </row>
    <row r="6" spans="1:6" x14ac:dyDescent="0.25">
      <c r="A6" s="4481"/>
      <c r="B6" s="1129" t="s">
        <v>21</v>
      </c>
      <c r="C6" s="1130">
        <v>106113689</v>
      </c>
      <c r="D6" s="1131" t="s">
        <v>63</v>
      </c>
      <c r="E6" s="1127">
        <v>1</v>
      </c>
      <c r="F6" s="1128">
        <v>30</v>
      </c>
    </row>
    <row r="7" spans="1:6" x14ac:dyDescent="0.25">
      <c r="A7" s="4482"/>
      <c r="B7" s="1132" t="s">
        <v>222</v>
      </c>
      <c r="C7" s="1133">
        <v>106112565</v>
      </c>
      <c r="D7" s="1134" t="s">
        <v>237</v>
      </c>
      <c r="E7" s="1135">
        <v>1</v>
      </c>
      <c r="F7" s="1128" t="s">
        <v>731</v>
      </c>
    </row>
    <row r="8" spans="1:6" x14ac:dyDescent="0.25">
      <c r="A8" s="4483"/>
      <c r="B8" s="1136" t="s">
        <v>62</v>
      </c>
      <c r="C8" s="1137">
        <v>106110446</v>
      </c>
      <c r="D8" s="1138" t="s">
        <v>245</v>
      </c>
      <c r="E8" s="1139">
        <v>1</v>
      </c>
      <c r="F8" s="1140" t="s">
        <v>1081</v>
      </c>
    </row>
    <row r="9" spans="1:6" x14ac:dyDescent="0.25">
      <c r="A9" s="4484"/>
      <c r="B9" s="1129" t="s">
        <v>62</v>
      </c>
      <c r="C9" s="1130">
        <v>106110901</v>
      </c>
      <c r="D9" s="1131" t="s">
        <v>245</v>
      </c>
      <c r="E9" s="1127">
        <v>1</v>
      </c>
      <c r="F9" s="1128">
        <v>30</v>
      </c>
    </row>
    <row r="10" spans="1:6" x14ac:dyDescent="0.25">
      <c r="A10" s="4481" t="s">
        <v>210</v>
      </c>
      <c r="B10" s="1141" t="s">
        <v>210</v>
      </c>
      <c r="C10" s="1142">
        <v>106105751</v>
      </c>
      <c r="D10" s="1143" t="s">
        <v>224</v>
      </c>
      <c r="E10" s="1144">
        <v>1</v>
      </c>
      <c r="F10" s="1124" t="s">
        <v>731</v>
      </c>
    </row>
    <row r="11" spans="1:6" x14ac:dyDescent="0.25">
      <c r="A11" s="4485"/>
      <c r="B11" s="1132" t="s">
        <v>211</v>
      </c>
      <c r="C11" s="1133">
        <v>106105883</v>
      </c>
      <c r="D11" s="1134" t="s">
        <v>225</v>
      </c>
      <c r="E11" s="1135">
        <v>1</v>
      </c>
      <c r="F11" s="1124" t="s">
        <v>731</v>
      </c>
    </row>
    <row r="12" spans="1:6" x14ac:dyDescent="0.25">
      <c r="A12" s="4480" t="s">
        <v>16</v>
      </c>
      <c r="B12" s="1145" t="s">
        <v>212</v>
      </c>
      <c r="C12" s="1146">
        <v>106105887</v>
      </c>
      <c r="D12" s="1147" t="s">
        <v>238</v>
      </c>
      <c r="E12" s="1148">
        <v>4</v>
      </c>
      <c r="F12" s="1124" t="s">
        <v>731</v>
      </c>
    </row>
    <row r="13" spans="1:6" x14ac:dyDescent="0.25">
      <c r="A13" s="4481"/>
      <c r="B13" s="1141" t="s">
        <v>15</v>
      </c>
      <c r="C13" s="1142">
        <v>106105421</v>
      </c>
      <c r="D13" s="1143" t="s">
        <v>226</v>
      </c>
      <c r="E13" s="1144">
        <v>3</v>
      </c>
      <c r="F13" s="1124" t="s">
        <v>1082</v>
      </c>
    </row>
    <row r="14" spans="1:6" x14ac:dyDescent="0.25">
      <c r="A14" s="4481"/>
      <c r="B14" s="1149" t="s">
        <v>15</v>
      </c>
      <c r="C14" s="1150">
        <v>106105404</v>
      </c>
      <c r="D14" s="1151" t="s">
        <v>242</v>
      </c>
      <c r="E14" s="1152">
        <v>3</v>
      </c>
      <c r="F14" s="1128">
        <v>15</v>
      </c>
    </row>
    <row r="15" spans="1:6" x14ac:dyDescent="0.25">
      <c r="A15" s="4481"/>
      <c r="B15" s="1125" t="s">
        <v>15</v>
      </c>
      <c r="C15" s="1126">
        <v>106110452</v>
      </c>
      <c r="D15" s="1131" t="s">
        <v>257</v>
      </c>
      <c r="E15" s="1153">
        <v>3</v>
      </c>
      <c r="F15" s="1128" t="s">
        <v>1081</v>
      </c>
    </row>
    <row r="16" spans="1:6" x14ac:dyDescent="0.25">
      <c r="A16" s="4481"/>
      <c r="B16" s="1154" t="s">
        <v>15</v>
      </c>
      <c r="C16" s="1155">
        <v>106110905</v>
      </c>
      <c r="D16" s="1156" t="s">
        <v>247</v>
      </c>
      <c r="E16" s="1157">
        <v>3</v>
      </c>
      <c r="F16" s="1128">
        <v>30</v>
      </c>
    </row>
    <row r="17" spans="1:6" x14ac:dyDescent="0.25">
      <c r="A17" s="4482"/>
      <c r="B17" s="1158" t="s">
        <v>213</v>
      </c>
      <c r="C17" s="1133">
        <v>106104088</v>
      </c>
      <c r="D17" s="1134" t="s">
        <v>227</v>
      </c>
      <c r="E17" s="1135">
        <v>1</v>
      </c>
      <c r="F17" s="1124" t="s">
        <v>731</v>
      </c>
    </row>
    <row r="18" spans="1:6" ht="15" customHeight="1" x14ac:dyDescent="0.25">
      <c r="A18" s="4480" t="s">
        <v>214</v>
      </c>
      <c r="B18" s="1145" t="s">
        <v>215</v>
      </c>
      <c r="C18" s="1146">
        <v>106105439</v>
      </c>
      <c r="D18" s="1147" t="s">
        <v>228</v>
      </c>
      <c r="E18" s="1148">
        <v>6</v>
      </c>
      <c r="F18" s="1124" t="s">
        <v>731</v>
      </c>
    </row>
    <row r="19" spans="1:6" x14ac:dyDescent="0.25">
      <c r="A19" s="4486"/>
      <c r="B19" s="1141" t="s">
        <v>20</v>
      </c>
      <c r="C19" s="1159">
        <v>106105901</v>
      </c>
      <c r="D19" s="1160" t="s">
        <v>3909</v>
      </c>
      <c r="E19" s="1161">
        <v>3</v>
      </c>
      <c r="F19" s="1124" t="s">
        <v>731</v>
      </c>
    </row>
    <row r="20" spans="1:6" x14ac:dyDescent="0.25">
      <c r="A20" s="4485"/>
      <c r="B20" s="1132" t="s">
        <v>216</v>
      </c>
      <c r="C20" s="1162">
        <v>106105902</v>
      </c>
      <c r="D20" s="1163" t="s">
        <v>230</v>
      </c>
      <c r="E20" s="1164">
        <v>3</v>
      </c>
      <c r="F20" s="1124" t="s">
        <v>731</v>
      </c>
    </row>
    <row r="21" spans="1:6" x14ac:dyDescent="0.25">
      <c r="A21" s="1165" t="s">
        <v>69</v>
      </c>
      <c r="B21" s="1125" t="s">
        <v>69</v>
      </c>
      <c r="C21" s="1126">
        <v>106104221</v>
      </c>
      <c r="D21" s="1166" t="s">
        <v>70</v>
      </c>
      <c r="E21" s="1153">
        <v>2</v>
      </c>
      <c r="F21" s="1124" t="s">
        <v>730</v>
      </c>
    </row>
    <row r="22" spans="1:6" x14ac:dyDescent="0.25">
      <c r="A22" s="1167" t="s">
        <v>65</v>
      </c>
      <c r="B22" s="1136" t="s">
        <v>65</v>
      </c>
      <c r="C22" s="1137">
        <v>106104219</v>
      </c>
      <c r="D22" s="1168" t="s">
        <v>66</v>
      </c>
      <c r="E22" s="1139">
        <v>1</v>
      </c>
      <c r="F22" s="1124" t="s">
        <v>730</v>
      </c>
    </row>
    <row r="23" spans="1:6" x14ac:dyDescent="0.25">
      <c r="A23" s="1169" t="s">
        <v>1083</v>
      </c>
      <c r="B23" s="1170" t="s">
        <v>1084</v>
      </c>
      <c r="C23" s="1126">
        <v>106104093</v>
      </c>
      <c r="D23" s="1166" t="s">
        <v>68</v>
      </c>
      <c r="E23" s="1153">
        <v>3</v>
      </c>
      <c r="F23" s="1124" t="s">
        <v>730</v>
      </c>
    </row>
    <row r="24" spans="1:6" x14ac:dyDescent="0.25">
      <c r="A24" s="4487"/>
      <c r="B24" s="1129" t="s">
        <v>71</v>
      </c>
      <c r="C24" s="1130">
        <v>106114829</v>
      </c>
      <c r="D24" s="1131" t="s">
        <v>246</v>
      </c>
      <c r="E24" s="1127">
        <v>1</v>
      </c>
      <c r="F24" s="1124" t="s">
        <v>730</v>
      </c>
    </row>
    <row r="25" spans="1:6" x14ac:dyDescent="0.25">
      <c r="A25" s="4487"/>
      <c r="B25" s="1125" t="s">
        <v>23</v>
      </c>
      <c r="C25" s="1126">
        <v>106110281</v>
      </c>
      <c r="D25" s="1131" t="s">
        <v>248</v>
      </c>
      <c r="E25" s="1153">
        <v>2</v>
      </c>
      <c r="F25" s="1128" t="s">
        <v>1085</v>
      </c>
    </row>
    <row r="26" spans="1:6" x14ac:dyDescent="0.25">
      <c r="A26" s="4488"/>
      <c r="B26" s="687" t="s">
        <v>196</v>
      </c>
      <c r="C26" s="1171">
        <v>106201346</v>
      </c>
      <c r="D26" s="1172" t="s">
        <v>72</v>
      </c>
      <c r="E26" s="1173">
        <v>1</v>
      </c>
      <c r="F26" s="1128" t="s">
        <v>1085</v>
      </c>
    </row>
    <row r="27" spans="1:6" x14ac:dyDescent="0.25">
      <c r="A27" s="1174"/>
      <c r="B27" s="1145" t="s">
        <v>221</v>
      </c>
      <c r="C27" s="1146">
        <v>106200823</v>
      </c>
      <c r="D27" s="1147" t="s">
        <v>236</v>
      </c>
      <c r="E27" s="1148">
        <v>1</v>
      </c>
      <c r="F27" s="1128" t="s">
        <v>731</v>
      </c>
    </row>
    <row r="28" spans="1:6" x14ac:dyDescent="0.25">
      <c r="A28" s="1175"/>
      <c r="B28" s="1125" t="s">
        <v>73</v>
      </c>
      <c r="C28" s="1126">
        <v>106200824</v>
      </c>
      <c r="D28" s="1166" t="s">
        <v>74</v>
      </c>
      <c r="E28" s="1153">
        <v>1</v>
      </c>
      <c r="F28" s="1128" t="s">
        <v>730</v>
      </c>
    </row>
    <row r="29" spans="1:6" x14ac:dyDescent="0.25">
      <c r="A29" s="1176"/>
      <c r="B29" s="1132" t="s">
        <v>14</v>
      </c>
      <c r="C29" s="1133">
        <v>106200787</v>
      </c>
      <c r="D29" s="1134" t="s">
        <v>235</v>
      </c>
      <c r="E29" s="1135">
        <v>1</v>
      </c>
      <c r="F29" s="1128" t="s">
        <v>1086</v>
      </c>
    </row>
    <row r="30" spans="1:6" x14ac:dyDescent="0.25">
      <c r="A30" s="1177"/>
      <c r="B30" s="1178" t="s">
        <v>884</v>
      </c>
      <c r="C30" s="1121">
        <v>106110284</v>
      </c>
      <c r="D30" s="1122" t="s">
        <v>885</v>
      </c>
      <c r="E30" s="1139">
        <v>3</v>
      </c>
      <c r="F30" s="1128" t="s">
        <v>730</v>
      </c>
    </row>
    <row r="31" spans="1:6" x14ac:dyDescent="0.25">
      <c r="A31" s="1179"/>
      <c r="B31" s="1180"/>
      <c r="C31" s="1181">
        <v>106112712</v>
      </c>
      <c r="D31" s="1182" t="s">
        <v>683</v>
      </c>
      <c r="E31" s="1180">
        <v>3</v>
      </c>
      <c r="F31" s="1128" t="s">
        <v>1085</v>
      </c>
    </row>
    <row r="32" spans="1:6" ht="15" customHeight="1" x14ac:dyDescent="0.25">
      <c r="A32" s="4489" t="s">
        <v>217</v>
      </c>
      <c r="B32" s="1141" t="s">
        <v>217</v>
      </c>
      <c r="C32" s="1142">
        <v>106105140</v>
      </c>
      <c r="D32" s="1143" t="s">
        <v>231</v>
      </c>
      <c r="E32" s="1144">
        <v>8</v>
      </c>
      <c r="F32" s="1128" t="s">
        <v>1085</v>
      </c>
    </row>
    <row r="33" spans="1:6" x14ac:dyDescent="0.25">
      <c r="A33" s="4490"/>
      <c r="B33" s="1141" t="s">
        <v>218</v>
      </c>
      <c r="C33" s="1142">
        <v>106105150</v>
      </c>
      <c r="D33" s="1143" t="s">
        <v>232</v>
      </c>
      <c r="E33" s="1144">
        <v>8</v>
      </c>
      <c r="F33" s="1128" t="s">
        <v>1085</v>
      </c>
    </row>
    <row r="34" spans="1:6" ht="15" customHeight="1" x14ac:dyDescent="0.25">
      <c r="A34" s="4489" t="s">
        <v>219</v>
      </c>
      <c r="B34" s="1141" t="s">
        <v>219</v>
      </c>
      <c r="C34" s="1142">
        <v>106105141</v>
      </c>
      <c r="D34" s="1143" t="s">
        <v>233</v>
      </c>
      <c r="E34" s="1144">
        <v>8</v>
      </c>
      <c r="F34" s="1128" t="s">
        <v>1085</v>
      </c>
    </row>
    <row r="35" spans="1:6" x14ac:dyDescent="0.25">
      <c r="A35" s="4490"/>
      <c r="B35" s="1141" t="s">
        <v>220</v>
      </c>
      <c r="C35" s="1142">
        <v>106105151</v>
      </c>
      <c r="D35" s="1143" t="s">
        <v>234</v>
      </c>
      <c r="E35" s="1144">
        <v>8</v>
      </c>
      <c r="F35" s="1128" t="s">
        <v>1085</v>
      </c>
    </row>
    <row r="36" spans="1:6" x14ac:dyDescent="0.25">
      <c r="A36" s="4491"/>
      <c r="B36" s="1183" t="s">
        <v>30</v>
      </c>
      <c r="C36" s="1184">
        <v>106202562</v>
      </c>
      <c r="D36" s="1185" t="s">
        <v>507</v>
      </c>
      <c r="E36" s="1148">
        <v>1</v>
      </c>
      <c r="F36" s="1128" t="s">
        <v>731</v>
      </c>
    </row>
    <row r="37" spans="1:6" x14ac:dyDescent="0.25">
      <c r="A37" s="4492"/>
      <c r="B37" s="1173" t="s">
        <v>249</v>
      </c>
      <c r="C37" s="1186">
        <v>106202651</v>
      </c>
      <c r="D37" s="1187" t="s">
        <v>513</v>
      </c>
      <c r="E37" s="1135">
        <v>1</v>
      </c>
      <c r="F37" s="1128" t="s">
        <v>730</v>
      </c>
    </row>
    <row r="38" spans="1:6" ht="15" customHeight="1" x14ac:dyDescent="0.25">
      <c r="A38" s="4474"/>
      <c r="B38" s="1125" t="s">
        <v>341</v>
      </c>
      <c r="C38" s="1188">
        <v>106110170</v>
      </c>
      <c r="D38" s="489" t="s">
        <v>260</v>
      </c>
      <c r="E38" s="1189">
        <v>1</v>
      </c>
      <c r="F38" s="1128" t="s">
        <v>1085</v>
      </c>
    </row>
    <row r="39" spans="1:6" ht="26.25" x14ac:dyDescent="0.25">
      <c r="A39" s="4474"/>
      <c r="B39" s="1125" t="s">
        <v>645</v>
      </c>
      <c r="C39" s="1188">
        <v>106110278</v>
      </c>
      <c r="D39" s="489" t="s">
        <v>262</v>
      </c>
      <c r="E39" s="1189">
        <v>1</v>
      </c>
      <c r="F39" s="1128" t="s">
        <v>1085</v>
      </c>
    </row>
    <row r="40" spans="1:6" x14ac:dyDescent="0.25">
      <c r="A40" s="4474"/>
      <c r="B40" s="1125" t="s">
        <v>263</v>
      </c>
      <c r="C40" s="1190">
        <v>106112685</v>
      </c>
      <c r="D40" s="1191" t="s">
        <v>445</v>
      </c>
      <c r="E40" s="1189">
        <v>1</v>
      </c>
      <c r="F40" s="1128" t="s">
        <v>731</v>
      </c>
    </row>
    <row r="41" spans="1:6" x14ac:dyDescent="0.25">
      <c r="A41" s="4475"/>
      <c r="B41" s="1192" t="s">
        <v>263</v>
      </c>
      <c r="C41" s="1193">
        <v>106110287</v>
      </c>
      <c r="D41" s="1194" t="s">
        <v>264</v>
      </c>
      <c r="E41" s="1195">
        <v>1</v>
      </c>
      <c r="F41" s="1128" t="s">
        <v>730</v>
      </c>
    </row>
    <row r="42" spans="1:6" x14ac:dyDescent="0.25">
      <c r="A42" s="1196"/>
    </row>
    <row r="43" spans="1:6" x14ac:dyDescent="0.25">
      <c r="A43" s="144"/>
    </row>
  </sheetData>
  <mergeCells count="12">
    <mergeCell ref="A38:A41"/>
    <mergeCell ref="A2:D2"/>
    <mergeCell ref="A3:B3"/>
    <mergeCell ref="A4:A7"/>
    <mergeCell ref="A8:A9"/>
    <mergeCell ref="A10:A11"/>
    <mergeCell ref="A12:A17"/>
    <mergeCell ref="A18:A20"/>
    <mergeCell ref="A24:A26"/>
    <mergeCell ref="A32:A33"/>
    <mergeCell ref="A34:A35"/>
    <mergeCell ref="A36:A37"/>
  </mergeCell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4"/>
  <sheetViews>
    <sheetView zoomScale="90" zoomScaleNormal="90" workbookViewId="0">
      <selection activeCell="C31" sqref="C31"/>
    </sheetView>
  </sheetViews>
  <sheetFormatPr baseColWidth="10" defaultRowHeight="15" x14ac:dyDescent="0.25"/>
  <cols>
    <col min="1" max="1" width="11.42578125" style="11"/>
    <col min="2" max="2" width="17.7109375" style="11" customWidth="1"/>
    <col min="3" max="3" width="16.7109375" style="11" bestFit="1" customWidth="1"/>
    <col min="4" max="4" width="67.85546875" style="11" bestFit="1" customWidth="1"/>
    <col min="5" max="5" width="18.5703125" style="11" bestFit="1" customWidth="1"/>
    <col min="6" max="16384" width="11.42578125" style="11"/>
  </cols>
  <sheetData>
    <row r="2" spans="1:5" ht="18" x14ac:dyDescent="0.25">
      <c r="A2" s="4496" t="s">
        <v>1087</v>
      </c>
      <c r="B2" s="4497"/>
      <c r="C2" s="4497"/>
      <c r="D2" s="4497"/>
      <c r="E2" s="4498"/>
    </row>
    <row r="3" spans="1:5" ht="15.75" thickBot="1" x14ac:dyDescent="0.3">
      <c r="A3" s="4499" t="s">
        <v>79</v>
      </c>
      <c r="B3" s="4500"/>
      <c r="C3" s="1197" t="s">
        <v>936</v>
      </c>
      <c r="D3" s="1198" t="s">
        <v>1</v>
      </c>
      <c r="E3" s="1290" t="s">
        <v>1080</v>
      </c>
    </row>
    <row r="4" spans="1:5" x14ac:dyDescent="0.25">
      <c r="A4" s="4501" t="s">
        <v>263</v>
      </c>
      <c r="B4" s="1199" t="s">
        <v>274</v>
      </c>
      <c r="C4" s="1200">
        <v>106104164</v>
      </c>
      <c r="D4" s="1201" t="s">
        <v>275</v>
      </c>
      <c r="E4" s="1199">
        <v>1</v>
      </c>
    </row>
    <row r="5" spans="1:5" x14ac:dyDescent="0.25">
      <c r="A5" s="4502"/>
      <c r="B5" s="1202" t="s">
        <v>276</v>
      </c>
      <c r="C5" s="1203">
        <v>106104211</v>
      </c>
      <c r="D5" s="1204" t="s">
        <v>277</v>
      </c>
      <c r="E5" s="1202">
        <v>1</v>
      </c>
    </row>
    <row r="6" spans="1:5" x14ac:dyDescent="0.25">
      <c r="A6" s="4502"/>
      <c r="B6" s="1202" t="s">
        <v>279</v>
      </c>
      <c r="C6" s="1203">
        <v>106106242</v>
      </c>
      <c r="D6" s="1204" t="s">
        <v>280</v>
      </c>
      <c r="E6" s="1202">
        <v>1</v>
      </c>
    </row>
    <row r="7" spans="1:5" x14ac:dyDescent="0.25">
      <c r="A7" s="4502"/>
      <c r="B7" s="1205" t="s">
        <v>278</v>
      </c>
      <c r="C7" s="1206">
        <v>106104214</v>
      </c>
      <c r="D7" s="1207" t="s">
        <v>304</v>
      </c>
      <c r="E7" s="1205">
        <v>1</v>
      </c>
    </row>
    <row r="8" spans="1:5" x14ac:dyDescent="0.25">
      <c r="A8" s="4493" t="s">
        <v>305</v>
      </c>
      <c r="B8" s="1208" t="s">
        <v>301</v>
      </c>
      <c r="C8" s="1200">
        <v>106104092</v>
      </c>
      <c r="D8" s="1201" t="s">
        <v>302</v>
      </c>
      <c r="E8" s="1199">
        <v>1</v>
      </c>
    </row>
    <row r="9" spans="1:5" x14ac:dyDescent="0.25">
      <c r="A9" s="4494"/>
      <c r="B9" s="1209" t="s">
        <v>290</v>
      </c>
      <c r="C9" s="1203">
        <v>106111802</v>
      </c>
      <c r="D9" s="1204" t="s">
        <v>306</v>
      </c>
      <c r="E9" s="1202">
        <v>1</v>
      </c>
    </row>
    <row r="10" spans="1:5" x14ac:dyDescent="0.25">
      <c r="A10" s="4494"/>
      <c r="B10" s="1209" t="s">
        <v>307</v>
      </c>
      <c r="C10" s="1203">
        <v>106109799</v>
      </c>
      <c r="D10" s="1204" t="s">
        <v>308</v>
      </c>
      <c r="E10" s="1202">
        <v>2</v>
      </c>
    </row>
    <row r="11" spans="1:5" x14ac:dyDescent="0.25">
      <c r="A11" s="4495"/>
      <c r="B11" s="1210" t="s">
        <v>292</v>
      </c>
      <c r="C11" s="1206">
        <v>106111805</v>
      </c>
      <c r="D11" s="1207" t="s">
        <v>309</v>
      </c>
      <c r="E11" s="1205">
        <v>1</v>
      </c>
    </row>
    <row r="12" spans="1:5" x14ac:dyDescent="0.25">
      <c r="A12" s="4502"/>
      <c r="B12" s="1208" t="s">
        <v>65</v>
      </c>
      <c r="C12" s="1200">
        <v>106104223</v>
      </c>
      <c r="D12" s="1201" t="s">
        <v>92</v>
      </c>
      <c r="E12" s="1199">
        <v>1</v>
      </c>
    </row>
    <row r="13" spans="1:5" x14ac:dyDescent="0.25">
      <c r="A13" s="4502"/>
      <c r="B13" s="1209" t="s">
        <v>285</v>
      </c>
      <c r="C13" s="1203">
        <v>106104219</v>
      </c>
      <c r="D13" s="1204" t="s">
        <v>96</v>
      </c>
      <c r="E13" s="1202">
        <v>1</v>
      </c>
    </row>
    <row r="14" spans="1:5" x14ac:dyDescent="0.25">
      <c r="A14" s="4502"/>
      <c r="B14" s="1209" t="s">
        <v>286</v>
      </c>
      <c r="C14" s="1203">
        <v>106104221</v>
      </c>
      <c r="D14" s="1204" t="s">
        <v>151</v>
      </c>
      <c r="E14" s="1202">
        <v>1</v>
      </c>
    </row>
    <row r="15" spans="1:5" x14ac:dyDescent="0.25">
      <c r="A15" s="4502"/>
      <c r="B15" s="1210" t="s">
        <v>314</v>
      </c>
      <c r="C15" s="1206">
        <v>106104093</v>
      </c>
      <c r="D15" s="1207" t="s">
        <v>1057</v>
      </c>
      <c r="E15" s="1205">
        <v>3</v>
      </c>
    </row>
    <row r="16" spans="1:5" x14ac:dyDescent="0.25">
      <c r="A16" s="4493" t="s">
        <v>315</v>
      </c>
      <c r="B16" s="1208" t="s">
        <v>21</v>
      </c>
      <c r="C16" s="1200">
        <v>106104110</v>
      </c>
      <c r="D16" s="1201" t="s">
        <v>316</v>
      </c>
      <c r="E16" s="1199">
        <v>1</v>
      </c>
    </row>
    <row r="17" spans="1:5" x14ac:dyDescent="0.25">
      <c r="A17" s="4494"/>
      <c r="B17" s="1209" t="s">
        <v>281</v>
      </c>
      <c r="C17" s="1203">
        <v>106104081</v>
      </c>
      <c r="D17" s="1204" t="s">
        <v>317</v>
      </c>
      <c r="E17" s="1202">
        <v>1</v>
      </c>
    </row>
    <row r="18" spans="1:5" x14ac:dyDescent="0.25">
      <c r="A18" s="4494"/>
      <c r="B18" s="1209" t="s">
        <v>283</v>
      </c>
      <c r="C18" s="1203">
        <v>106104094</v>
      </c>
      <c r="D18" s="1204" t="s">
        <v>318</v>
      </c>
      <c r="E18" s="1202">
        <v>1</v>
      </c>
    </row>
    <row r="19" spans="1:5" x14ac:dyDescent="0.25">
      <c r="A19" s="4495"/>
      <c r="B19" s="1210" t="s">
        <v>64</v>
      </c>
      <c r="C19" s="1206">
        <v>106104128</v>
      </c>
      <c r="D19" s="1207" t="s">
        <v>154</v>
      </c>
      <c r="E19" s="1205">
        <v>1</v>
      </c>
    </row>
    <row r="20" spans="1:5" x14ac:dyDescent="0.25">
      <c r="A20" s="1211"/>
      <c r="B20" s="1208" t="s">
        <v>271</v>
      </c>
      <c r="C20" s="1200">
        <v>106120457</v>
      </c>
      <c r="D20" s="1201" t="s">
        <v>272</v>
      </c>
      <c r="E20" s="1199">
        <v>2</v>
      </c>
    </row>
    <row r="21" spans="1:5" x14ac:dyDescent="0.25">
      <c r="A21" s="1212"/>
      <c r="B21" s="1209" t="s">
        <v>287</v>
      </c>
      <c r="C21" s="1203">
        <v>106105422</v>
      </c>
      <c r="D21" s="1204" t="s">
        <v>288</v>
      </c>
      <c r="E21" s="1202">
        <v>3</v>
      </c>
    </row>
    <row r="22" spans="1:5" x14ac:dyDescent="0.25">
      <c r="A22" s="1212"/>
      <c r="B22" s="1209"/>
      <c r="C22" s="1203">
        <v>106111647</v>
      </c>
      <c r="D22" s="1204" t="s">
        <v>319</v>
      </c>
      <c r="E22" s="1202">
        <v>1</v>
      </c>
    </row>
    <row r="23" spans="1:5" x14ac:dyDescent="0.25">
      <c r="A23" s="1212"/>
      <c r="B23" s="1209" t="s">
        <v>29</v>
      </c>
      <c r="C23" s="1203">
        <v>106111793</v>
      </c>
      <c r="D23" s="1204" t="s">
        <v>320</v>
      </c>
      <c r="E23" s="1202">
        <v>1</v>
      </c>
    </row>
    <row r="24" spans="1:5" x14ac:dyDescent="0.25">
      <c r="A24" s="1212"/>
      <c r="B24" s="2564" t="s">
        <v>41</v>
      </c>
      <c r="C24" s="1203">
        <v>106112529</v>
      </c>
      <c r="D24" s="1204" t="s">
        <v>321</v>
      </c>
      <c r="E24" s="1202">
        <v>1</v>
      </c>
    </row>
    <row r="25" spans="1:5" x14ac:dyDescent="0.25">
      <c r="A25" s="1212"/>
      <c r="B25" s="1209" t="s">
        <v>40</v>
      </c>
      <c r="C25" s="1203">
        <v>106200771</v>
      </c>
      <c r="D25" s="1204" t="s">
        <v>322</v>
      </c>
      <c r="E25" s="1202">
        <v>1</v>
      </c>
    </row>
    <row r="26" spans="1:5" x14ac:dyDescent="0.25">
      <c r="A26" s="1212"/>
      <c r="B26" s="1209"/>
      <c r="C26" s="1203">
        <v>106112712</v>
      </c>
      <c r="D26" s="1213" t="s">
        <v>683</v>
      </c>
      <c r="E26" s="1202">
        <v>3</v>
      </c>
    </row>
    <row r="27" spans="1:5" x14ac:dyDescent="0.25">
      <c r="A27" s="1212"/>
      <c r="B27" s="1214" t="s">
        <v>645</v>
      </c>
      <c r="C27" s="1203">
        <v>106114701</v>
      </c>
      <c r="D27" s="1204" t="s">
        <v>273</v>
      </c>
      <c r="E27" s="1202">
        <v>1</v>
      </c>
    </row>
    <row r="28" spans="1:5" x14ac:dyDescent="0.25">
      <c r="A28" s="1212"/>
      <c r="B28" s="1209" t="s">
        <v>289</v>
      </c>
      <c r="C28" s="1203">
        <v>106111795</v>
      </c>
      <c r="D28" s="1204" t="s">
        <v>550</v>
      </c>
      <c r="E28" s="1202">
        <v>1</v>
      </c>
    </row>
    <row r="29" spans="1:5" x14ac:dyDescent="0.25">
      <c r="A29" s="1212"/>
      <c r="B29" s="1209" t="s">
        <v>138</v>
      </c>
      <c r="C29" s="1203">
        <v>106104101</v>
      </c>
      <c r="D29" s="1204" t="s">
        <v>162</v>
      </c>
      <c r="E29" s="1202">
        <v>1</v>
      </c>
    </row>
    <row r="30" spans="1:5" x14ac:dyDescent="0.25">
      <c r="A30" s="1212"/>
      <c r="B30" s="1209" t="s">
        <v>298</v>
      </c>
      <c r="C30" s="1203">
        <v>106105038</v>
      </c>
      <c r="D30" s="1204" t="s">
        <v>299</v>
      </c>
      <c r="E30" s="1202">
        <v>3</v>
      </c>
    </row>
    <row r="31" spans="1:5" x14ac:dyDescent="0.25">
      <c r="A31" s="1212"/>
      <c r="B31" s="1209" t="s">
        <v>323</v>
      </c>
      <c r="C31" s="1203">
        <v>106112525</v>
      </c>
      <c r="D31" s="1204" t="s">
        <v>300</v>
      </c>
      <c r="E31" s="1202">
        <v>3</v>
      </c>
    </row>
    <row r="32" spans="1:5" x14ac:dyDescent="0.25">
      <c r="A32" s="1212"/>
      <c r="B32" s="1215"/>
      <c r="C32" s="1216">
        <v>106107580</v>
      </c>
      <c r="D32" s="1643" t="s">
        <v>1277</v>
      </c>
      <c r="E32" s="1217">
        <v>3</v>
      </c>
    </row>
    <row r="33" spans="1:5" x14ac:dyDescent="0.25">
      <c r="A33" s="1218"/>
      <c r="B33" s="1210" t="s">
        <v>196</v>
      </c>
      <c r="C33" s="1206">
        <v>106201346</v>
      </c>
      <c r="D33" s="1207" t="s">
        <v>324</v>
      </c>
      <c r="E33" s="1205">
        <v>1</v>
      </c>
    </row>
    <row r="34" spans="1:5" x14ac:dyDescent="0.25">
      <c r="A34" s="1219"/>
      <c r="B34" s="1220" t="s">
        <v>438</v>
      </c>
      <c r="C34" s="1221">
        <v>106200855</v>
      </c>
      <c r="D34" s="1222" t="s">
        <v>436</v>
      </c>
      <c r="E34" s="1223">
        <v>1</v>
      </c>
    </row>
  </sheetData>
  <mergeCells count="6">
    <mergeCell ref="A16:A19"/>
    <mergeCell ref="A2:E2"/>
    <mergeCell ref="A3:B3"/>
    <mergeCell ref="A4:A7"/>
    <mergeCell ref="A8:A11"/>
    <mergeCell ref="A12:A15"/>
  </mergeCells>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8"/>
  <sheetViews>
    <sheetView topLeftCell="A15" zoomScale="90" zoomScaleNormal="90" workbookViewId="0">
      <selection activeCell="C19" sqref="C19"/>
    </sheetView>
  </sheetViews>
  <sheetFormatPr baseColWidth="10" defaultRowHeight="15" x14ac:dyDescent="0.25"/>
  <cols>
    <col min="1" max="1" width="11.42578125" style="11"/>
    <col min="2" max="2" width="14.5703125" style="11" customWidth="1"/>
    <col min="3" max="3" width="12" style="11" bestFit="1" customWidth="1"/>
    <col min="4" max="4" width="56.7109375" style="11" bestFit="1" customWidth="1"/>
    <col min="5" max="16384" width="11.42578125" style="11"/>
  </cols>
  <sheetData>
    <row r="1" spans="1:5" ht="15.75" thickBot="1" x14ac:dyDescent="0.3"/>
    <row r="2" spans="1:5" ht="15.75" thickBot="1" x14ac:dyDescent="0.3">
      <c r="A2" s="4135" t="s">
        <v>1088</v>
      </c>
      <c r="B2" s="4136"/>
      <c r="C2" s="4136"/>
      <c r="D2" s="4136"/>
      <c r="E2" s="4136"/>
    </row>
    <row r="3" spans="1:5" ht="30" customHeight="1" x14ac:dyDescent="0.25">
      <c r="A3" s="4506" t="s">
        <v>79</v>
      </c>
      <c r="B3" s="4507"/>
      <c r="C3" s="1291" t="s">
        <v>936</v>
      </c>
      <c r="D3" s="397" t="s">
        <v>1</v>
      </c>
      <c r="E3" s="397" t="s">
        <v>1080</v>
      </c>
    </row>
    <row r="4" spans="1:5" x14ac:dyDescent="0.25">
      <c r="A4" s="4508" t="s">
        <v>82</v>
      </c>
      <c r="B4" s="1224" t="s">
        <v>24</v>
      </c>
      <c r="C4" s="1225">
        <v>106104947</v>
      </c>
      <c r="D4" s="1226" t="s">
        <v>84</v>
      </c>
      <c r="E4" s="1227">
        <v>1</v>
      </c>
    </row>
    <row r="5" spans="1:5" x14ac:dyDescent="0.25">
      <c r="A5" s="4509"/>
      <c r="B5" s="1228" t="s">
        <v>327</v>
      </c>
      <c r="C5" s="1229">
        <v>106104093</v>
      </c>
      <c r="D5" s="1230" t="s">
        <v>1057</v>
      </c>
      <c r="E5" s="1231">
        <v>3</v>
      </c>
    </row>
    <row r="6" spans="1:5" x14ac:dyDescent="0.25">
      <c r="A6" s="4509"/>
      <c r="B6" s="1228" t="s">
        <v>328</v>
      </c>
      <c r="C6" s="1229">
        <v>106104223</v>
      </c>
      <c r="D6" s="1230" t="s">
        <v>92</v>
      </c>
      <c r="E6" s="1231">
        <v>1</v>
      </c>
    </row>
    <row r="7" spans="1:5" x14ac:dyDescent="0.25">
      <c r="A7" s="4509"/>
      <c r="B7" s="1232" t="s">
        <v>127</v>
      </c>
      <c r="C7" s="1229">
        <v>106104229</v>
      </c>
      <c r="D7" s="547" t="s">
        <v>94</v>
      </c>
      <c r="E7" s="1233">
        <v>1</v>
      </c>
    </row>
    <row r="8" spans="1:5" x14ac:dyDescent="0.25">
      <c r="A8" s="4509"/>
      <c r="B8" s="1228" t="s">
        <v>286</v>
      </c>
      <c r="C8" s="1229">
        <v>106104221</v>
      </c>
      <c r="D8" s="1230" t="s">
        <v>151</v>
      </c>
      <c r="E8" s="1231">
        <v>1</v>
      </c>
    </row>
    <row r="9" spans="1:5" x14ac:dyDescent="0.25">
      <c r="A9" s="4509"/>
      <c r="B9" s="1228" t="s">
        <v>285</v>
      </c>
      <c r="C9" s="1229">
        <v>106104219</v>
      </c>
      <c r="D9" s="1230" t="s">
        <v>96</v>
      </c>
      <c r="E9" s="1231">
        <v>1</v>
      </c>
    </row>
    <row r="10" spans="1:5" x14ac:dyDescent="0.25">
      <c r="A10" s="4509"/>
      <c r="B10" s="1228" t="s">
        <v>21</v>
      </c>
      <c r="C10" s="1229">
        <v>106104119</v>
      </c>
      <c r="D10" s="1234" t="s">
        <v>152</v>
      </c>
      <c r="E10" s="1231">
        <v>1</v>
      </c>
    </row>
    <row r="11" spans="1:5" x14ac:dyDescent="0.25">
      <c r="A11" s="4509"/>
      <c r="B11" s="1228" t="s">
        <v>329</v>
      </c>
      <c r="C11" s="1229">
        <v>106104084</v>
      </c>
      <c r="D11" s="1234" t="s">
        <v>153</v>
      </c>
      <c r="E11" s="1231">
        <v>1</v>
      </c>
    </row>
    <row r="12" spans="1:5" x14ac:dyDescent="0.25">
      <c r="A12" s="4509"/>
      <c r="B12" s="1228" t="s">
        <v>330</v>
      </c>
      <c r="C12" s="1229">
        <v>106104126</v>
      </c>
      <c r="D12" s="1234" t="s">
        <v>154</v>
      </c>
      <c r="E12" s="1231">
        <v>1</v>
      </c>
    </row>
    <row r="13" spans="1:5" x14ac:dyDescent="0.25">
      <c r="A13" s="4509"/>
      <c r="B13" s="1228" t="s">
        <v>331</v>
      </c>
      <c r="C13" s="1229">
        <v>106104094</v>
      </c>
      <c r="D13" s="1234" t="s">
        <v>155</v>
      </c>
      <c r="E13" s="1231">
        <v>1</v>
      </c>
    </row>
    <row r="14" spans="1:5" x14ac:dyDescent="0.25">
      <c r="A14" s="4509"/>
      <c r="B14" s="1228" t="s">
        <v>106</v>
      </c>
      <c r="C14" s="1229">
        <v>106200539</v>
      </c>
      <c r="D14" s="1230" t="s">
        <v>107</v>
      </c>
      <c r="E14" s="1231">
        <v>1</v>
      </c>
    </row>
    <row r="15" spans="1:5" x14ac:dyDescent="0.25">
      <c r="A15" s="4509"/>
      <c r="B15" s="1180"/>
      <c r="C15" s="1235">
        <v>106112712</v>
      </c>
      <c r="D15" s="1236" t="s">
        <v>926</v>
      </c>
      <c r="E15" s="1180">
        <v>2</v>
      </c>
    </row>
    <row r="16" spans="1:5" x14ac:dyDescent="0.25">
      <c r="A16" s="4509"/>
      <c r="B16" s="1237" t="s">
        <v>108</v>
      </c>
      <c r="C16" s="1238">
        <v>106104330</v>
      </c>
      <c r="D16" s="1239" t="s">
        <v>156</v>
      </c>
      <c r="E16" s="1240">
        <v>1</v>
      </c>
    </row>
    <row r="17" spans="1:5" x14ac:dyDescent="0.25">
      <c r="A17" s="4510"/>
      <c r="B17" s="1241" t="s">
        <v>40</v>
      </c>
      <c r="C17" s="1242">
        <v>106200771</v>
      </c>
      <c r="D17" s="1243" t="s">
        <v>110</v>
      </c>
      <c r="E17" s="1244">
        <v>1</v>
      </c>
    </row>
    <row r="18" spans="1:5" x14ac:dyDescent="0.25">
      <c r="A18" s="4511" t="s">
        <v>113</v>
      </c>
      <c r="B18" s="1228" t="s">
        <v>263</v>
      </c>
      <c r="C18" s="1245">
        <v>106104180</v>
      </c>
      <c r="D18" s="1246" t="s">
        <v>157</v>
      </c>
      <c r="E18" s="1231">
        <v>1</v>
      </c>
    </row>
    <row r="19" spans="1:5" x14ac:dyDescent="0.25">
      <c r="A19" s="4512"/>
      <c r="B19" s="1228" t="s">
        <v>332</v>
      </c>
      <c r="C19" s="1245">
        <v>106104133</v>
      </c>
      <c r="D19" s="1246" t="s">
        <v>158</v>
      </c>
      <c r="E19" s="1231">
        <v>4</v>
      </c>
    </row>
    <row r="20" spans="1:5" x14ac:dyDescent="0.25">
      <c r="A20" s="4512"/>
      <c r="B20" s="1228" t="s">
        <v>333</v>
      </c>
      <c r="C20" s="1245">
        <v>106106241</v>
      </c>
      <c r="D20" s="1246" t="s">
        <v>190</v>
      </c>
      <c r="E20" s="1231">
        <v>2</v>
      </c>
    </row>
    <row r="21" spans="1:5" x14ac:dyDescent="0.25">
      <c r="A21" s="4512"/>
      <c r="B21" s="1228" t="s">
        <v>334</v>
      </c>
      <c r="C21" s="1245">
        <v>106104209</v>
      </c>
      <c r="D21" s="1246" t="s">
        <v>191</v>
      </c>
      <c r="E21" s="1231">
        <v>1</v>
      </c>
    </row>
    <row r="22" spans="1:5" x14ac:dyDescent="0.25">
      <c r="A22" s="4512"/>
      <c r="B22" s="1228" t="s">
        <v>335</v>
      </c>
      <c r="C22" s="1245">
        <v>106104212</v>
      </c>
      <c r="D22" s="1246" t="s">
        <v>193</v>
      </c>
      <c r="E22" s="1231">
        <v>1</v>
      </c>
    </row>
    <row r="23" spans="1:5" x14ac:dyDescent="0.25">
      <c r="A23" s="4512"/>
      <c r="B23" s="1228" t="s">
        <v>271</v>
      </c>
      <c r="C23" s="1245">
        <v>106112169</v>
      </c>
      <c r="D23" s="1247" t="s">
        <v>120</v>
      </c>
      <c r="E23" s="1231">
        <v>2</v>
      </c>
    </row>
    <row r="24" spans="1:5" x14ac:dyDescent="0.25">
      <c r="A24" s="4513"/>
      <c r="B24" s="1241" t="s">
        <v>261</v>
      </c>
      <c r="C24" s="1248">
        <v>106110278</v>
      </c>
      <c r="D24" s="1246" t="s">
        <v>123</v>
      </c>
      <c r="E24" s="1244">
        <v>1</v>
      </c>
    </row>
    <row r="25" spans="1:5" x14ac:dyDescent="0.25">
      <c r="A25" s="4511" t="s">
        <v>137</v>
      </c>
      <c r="B25" s="1224" t="s">
        <v>138</v>
      </c>
      <c r="C25" s="1249">
        <v>106104101</v>
      </c>
      <c r="D25" s="1224" t="s">
        <v>162</v>
      </c>
      <c r="E25" s="1227">
        <v>1</v>
      </c>
    </row>
    <row r="26" spans="1:5" x14ac:dyDescent="0.25">
      <c r="A26" s="4512"/>
      <c r="B26" s="1228" t="s">
        <v>194</v>
      </c>
      <c r="C26" s="1249">
        <v>106104408</v>
      </c>
      <c r="D26" s="1228" t="s">
        <v>195</v>
      </c>
      <c r="E26" s="1231">
        <v>1</v>
      </c>
    </row>
    <row r="27" spans="1:5" x14ac:dyDescent="0.25">
      <c r="A27" s="4512"/>
      <c r="B27" s="1228" t="s">
        <v>336</v>
      </c>
      <c r="C27" s="1249">
        <v>106105850</v>
      </c>
      <c r="D27" s="1228" t="s">
        <v>145</v>
      </c>
      <c r="E27" s="1231">
        <v>2</v>
      </c>
    </row>
    <row r="28" spans="1:5" x14ac:dyDescent="0.25">
      <c r="A28" s="4512"/>
      <c r="B28" s="1228" t="s">
        <v>337</v>
      </c>
      <c r="C28" s="1249">
        <v>106105852</v>
      </c>
      <c r="D28" s="1228" t="s">
        <v>338</v>
      </c>
      <c r="E28" s="1231">
        <v>1</v>
      </c>
    </row>
    <row r="29" spans="1:5" x14ac:dyDescent="0.25">
      <c r="A29" s="4512"/>
      <c r="B29" s="1228" t="s">
        <v>339</v>
      </c>
      <c r="C29" s="1249">
        <v>106105038</v>
      </c>
      <c r="D29" s="1228" t="s">
        <v>299</v>
      </c>
      <c r="E29" s="1231">
        <v>2</v>
      </c>
    </row>
    <row r="30" spans="1:5" x14ac:dyDescent="0.25">
      <c r="A30" s="4513"/>
      <c r="B30" s="1241" t="s">
        <v>196</v>
      </c>
      <c r="C30" s="1249">
        <v>106201346</v>
      </c>
      <c r="D30" s="1250" t="s">
        <v>197</v>
      </c>
      <c r="E30" s="1244">
        <v>1</v>
      </c>
    </row>
    <row r="31" spans="1:5" x14ac:dyDescent="0.25">
      <c r="A31" s="4514" t="s">
        <v>124</v>
      </c>
      <c r="B31" s="1224" t="s">
        <v>287</v>
      </c>
      <c r="C31" s="1251">
        <v>106105422</v>
      </c>
      <c r="D31" s="1224" t="s">
        <v>126</v>
      </c>
      <c r="E31" s="1227">
        <v>3</v>
      </c>
    </row>
    <row r="32" spans="1:5" x14ac:dyDescent="0.25">
      <c r="A32" s="4515"/>
      <c r="B32" s="1228" t="s">
        <v>71</v>
      </c>
      <c r="C32" s="1245">
        <v>106110473</v>
      </c>
      <c r="D32" s="1232" t="s">
        <v>648</v>
      </c>
      <c r="E32" s="1231">
        <v>1</v>
      </c>
    </row>
    <row r="33" spans="1:5" x14ac:dyDescent="0.25">
      <c r="A33" s="4515"/>
      <c r="B33" s="1228" t="s">
        <v>340</v>
      </c>
      <c r="C33" s="1245">
        <v>106104092</v>
      </c>
      <c r="D33" s="1252" t="s">
        <v>161</v>
      </c>
      <c r="E33" s="1231">
        <v>1</v>
      </c>
    </row>
    <row r="34" spans="1:5" x14ac:dyDescent="0.25">
      <c r="A34" s="4516"/>
      <c r="B34" s="1241" t="s">
        <v>341</v>
      </c>
      <c r="C34" s="1253">
        <v>106104397</v>
      </c>
      <c r="D34" s="1228" t="s">
        <v>135</v>
      </c>
      <c r="E34" s="1244">
        <v>1</v>
      </c>
    </row>
    <row r="35" spans="1:5" x14ac:dyDescent="0.25">
      <c r="A35" s="4503" t="s">
        <v>11</v>
      </c>
      <c r="B35" s="1254"/>
      <c r="C35" s="1255">
        <v>106112878</v>
      </c>
      <c r="D35" s="1256" t="s">
        <v>689</v>
      </c>
      <c r="E35" s="955">
        <v>5</v>
      </c>
    </row>
    <row r="36" spans="1:5" x14ac:dyDescent="0.25">
      <c r="A36" s="4504"/>
      <c r="B36" s="1257"/>
      <c r="C36" s="1258">
        <v>106107580</v>
      </c>
      <c r="D36" s="1643" t="s">
        <v>1277</v>
      </c>
      <c r="E36" s="1233">
        <v>3</v>
      </c>
    </row>
    <row r="37" spans="1:5" x14ac:dyDescent="0.25">
      <c r="A37" s="4505"/>
      <c r="B37" s="1259"/>
      <c r="C37" s="1260">
        <v>106112712</v>
      </c>
      <c r="D37" s="1261" t="s">
        <v>683</v>
      </c>
      <c r="E37" s="263">
        <v>1</v>
      </c>
    </row>
    <row r="38" spans="1:5" x14ac:dyDescent="0.25">
      <c r="A38" s="1262"/>
      <c r="B38" s="1263" t="s">
        <v>240</v>
      </c>
      <c r="C38" s="1260">
        <v>106202625</v>
      </c>
      <c r="D38" s="1264" t="s">
        <v>676</v>
      </c>
      <c r="E38" s="1265">
        <v>1</v>
      </c>
    </row>
  </sheetData>
  <mergeCells count="7">
    <mergeCell ref="A35:A37"/>
    <mergeCell ref="A2:E2"/>
    <mergeCell ref="A3:B3"/>
    <mergeCell ref="A4:A17"/>
    <mergeCell ref="A18:A24"/>
    <mergeCell ref="A25:A30"/>
    <mergeCell ref="A31:A34"/>
  </mergeCells>
  <pageMargins left="0.7" right="0.7" top="0.75" bottom="0.75" header="0.3" footer="0.3"/>
  <pageSetup paperSize="9" orientation="portrait" r:id="rId1"/>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48"/>
  <sheetViews>
    <sheetView zoomScale="80" zoomScaleNormal="80" workbookViewId="0">
      <selection activeCell="E10" sqref="E10"/>
    </sheetView>
  </sheetViews>
  <sheetFormatPr baseColWidth="10" defaultRowHeight="15" x14ac:dyDescent="0.25"/>
  <cols>
    <col min="1" max="1" width="18" style="1381" customWidth="1"/>
    <col min="2" max="2" width="52.28515625" style="1381" customWidth="1"/>
    <col min="3" max="3" width="7.42578125" style="794" bestFit="1" customWidth="1"/>
    <col min="4" max="4" width="15.5703125" style="794" customWidth="1"/>
    <col min="5" max="5" width="11" style="794" customWidth="1"/>
    <col min="6" max="6" width="9.140625" style="794" bestFit="1" customWidth="1"/>
    <col min="7" max="7" width="17.140625" style="794" customWidth="1"/>
    <col min="8" max="8" width="14.5703125" style="794" customWidth="1"/>
    <col min="9" max="9" width="24.42578125" style="2336" hidden="1" customWidth="1"/>
    <col min="10" max="10" width="11.5703125" style="2336" bestFit="1" customWidth="1"/>
    <col min="11" max="11" width="8.7109375" style="2336" bestFit="1" customWidth="1"/>
    <col min="12" max="12" width="7.7109375" style="2336" customWidth="1"/>
    <col min="13" max="13" width="8.7109375" style="2336" bestFit="1" customWidth="1"/>
    <col min="14" max="14" width="11.7109375" style="2336" customWidth="1"/>
    <col min="15" max="15" width="16" style="794" customWidth="1"/>
    <col min="16" max="16" width="13.7109375" style="794" bestFit="1" customWidth="1"/>
    <col min="17" max="17" width="11.42578125" style="794"/>
    <col min="18" max="18" width="13.7109375" style="794" customWidth="1"/>
    <col min="19" max="16384" width="11.42578125" style="794"/>
  </cols>
  <sheetData>
    <row r="1" spans="1:18" ht="15.75" thickBot="1" x14ac:dyDescent="0.3">
      <c r="B1" s="1754" t="s">
        <v>1659</v>
      </c>
      <c r="H1" s="2228" t="s">
        <v>1348</v>
      </c>
      <c r="I1" s="794"/>
      <c r="J1" s="275"/>
    </row>
    <row r="2" spans="1:18" ht="18" customHeight="1" thickBot="1" x14ac:dyDescent="0.3">
      <c r="A2" s="2229"/>
      <c r="B2" s="1756" t="s">
        <v>2459</v>
      </c>
      <c r="C2" s="1757"/>
      <c r="D2" s="1757"/>
      <c r="E2" s="1757"/>
      <c r="F2" s="1758">
        <v>4</v>
      </c>
      <c r="G2" s="1759" t="s">
        <v>2469</v>
      </c>
      <c r="H2" s="1760">
        <v>10</v>
      </c>
      <c r="I2" s="794"/>
      <c r="J2" s="2342"/>
    </row>
    <row r="3" spans="1:18" ht="39" thickBot="1" x14ac:dyDescent="0.3">
      <c r="A3" s="2332"/>
      <c r="B3" s="1738" t="s">
        <v>525</v>
      </c>
      <c r="C3" s="4519" t="s">
        <v>526</v>
      </c>
      <c r="D3" s="4520"/>
      <c r="E3" s="1739" t="s">
        <v>935</v>
      </c>
      <c r="F3" s="1739" t="s">
        <v>959</v>
      </c>
      <c r="G3" s="1739" t="s">
        <v>1007</v>
      </c>
      <c r="H3" s="1753" t="s">
        <v>251</v>
      </c>
      <c r="J3" s="1750" t="s">
        <v>2470</v>
      </c>
      <c r="K3" s="2336" t="s">
        <v>2461</v>
      </c>
      <c r="L3" s="2336" t="s">
        <v>2464</v>
      </c>
      <c r="M3" s="2336" t="s">
        <v>2462</v>
      </c>
      <c r="N3" s="2336" t="s">
        <v>2463</v>
      </c>
      <c r="O3" s="132" t="s">
        <v>2468</v>
      </c>
      <c r="P3" s="132" t="s">
        <v>2467</v>
      </c>
      <c r="Q3" s="132" t="s">
        <v>2466</v>
      </c>
      <c r="R3" s="132" t="s">
        <v>2465</v>
      </c>
    </row>
    <row r="4" spans="1:18" ht="15.75" customHeight="1" x14ac:dyDescent="0.25">
      <c r="A4" s="4354" t="s">
        <v>660</v>
      </c>
      <c r="B4" s="537" t="s">
        <v>545</v>
      </c>
      <c r="C4" s="4256" t="s">
        <v>1662</v>
      </c>
      <c r="D4" s="2230" t="s">
        <v>91</v>
      </c>
      <c r="E4" s="2231">
        <v>106202886</v>
      </c>
      <c r="F4" s="2232">
        <f>$F2</f>
        <v>4</v>
      </c>
      <c r="G4" s="993">
        <f>ROUND(F4*$H$2/8,0)</f>
        <v>5</v>
      </c>
      <c r="H4" s="2018">
        <f>G4*'Lista global'!P219</f>
        <v>292.25</v>
      </c>
      <c r="I4" s="794"/>
      <c r="J4" s="2343">
        <v>5.0000000000000001E-4</v>
      </c>
      <c r="K4" s="2336">
        <v>2</v>
      </c>
      <c r="L4" s="2336">
        <f t="shared" ref="L4:L28" si="0">IF(ROUNDUP( $J4*$H$2*$F4*5,0)&gt;$K4,ROUNDUP( $J4*$H$2*$F4*1,0),$K4)</f>
        <v>2</v>
      </c>
      <c r="M4" s="2336">
        <f>IF(ROUNDUP( $J4*$H$2*$F4*5,0)&gt;$K4,ROUNDUP( $J4*$H$2*$F4*5,0),$K4)</f>
        <v>2</v>
      </c>
      <c r="N4" s="2336">
        <f>IF(ROUNDUP( $J4*$H$2*$F4*20,0)&gt;$K4,ROUNDUP( $J4*$H$2*$F4*20,0),$K4)</f>
        <v>2</v>
      </c>
      <c r="O4" s="2339">
        <f>K4*'Lista global'!$P219</f>
        <v>116.89999999999999</v>
      </c>
      <c r="P4" s="2339">
        <f>L4*'Lista global'!$P219</f>
        <v>116.89999999999999</v>
      </c>
      <c r="Q4" s="2339">
        <f>M4*'Lista global'!$P219</f>
        <v>116.89999999999999</v>
      </c>
      <c r="R4" s="2339">
        <f>N4*'Lista global'!$P219</f>
        <v>116.89999999999999</v>
      </c>
    </row>
    <row r="5" spans="1:18" ht="15.75" customHeight="1" x14ac:dyDescent="0.25">
      <c r="A5" s="4355"/>
      <c r="B5" s="537" t="s">
        <v>546</v>
      </c>
      <c r="C5" s="4256"/>
      <c r="D5" s="2230" t="s">
        <v>93</v>
      </c>
      <c r="E5" s="2231">
        <v>106202884</v>
      </c>
      <c r="F5" s="2232">
        <f>$F2</f>
        <v>4</v>
      </c>
      <c r="G5" s="993">
        <f>ROUND(F5*$H$2/8,0)</f>
        <v>5</v>
      </c>
      <c r="H5" s="2018">
        <f>G5*'Lista global'!P218</f>
        <v>170.5</v>
      </c>
      <c r="I5" s="794"/>
      <c r="J5" s="2343">
        <v>2.0000000000000001E-4</v>
      </c>
      <c r="K5" s="2336">
        <v>1</v>
      </c>
      <c r="L5" s="2336">
        <f t="shared" si="0"/>
        <v>1</v>
      </c>
      <c r="M5" s="2336">
        <f t="shared" ref="M5:M28" si="1">IF(ROUNDUP( $J5*$H$2*$F5*5,0)&gt;$K5,ROUNDUP( $J5*$H$2*$F5*5,0),$K5)</f>
        <v>1</v>
      </c>
      <c r="N5" s="2336">
        <f t="shared" ref="N5:N28" si="2">IF(ROUNDUP( $J5*$H$2*$F5*20,0)&gt;$K5,ROUNDUP( $J5*$H$2*$F5*20,0),$K5)</f>
        <v>1</v>
      </c>
      <c r="O5" s="2339">
        <f>K5*'Lista global'!$P218</f>
        <v>34.1</v>
      </c>
      <c r="P5" s="2339">
        <f>L5*'Lista global'!$P218</f>
        <v>34.1</v>
      </c>
      <c r="Q5" s="2339">
        <f>M5*'Lista global'!$P218</f>
        <v>34.1</v>
      </c>
      <c r="R5" s="2339">
        <f>N5*'Lista global'!$P218</f>
        <v>34.1</v>
      </c>
    </row>
    <row r="6" spans="1:18" ht="15.75" customHeight="1" x14ac:dyDescent="0.25">
      <c r="A6" s="4355"/>
      <c r="B6" s="537" t="s">
        <v>548</v>
      </c>
      <c r="C6" s="4256"/>
      <c r="D6" s="2233" t="s">
        <v>127</v>
      </c>
      <c r="E6" s="2234">
        <v>106114372</v>
      </c>
      <c r="F6" s="2235">
        <v>1</v>
      </c>
      <c r="G6" s="993">
        <f>ROUND(F6*$H$2/8,0)</f>
        <v>1</v>
      </c>
      <c r="H6" s="2018">
        <f>G6*'Lista global'!P143</f>
        <v>62.337499999999991</v>
      </c>
      <c r="I6" s="794"/>
      <c r="J6" s="2343">
        <v>2.0000000000000001E-4</v>
      </c>
      <c r="K6" s="2336">
        <v>1</v>
      </c>
      <c r="L6" s="2336">
        <f t="shared" si="0"/>
        <v>1</v>
      </c>
      <c r="M6" s="2336">
        <f t="shared" si="1"/>
        <v>1</v>
      </c>
      <c r="N6" s="2336">
        <f t="shared" si="2"/>
        <v>1</v>
      </c>
      <c r="O6" s="2339">
        <f>K6*'Lista global'!$P143</f>
        <v>62.337499999999991</v>
      </c>
      <c r="P6" s="2339">
        <f>L6*'Lista global'!$P143</f>
        <v>62.337499999999991</v>
      </c>
      <c r="Q6" s="2339">
        <f>M6*'Lista global'!$P143</f>
        <v>62.337499999999991</v>
      </c>
      <c r="R6" s="2339">
        <f>N6*'Lista global'!$P143</f>
        <v>62.337499999999991</v>
      </c>
    </row>
    <row r="7" spans="1:18" ht="15.75" customHeight="1" thickBot="1" x14ac:dyDescent="0.3">
      <c r="A7" s="4355"/>
      <c r="B7" s="537" t="s">
        <v>547</v>
      </c>
      <c r="C7" s="4256"/>
      <c r="D7" s="2236" t="s">
        <v>95</v>
      </c>
      <c r="E7" s="2234">
        <v>106202883</v>
      </c>
      <c r="F7" s="2237">
        <f>$F2</f>
        <v>4</v>
      </c>
      <c r="G7" s="2290">
        <f>ROUND(F7*$H$2/8,0)</f>
        <v>5</v>
      </c>
      <c r="H7" s="2019">
        <f>G7*'Lista global'!P217</f>
        <v>137.375</v>
      </c>
      <c r="I7" s="794"/>
      <c r="J7" s="2343">
        <v>2.0000000000000001E-4</v>
      </c>
      <c r="K7" s="2336">
        <v>1</v>
      </c>
      <c r="L7" s="2336">
        <f t="shared" si="0"/>
        <v>1</v>
      </c>
      <c r="M7" s="2336">
        <f t="shared" si="1"/>
        <v>1</v>
      </c>
      <c r="N7" s="2336">
        <f t="shared" si="2"/>
        <v>1</v>
      </c>
      <c r="O7" s="2339">
        <f>K7*'Lista global'!$P217</f>
        <v>27.474999999999998</v>
      </c>
      <c r="P7" s="2339">
        <f>L7*'Lista global'!$P217</f>
        <v>27.474999999999998</v>
      </c>
      <c r="Q7" s="2339">
        <f>M7*'Lista global'!$P217</f>
        <v>27.474999999999998</v>
      </c>
      <c r="R7" s="2339">
        <f>N7*'Lista global'!$P217</f>
        <v>27.474999999999998</v>
      </c>
    </row>
    <row r="8" spans="1:18" ht="23.25" customHeight="1" x14ac:dyDescent="0.25">
      <c r="A8" s="1103" t="s">
        <v>661</v>
      </c>
      <c r="B8" s="414" t="s">
        <v>523</v>
      </c>
      <c r="C8" s="4256"/>
      <c r="D8" s="2238" t="s">
        <v>97</v>
      </c>
      <c r="E8" s="2239">
        <v>106113580</v>
      </c>
      <c r="F8" s="2287">
        <f>$F2</f>
        <v>4</v>
      </c>
      <c r="G8" s="1721">
        <f>ROUNDUP($H$2/10,0)</f>
        <v>1</v>
      </c>
      <c r="H8" s="2241">
        <f>G8*'Lista global'!P122</f>
        <v>443.33749999999998</v>
      </c>
      <c r="I8" s="794"/>
      <c r="J8" s="2343">
        <v>6.9999999999999999E-4</v>
      </c>
      <c r="K8" s="2336">
        <v>1</v>
      </c>
      <c r="L8" s="2336">
        <f t="shared" si="0"/>
        <v>1</v>
      </c>
      <c r="M8" s="2336">
        <f t="shared" si="1"/>
        <v>1</v>
      </c>
      <c r="N8" s="2336">
        <f t="shared" si="2"/>
        <v>1</v>
      </c>
      <c r="O8" s="2339">
        <f>K8*'Lista global'!$P122</f>
        <v>443.33749999999998</v>
      </c>
      <c r="P8" s="2339">
        <f>L8*'Lista global'!$P122</f>
        <v>443.33749999999998</v>
      </c>
      <c r="Q8" s="2339">
        <f>M8*'Lista global'!$P122</f>
        <v>443.33749999999998</v>
      </c>
      <c r="R8" s="2339">
        <f>N8*'Lista global'!$P122</f>
        <v>443.33749999999998</v>
      </c>
    </row>
    <row r="9" spans="1:18" ht="15.75" customHeight="1" x14ac:dyDescent="0.25">
      <c r="A9" s="1104"/>
      <c r="B9" s="415" t="s">
        <v>558</v>
      </c>
      <c r="C9" s="4256"/>
      <c r="D9" s="2242" t="s">
        <v>106</v>
      </c>
      <c r="E9" s="1265">
        <v>106200539</v>
      </c>
      <c r="F9" s="2288">
        <f>$F2</f>
        <v>4</v>
      </c>
      <c r="G9" s="2291">
        <f>ROUND($H$2/2,0)</f>
        <v>5</v>
      </c>
      <c r="H9" s="2020">
        <f>G9*'Lista global'!P178</f>
        <v>165.99999999999997</v>
      </c>
      <c r="I9" s="794"/>
      <c r="J9" s="2343">
        <v>2.0000000000000001E-4</v>
      </c>
      <c r="K9" s="2336">
        <v>1</v>
      </c>
      <c r="L9" s="2336">
        <f t="shared" si="0"/>
        <v>1</v>
      </c>
      <c r="M9" s="2336">
        <f t="shared" si="1"/>
        <v>1</v>
      </c>
      <c r="N9" s="2336">
        <f t="shared" si="2"/>
        <v>1</v>
      </c>
      <c r="O9" s="2339">
        <f>K9*'Lista global'!$P178</f>
        <v>33.199999999999996</v>
      </c>
      <c r="P9" s="2339">
        <f>L9*'Lista global'!$P178</f>
        <v>33.199999999999996</v>
      </c>
      <c r="Q9" s="2339">
        <f>M9*'Lista global'!$P178</f>
        <v>33.199999999999996</v>
      </c>
      <c r="R9" s="2339">
        <f>N9*'Lista global'!$P178</f>
        <v>33.199999999999996</v>
      </c>
    </row>
    <row r="10" spans="1:18" x14ac:dyDescent="0.25">
      <c r="A10" s="1104" t="s">
        <v>649</v>
      </c>
      <c r="B10" s="415" t="s">
        <v>1647</v>
      </c>
      <c r="C10" s="4256"/>
      <c r="D10" s="2230" t="s">
        <v>1632</v>
      </c>
      <c r="E10" s="1265">
        <v>106205458</v>
      </c>
      <c r="F10" s="2288">
        <f>$F2</f>
        <v>4</v>
      </c>
      <c r="G10" s="2291">
        <f>ROUNDUP($H$2/10,0)</f>
        <v>1</v>
      </c>
      <c r="H10" s="2243">
        <f>G10*'Lista global'!P259</f>
        <v>191.70000000000002</v>
      </c>
      <c r="I10" s="2244"/>
      <c r="J10" s="2343">
        <v>1E-3</v>
      </c>
      <c r="K10" s="2336">
        <v>1</v>
      </c>
      <c r="L10" s="2336">
        <f t="shared" si="0"/>
        <v>1</v>
      </c>
      <c r="M10" s="2336">
        <f t="shared" si="1"/>
        <v>1</v>
      </c>
      <c r="N10" s="2336">
        <f t="shared" si="2"/>
        <v>1</v>
      </c>
      <c r="O10" s="2340">
        <f>K10*'Lista global'!$P259</f>
        <v>191.70000000000002</v>
      </c>
      <c r="P10" s="2340">
        <f>L10*'Lista global'!$P259</f>
        <v>191.70000000000002</v>
      </c>
      <c r="Q10" s="2340">
        <f>M10*'Lista global'!$P259</f>
        <v>191.70000000000002</v>
      </c>
      <c r="R10" s="2340">
        <f>N10*'Lista global'!$P259</f>
        <v>191.70000000000002</v>
      </c>
    </row>
    <row r="11" spans="1:18" ht="30" x14ac:dyDescent="0.25">
      <c r="A11" s="794" t="s">
        <v>649</v>
      </c>
      <c r="B11" s="1755" t="s">
        <v>1049</v>
      </c>
      <c r="C11" s="4256"/>
      <c r="D11" s="2192" t="s">
        <v>1067</v>
      </c>
      <c r="E11" s="2245">
        <v>106203799</v>
      </c>
      <c r="F11" s="2288">
        <f>$F2</f>
        <v>4</v>
      </c>
      <c r="G11" s="2291">
        <f>ROUNDUP($H$2/10,0)</f>
        <v>1</v>
      </c>
      <c r="H11" s="2020">
        <f>G11*'Lista global'!P228</f>
        <v>50.075000000000003</v>
      </c>
      <c r="I11" s="794"/>
      <c r="J11" s="2343">
        <v>2.0000000000000001E-4</v>
      </c>
      <c r="K11" s="2336">
        <v>1</v>
      </c>
      <c r="L11" s="2336">
        <f t="shared" si="0"/>
        <v>1</v>
      </c>
      <c r="M11" s="2336">
        <f t="shared" si="1"/>
        <v>1</v>
      </c>
      <c r="N11" s="2336">
        <f t="shared" si="2"/>
        <v>1</v>
      </c>
      <c r="O11" s="2339">
        <f>K11*'Lista global'!$P228</f>
        <v>50.075000000000003</v>
      </c>
      <c r="P11" s="2339">
        <f>L11*'Lista global'!$P228</f>
        <v>50.075000000000003</v>
      </c>
      <c r="Q11" s="2339">
        <f>M11*'Lista global'!$P228</f>
        <v>50.075000000000003</v>
      </c>
      <c r="R11" s="2339">
        <f>N11*'Lista global'!$P228</f>
        <v>50.075000000000003</v>
      </c>
    </row>
    <row r="12" spans="1:18" x14ac:dyDescent="0.25">
      <c r="A12" s="794"/>
      <c r="B12" s="1755" t="s">
        <v>1149</v>
      </c>
      <c r="C12" s="4256"/>
      <c r="D12" s="2246"/>
      <c r="E12" s="2247" t="s">
        <v>1500</v>
      </c>
      <c r="F12" s="2288">
        <v>4</v>
      </c>
      <c r="G12" s="2291">
        <f>ROUNDUP($H$2/10,0)</f>
        <v>1</v>
      </c>
      <c r="H12" s="2020">
        <f>G12*'Lista global'!P262</f>
        <v>318.47499999999997</v>
      </c>
      <c r="I12" s="794"/>
      <c r="J12" s="2343">
        <v>5.0000000000000001E-4</v>
      </c>
      <c r="K12" s="2336">
        <v>1</v>
      </c>
      <c r="L12" s="2336">
        <f t="shared" si="0"/>
        <v>1</v>
      </c>
      <c r="M12" s="2336">
        <f t="shared" si="1"/>
        <v>1</v>
      </c>
      <c r="N12" s="2336">
        <f t="shared" si="2"/>
        <v>1</v>
      </c>
      <c r="O12" s="2339">
        <f>K12*'Lista global'!$P262</f>
        <v>318.47499999999997</v>
      </c>
      <c r="P12" s="2339">
        <f>L12*'Lista global'!$P262</f>
        <v>318.47499999999997</v>
      </c>
      <c r="Q12" s="2339">
        <f>M12*'Lista global'!$P262</f>
        <v>318.47499999999997</v>
      </c>
      <c r="R12" s="2339">
        <f>N12*'Lista global'!$P262</f>
        <v>318.47499999999997</v>
      </c>
    </row>
    <row r="13" spans="1:18" s="2252" customFormat="1" ht="15.75" customHeight="1" x14ac:dyDescent="0.25">
      <c r="A13" s="1112" t="s">
        <v>647</v>
      </c>
      <c r="B13" s="2248" t="s">
        <v>1634</v>
      </c>
      <c r="C13" s="4256"/>
      <c r="D13" s="2249" t="s">
        <v>1633</v>
      </c>
      <c r="E13" s="2250">
        <v>106119667</v>
      </c>
      <c r="F13" s="2289">
        <f>3*$F2</f>
        <v>12</v>
      </c>
      <c r="G13" s="2291">
        <f>3*$G$28</f>
        <v>6</v>
      </c>
      <c r="H13" s="2243">
        <f>G13*5.38/0.8</f>
        <v>40.35</v>
      </c>
      <c r="I13" s="2252" t="s">
        <v>1636</v>
      </c>
      <c r="J13" s="2343">
        <v>2.0000000000000001E-4</v>
      </c>
      <c r="K13" s="2336">
        <v>5</v>
      </c>
      <c r="L13" s="2336">
        <f t="shared" si="0"/>
        <v>5</v>
      </c>
      <c r="M13" s="2336">
        <f t="shared" si="1"/>
        <v>5</v>
      </c>
      <c r="N13" s="2336">
        <f t="shared" si="2"/>
        <v>5</v>
      </c>
      <c r="O13" s="2340">
        <f>K13*5.38/0.8</f>
        <v>33.624999999999993</v>
      </c>
      <c r="P13" s="2340">
        <f>L13*5.38/0.8</f>
        <v>33.624999999999993</v>
      </c>
      <c r="Q13" s="2340">
        <f>M13*5.38/0.8</f>
        <v>33.624999999999993</v>
      </c>
      <c r="R13" s="2340">
        <f>N13*5.38/0.8</f>
        <v>33.624999999999993</v>
      </c>
    </row>
    <row r="14" spans="1:18" s="2257" customFormat="1" ht="15.75" customHeight="1" thickBot="1" x14ac:dyDescent="0.3">
      <c r="A14" s="2333" t="s">
        <v>647</v>
      </c>
      <c r="B14" s="2253" t="s">
        <v>1074</v>
      </c>
      <c r="C14" s="4257"/>
      <c r="D14" s="2254" t="s">
        <v>1070</v>
      </c>
      <c r="E14" s="2255">
        <v>106112520</v>
      </c>
      <c r="F14" s="2282">
        <f>2*$F2</f>
        <v>8</v>
      </c>
      <c r="G14" s="2292">
        <f>2*$G$28</f>
        <v>4</v>
      </c>
      <c r="H14" s="2256">
        <f>G14*'Lista global'!P112</f>
        <v>11.899999999999999</v>
      </c>
      <c r="J14" s="2343">
        <v>2.0000000000000001E-4</v>
      </c>
      <c r="K14" s="2336">
        <v>5</v>
      </c>
      <c r="L14" s="2336">
        <f t="shared" si="0"/>
        <v>5</v>
      </c>
      <c r="M14" s="2336">
        <f t="shared" si="1"/>
        <v>5</v>
      </c>
      <c r="N14" s="2336">
        <f t="shared" si="2"/>
        <v>5</v>
      </c>
      <c r="O14" s="2340">
        <f>K14*'Lista global'!$P112</f>
        <v>14.874999999999998</v>
      </c>
      <c r="P14" s="2340">
        <f>L14*'Lista global'!$P112</f>
        <v>14.874999999999998</v>
      </c>
      <c r="Q14" s="2340">
        <f>M14*'Lista global'!$P112</f>
        <v>14.874999999999998</v>
      </c>
      <c r="R14" s="2340">
        <f>N14*'Lista global'!$P112</f>
        <v>14.874999999999998</v>
      </c>
    </row>
    <row r="15" spans="1:18" ht="15.75" customHeight="1" x14ac:dyDescent="0.25">
      <c r="A15" s="2331" t="s">
        <v>668</v>
      </c>
      <c r="B15" s="414" t="s">
        <v>1654</v>
      </c>
      <c r="C15" s="4255" t="s">
        <v>2458</v>
      </c>
      <c r="D15" s="2258" t="s">
        <v>263</v>
      </c>
      <c r="E15" s="2259">
        <v>106118981</v>
      </c>
      <c r="F15" s="2240">
        <v>4</v>
      </c>
      <c r="G15" s="2323">
        <f>ROUNDUP($H$2/10,0)</f>
        <v>1</v>
      </c>
      <c r="H15" s="2260">
        <f>G15*190.9</f>
        <v>190.9</v>
      </c>
      <c r="I15" s="794" t="s">
        <v>1655</v>
      </c>
      <c r="J15" s="2343">
        <v>1E-3</v>
      </c>
      <c r="K15" s="2336">
        <v>1</v>
      </c>
      <c r="L15" s="2336">
        <f t="shared" si="0"/>
        <v>1</v>
      </c>
      <c r="M15" s="2336">
        <f t="shared" si="1"/>
        <v>1</v>
      </c>
      <c r="N15" s="2336">
        <f t="shared" si="2"/>
        <v>1</v>
      </c>
      <c r="O15" s="2340">
        <f>K15*190.9</f>
        <v>190.9</v>
      </c>
      <c r="P15" s="2340">
        <f>L15*190.9</f>
        <v>190.9</v>
      </c>
      <c r="Q15" s="2340">
        <f>M15*190.9</f>
        <v>190.9</v>
      </c>
      <c r="R15" s="2340">
        <f>N15*190.9</f>
        <v>190.9</v>
      </c>
    </row>
    <row r="16" spans="1:18" ht="15.75" customHeight="1" x14ac:dyDescent="0.25">
      <c r="A16" s="415"/>
      <c r="B16" s="415" t="s">
        <v>567</v>
      </c>
      <c r="C16" s="4256"/>
      <c r="D16" s="2324" t="s">
        <v>261</v>
      </c>
      <c r="E16" s="2261">
        <v>106114701</v>
      </c>
      <c r="F16" s="2325">
        <v>4</v>
      </c>
      <c r="G16" s="2036">
        <f>ROUND(F16*$H$2/4,0)</f>
        <v>10</v>
      </c>
      <c r="H16" s="2018">
        <f>G16*'Lista global'!P146</f>
        <v>928.5</v>
      </c>
      <c r="I16" s="794"/>
      <c r="J16" s="2343">
        <v>2.0000000000000001E-4</v>
      </c>
      <c r="K16" s="2336">
        <v>1</v>
      </c>
      <c r="L16" s="2336">
        <f t="shared" si="0"/>
        <v>1</v>
      </c>
      <c r="M16" s="2336">
        <f t="shared" si="1"/>
        <v>1</v>
      </c>
      <c r="N16" s="2336">
        <f t="shared" si="2"/>
        <v>1</v>
      </c>
      <c r="O16" s="2339">
        <f>K16*'Lista global'!$P146</f>
        <v>92.85</v>
      </c>
      <c r="P16" s="2339">
        <f>L16*'Lista global'!$P146</f>
        <v>92.85</v>
      </c>
      <c r="Q16" s="2339">
        <f>M16*'Lista global'!$P146</f>
        <v>92.85</v>
      </c>
      <c r="R16" s="2339">
        <f>N16*'Lista global'!$P146</f>
        <v>92.85</v>
      </c>
    </row>
    <row r="17" spans="1:18" ht="20.25" customHeight="1" x14ac:dyDescent="0.25">
      <c r="A17" s="420" t="s">
        <v>656</v>
      </c>
      <c r="B17" s="420" t="s">
        <v>579</v>
      </c>
      <c r="C17" s="4256"/>
      <c r="D17" s="2326" t="s">
        <v>341</v>
      </c>
      <c r="E17" s="2327">
        <v>106113993</v>
      </c>
      <c r="F17" s="2328">
        <v>4</v>
      </c>
      <c r="G17" s="2036">
        <f>ROUND(F17*$H$2/4,0)</f>
        <v>10</v>
      </c>
      <c r="H17" s="2018">
        <f>G17*'Lista global'!P137</f>
        <v>1333.375</v>
      </c>
      <c r="I17" s="794" t="s">
        <v>1635</v>
      </c>
      <c r="J17" s="2343">
        <v>2.0000000000000001E-4</v>
      </c>
      <c r="K17" s="2336">
        <v>1</v>
      </c>
      <c r="L17" s="2336">
        <f t="shared" si="0"/>
        <v>1</v>
      </c>
      <c r="M17" s="2336">
        <f t="shared" si="1"/>
        <v>1</v>
      </c>
      <c r="N17" s="2336">
        <f t="shared" si="2"/>
        <v>1</v>
      </c>
      <c r="O17" s="2340">
        <f>K17*'Lista global'!$P137</f>
        <v>133.33750000000001</v>
      </c>
      <c r="P17" s="2340">
        <f>L17*'Lista global'!$P137</f>
        <v>133.33750000000001</v>
      </c>
      <c r="Q17" s="2340">
        <f>M17*'Lista global'!$P137</f>
        <v>133.33750000000001</v>
      </c>
      <c r="R17" s="2340">
        <f>N17*'Lista global'!$P137</f>
        <v>133.33750000000001</v>
      </c>
    </row>
    <row r="18" spans="1:18" ht="20.25" customHeight="1" thickBot="1" x14ac:dyDescent="0.3">
      <c r="A18" s="420"/>
      <c r="B18" s="421" t="s">
        <v>1656</v>
      </c>
      <c r="C18" s="4257"/>
      <c r="D18" s="2329"/>
      <c r="E18" s="2330">
        <v>106119150</v>
      </c>
      <c r="F18" s="1733">
        <v>4</v>
      </c>
      <c r="G18" s="1729">
        <f>ROUNDUP($H$2/10,0)</f>
        <v>1</v>
      </c>
      <c r="H18" s="1737">
        <f>G18*470/0.8</f>
        <v>587.5</v>
      </c>
      <c r="I18" s="794" t="s">
        <v>1657</v>
      </c>
      <c r="J18" s="2343">
        <v>6.9999999999999999E-4</v>
      </c>
      <c r="K18" s="2336">
        <v>1</v>
      </c>
      <c r="L18" s="2336">
        <f t="shared" si="0"/>
        <v>1</v>
      </c>
      <c r="M18" s="2336">
        <f t="shared" si="1"/>
        <v>1</v>
      </c>
      <c r="N18" s="2336">
        <f t="shared" si="2"/>
        <v>1</v>
      </c>
      <c r="O18" s="2340">
        <f>K18*470/0.8</f>
        <v>587.5</v>
      </c>
      <c r="P18" s="2340">
        <f>L18*470/0.8</f>
        <v>587.5</v>
      </c>
      <c r="Q18" s="2340">
        <f>M18*470/0.8</f>
        <v>587.5</v>
      </c>
      <c r="R18" s="2340">
        <f>N18*470/0.8</f>
        <v>587.5</v>
      </c>
    </row>
    <row r="19" spans="1:18" s="2336" customFormat="1" ht="27.75" customHeight="1" thickBot="1" x14ac:dyDescent="0.3">
      <c r="A19" s="2335" t="s">
        <v>669</v>
      </c>
      <c r="B19" s="540" t="s">
        <v>1093</v>
      </c>
      <c r="C19" s="2317"/>
      <c r="D19" s="2318" t="s">
        <v>71</v>
      </c>
      <c r="E19" s="2319">
        <v>106204783</v>
      </c>
      <c r="F19" s="2320">
        <v>1</v>
      </c>
      <c r="G19" s="2321">
        <f>ROUNDUP($H$2/40,0)</f>
        <v>1</v>
      </c>
      <c r="H19" s="2322">
        <f>G19*1300/0.8</f>
        <v>1625</v>
      </c>
      <c r="I19" s="794" t="s">
        <v>1648</v>
      </c>
      <c r="J19" s="2343">
        <v>1E-3</v>
      </c>
      <c r="K19" s="2336">
        <v>1</v>
      </c>
      <c r="L19" s="2336">
        <f t="shared" si="0"/>
        <v>1</v>
      </c>
      <c r="M19" s="2336">
        <f t="shared" si="1"/>
        <v>1</v>
      </c>
      <c r="N19" s="2336">
        <f t="shared" si="2"/>
        <v>1</v>
      </c>
      <c r="O19" s="2340">
        <f>K19*1300/0.8</f>
        <v>1625</v>
      </c>
      <c r="P19" s="2340">
        <f>L19*1300/0.8</f>
        <v>1625</v>
      </c>
      <c r="Q19" s="2340">
        <f>M19*1300/0.8</f>
        <v>1625</v>
      </c>
      <c r="R19" s="2340">
        <f>N19*1300/0.8</f>
        <v>1625</v>
      </c>
    </row>
    <row r="20" spans="1:18" ht="15.75" customHeight="1" x14ac:dyDescent="0.25">
      <c r="A20" s="415" t="s">
        <v>654</v>
      </c>
      <c r="B20" s="1751" t="s">
        <v>1597</v>
      </c>
      <c r="C20" s="4256"/>
      <c r="D20" s="2230" t="s">
        <v>144</v>
      </c>
      <c r="E20" s="2231">
        <v>106120231</v>
      </c>
      <c r="F20" s="2262">
        <f>IF($F2=4,6,IF($F2=3,5,3))</f>
        <v>6</v>
      </c>
      <c r="G20" s="1363">
        <f>ROUND(F20*$H$2/10,0)</f>
        <v>6</v>
      </c>
      <c r="H20" s="2018">
        <f>G20*145.75/0.8</f>
        <v>1093.125</v>
      </c>
      <c r="I20" s="794" t="s">
        <v>1658</v>
      </c>
      <c r="J20" s="2343">
        <v>1E-3</v>
      </c>
      <c r="K20" s="2336">
        <v>1</v>
      </c>
      <c r="L20" s="2336">
        <f t="shared" si="0"/>
        <v>1</v>
      </c>
      <c r="M20" s="2336">
        <f t="shared" si="1"/>
        <v>1</v>
      </c>
      <c r="N20" s="2336">
        <f t="shared" si="2"/>
        <v>2</v>
      </c>
      <c r="O20" s="2339">
        <f>K20*145.75/0.8</f>
        <v>182.1875</v>
      </c>
      <c r="P20" s="2339">
        <f>L20*145.75/0.8</f>
        <v>182.1875</v>
      </c>
      <c r="Q20" s="2339">
        <f>M20*145.75/0.8</f>
        <v>182.1875</v>
      </c>
      <c r="R20" s="2339">
        <f>N20*145.75/0.8</f>
        <v>364.375</v>
      </c>
    </row>
    <row r="21" spans="1:18" ht="15.75" customHeight="1" x14ac:dyDescent="0.25">
      <c r="A21" s="415"/>
      <c r="B21" s="415" t="s">
        <v>571</v>
      </c>
      <c r="C21" s="4256"/>
      <c r="D21" s="2263" t="s">
        <v>196</v>
      </c>
      <c r="E21" s="2231">
        <v>106201346</v>
      </c>
      <c r="F21" s="2251">
        <v>1</v>
      </c>
      <c r="G21" s="1035">
        <f>ROUNDUP($H$2/4,0)</f>
        <v>3</v>
      </c>
      <c r="H21" s="2018">
        <f>G21*'Lista global'!P199</f>
        <v>221.17499999999998</v>
      </c>
      <c r="I21" s="794"/>
      <c r="J21" s="2343">
        <v>1.1000000000000001E-3</v>
      </c>
      <c r="K21" s="2336">
        <v>1</v>
      </c>
      <c r="L21" s="2336">
        <f t="shared" si="0"/>
        <v>1</v>
      </c>
      <c r="M21" s="2336">
        <f t="shared" si="1"/>
        <v>1</v>
      </c>
      <c r="N21" s="2336">
        <f t="shared" si="2"/>
        <v>1</v>
      </c>
      <c r="O21" s="2339">
        <f>K21*'Lista global'!$P199</f>
        <v>73.724999999999994</v>
      </c>
      <c r="P21" s="2339">
        <f>L21*'Lista global'!$P199</f>
        <v>73.724999999999994</v>
      </c>
      <c r="Q21" s="2339">
        <f>M21*'Lista global'!$P199</f>
        <v>73.724999999999994</v>
      </c>
      <c r="R21" s="2339">
        <f>N21*'Lista global'!$P199</f>
        <v>73.724999999999994</v>
      </c>
    </row>
    <row r="22" spans="1:18" ht="15.75" customHeight="1" x14ac:dyDescent="0.25">
      <c r="A22" s="415"/>
      <c r="B22" s="415" t="s">
        <v>575</v>
      </c>
      <c r="C22" s="4256"/>
      <c r="D22" s="2263" t="s">
        <v>204</v>
      </c>
      <c r="E22" s="2231">
        <v>106110898</v>
      </c>
      <c r="F22" s="2251">
        <f>IF($F2=4,1,0)</f>
        <v>1</v>
      </c>
      <c r="G22" s="1364">
        <f>$H$2</f>
        <v>10</v>
      </c>
      <c r="H22" s="2018">
        <f>G22*'Lista global'!P93</f>
        <v>231.16666666666669</v>
      </c>
      <c r="I22" s="794"/>
      <c r="J22" s="2343">
        <v>2.0000000000000001E-4</v>
      </c>
      <c r="K22" s="2336">
        <v>1</v>
      </c>
      <c r="L22" s="2336">
        <f t="shared" si="0"/>
        <v>1</v>
      </c>
      <c r="M22" s="2336">
        <f t="shared" si="1"/>
        <v>1</v>
      </c>
      <c r="N22" s="2336">
        <f t="shared" si="2"/>
        <v>1</v>
      </c>
      <c r="O22" s="2339">
        <f>K22*'Lista global'!$P93</f>
        <v>23.116666666666667</v>
      </c>
      <c r="P22" s="2339">
        <f>L22*'Lista global'!$P93</f>
        <v>23.116666666666667</v>
      </c>
      <c r="Q22" s="2339">
        <f>M22*'Lista global'!$P93</f>
        <v>23.116666666666667</v>
      </c>
      <c r="R22" s="2339">
        <f>N22*'Lista global'!$P93</f>
        <v>23.116666666666667</v>
      </c>
    </row>
    <row r="23" spans="1:18" ht="15.75" customHeight="1" x14ac:dyDescent="0.25">
      <c r="A23" s="415"/>
      <c r="B23" s="415" t="s">
        <v>576</v>
      </c>
      <c r="C23" s="4256"/>
      <c r="D23" s="2263" t="s">
        <v>206</v>
      </c>
      <c r="E23" s="2234">
        <v>106201807</v>
      </c>
      <c r="F23" s="2251">
        <v>1</v>
      </c>
      <c r="G23" s="1364">
        <f>ROUND(F23*$H$2/2,0)</f>
        <v>5</v>
      </c>
      <c r="H23" s="2018">
        <f>G23*'Lista global'!P204</f>
        <v>838.25</v>
      </c>
      <c r="I23" s="794"/>
      <c r="J23" s="2343">
        <v>1E-3</v>
      </c>
      <c r="K23" s="2336">
        <v>1</v>
      </c>
      <c r="L23" s="2336">
        <f t="shared" si="0"/>
        <v>1</v>
      </c>
      <c r="M23" s="2336">
        <f t="shared" si="1"/>
        <v>1</v>
      </c>
      <c r="N23" s="2336">
        <f t="shared" si="2"/>
        <v>1</v>
      </c>
      <c r="O23" s="2339">
        <f>K23*'Lista global'!$P204</f>
        <v>167.65</v>
      </c>
      <c r="P23" s="2339">
        <f>L23*'Lista global'!$P204</f>
        <v>167.65</v>
      </c>
      <c r="Q23" s="2339">
        <f>M23*'Lista global'!$P204</f>
        <v>167.65</v>
      </c>
      <c r="R23" s="2339">
        <f>N23*'Lista global'!$P204</f>
        <v>167.65</v>
      </c>
    </row>
    <row r="24" spans="1:18" ht="15.75" customHeight="1" x14ac:dyDescent="0.25">
      <c r="A24" s="415"/>
      <c r="B24" s="415" t="s">
        <v>681</v>
      </c>
      <c r="C24" s="4256"/>
      <c r="D24" s="2264" t="s">
        <v>460</v>
      </c>
      <c r="E24" s="2265">
        <v>106202476</v>
      </c>
      <c r="F24" s="2251">
        <v>1</v>
      </c>
      <c r="G24" s="1364">
        <f>ROUNDDOWN($H$2/6,0)</f>
        <v>1</v>
      </c>
      <c r="H24" s="2018">
        <f>G24*'Lista global'!P205</f>
        <v>23.450000000000003</v>
      </c>
      <c r="I24" s="794"/>
      <c r="J24" s="2343">
        <v>2.0000000000000001E-4</v>
      </c>
      <c r="K24" s="2336">
        <v>1</v>
      </c>
      <c r="L24" s="2336">
        <f t="shared" si="0"/>
        <v>1</v>
      </c>
      <c r="M24" s="2336">
        <f t="shared" si="1"/>
        <v>1</v>
      </c>
      <c r="N24" s="2336">
        <f t="shared" si="2"/>
        <v>1</v>
      </c>
      <c r="O24" s="2339">
        <f>K24*'Lista global'!$P205</f>
        <v>23.450000000000003</v>
      </c>
      <c r="P24" s="2339">
        <f>L24*'Lista global'!$P205</f>
        <v>23.450000000000003</v>
      </c>
      <c r="Q24" s="2339">
        <f>M24*'Lista global'!$P205</f>
        <v>23.450000000000003</v>
      </c>
      <c r="R24" s="2339">
        <f>N24*'Lista global'!$P205</f>
        <v>23.450000000000003</v>
      </c>
    </row>
    <row r="25" spans="1:18" s="2270" customFormat="1" ht="15.75" thickBot="1" x14ac:dyDescent="0.3">
      <c r="A25" s="2266"/>
      <c r="B25" s="2266" t="s">
        <v>584</v>
      </c>
      <c r="C25" s="4256"/>
      <c r="D25" s="2267" t="s">
        <v>354</v>
      </c>
      <c r="E25" s="1728">
        <v>106200941</v>
      </c>
      <c r="F25" s="2268">
        <v>1</v>
      </c>
      <c r="G25" s="2285">
        <v>1</v>
      </c>
      <c r="H25" s="2269">
        <f>G25*'Lista global'!P198</f>
        <v>56.85</v>
      </c>
      <c r="I25" s="794"/>
      <c r="J25" s="2343">
        <v>1E-4</v>
      </c>
      <c r="K25" s="2336">
        <v>1</v>
      </c>
      <c r="L25" s="2336">
        <f t="shared" si="0"/>
        <v>1</v>
      </c>
      <c r="M25" s="2336">
        <f t="shared" si="1"/>
        <v>1</v>
      </c>
      <c r="N25" s="2336">
        <f t="shared" si="2"/>
        <v>1</v>
      </c>
      <c r="O25" s="2339">
        <f>K25*'Lista global'!$P198</f>
        <v>56.85</v>
      </c>
      <c r="P25" s="2339">
        <f>L25*'Lista global'!$P198</f>
        <v>56.85</v>
      </c>
      <c r="Q25" s="2339">
        <f>M25*'Lista global'!$P198</f>
        <v>56.85</v>
      </c>
      <c r="R25" s="2339">
        <f>N25*'Lista global'!$P198</f>
        <v>56.85</v>
      </c>
    </row>
    <row r="26" spans="1:18" s="2336" customFormat="1" ht="21.75" customHeight="1" x14ac:dyDescent="0.25">
      <c r="A26" s="520"/>
      <c r="B26" s="419" t="s">
        <v>955</v>
      </c>
      <c r="C26" s="4517" t="s">
        <v>1663</v>
      </c>
      <c r="D26" s="509"/>
      <c r="E26" s="2271">
        <v>106112878</v>
      </c>
      <c r="F26" s="2281">
        <f>5*$F2</f>
        <v>20</v>
      </c>
      <c r="G26" s="2272">
        <f>3*$G$28</f>
        <v>6</v>
      </c>
      <c r="H26" s="2283">
        <f>G26*'Lista global'!P120</f>
        <v>14.549999999999999</v>
      </c>
      <c r="I26" s="794"/>
      <c r="J26" s="2343">
        <v>2E-3</v>
      </c>
      <c r="K26" s="2336">
        <v>5</v>
      </c>
      <c r="L26" s="2336">
        <f t="shared" si="0"/>
        <v>5</v>
      </c>
      <c r="M26" s="2336">
        <f t="shared" si="1"/>
        <v>5</v>
      </c>
      <c r="N26" s="2336">
        <f t="shared" si="2"/>
        <v>8</v>
      </c>
      <c r="O26" s="2339">
        <f>K26*'Lista global'!$P120</f>
        <v>12.125</v>
      </c>
      <c r="P26" s="2339">
        <f>L26*'Lista global'!$P120</f>
        <v>12.125</v>
      </c>
      <c r="Q26" s="2339">
        <f>M26*'Lista global'!$P120</f>
        <v>12.125</v>
      </c>
      <c r="R26" s="2339">
        <f>N26*'Lista global'!$P120</f>
        <v>19.399999999999999</v>
      </c>
    </row>
    <row r="27" spans="1:18" s="2336" customFormat="1" ht="20.25" customHeight="1" thickBot="1" x14ac:dyDescent="0.3">
      <c r="A27" s="2334"/>
      <c r="B27" s="2266" t="s">
        <v>1277</v>
      </c>
      <c r="C27" s="4518"/>
      <c r="D27" s="418"/>
      <c r="E27" s="2273">
        <v>106107580</v>
      </c>
      <c r="F27" s="2282">
        <f>3*$F2</f>
        <v>12</v>
      </c>
      <c r="G27" s="1365">
        <f>5*$G$28</f>
        <v>10</v>
      </c>
      <c r="H27" s="2284">
        <f>G27*'Lista global'!P78</f>
        <v>10.875</v>
      </c>
      <c r="I27" s="794"/>
      <c r="J27" s="2343">
        <v>2.0000000000000001E-4</v>
      </c>
      <c r="K27" s="2336">
        <v>3</v>
      </c>
      <c r="L27" s="2336">
        <f t="shared" si="0"/>
        <v>3</v>
      </c>
      <c r="M27" s="2336">
        <f t="shared" si="1"/>
        <v>3</v>
      </c>
      <c r="N27" s="2336">
        <f t="shared" si="2"/>
        <v>3</v>
      </c>
      <c r="O27" s="2339">
        <f>K27*'Lista global'!$P78</f>
        <v>3.2624999999999997</v>
      </c>
      <c r="P27" s="2339">
        <f>L27*'Lista global'!$P78</f>
        <v>3.2624999999999997</v>
      </c>
      <c r="Q27" s="2339">
        <f>M27*'Lista global'!$P78</f>
        <v>3.2624999999999997</v>
      </c>
      <c r="R27" s="2339">
        <f>N27*'Lista global'!$P78</f>
        <v>3.2624999999999997</v>
      </c>
    </row>
    <row r="28" spans="1:18" ht="15.75" customHeight="1" thickBot="1" x14ac:dyDescent="0.3">
      <c r="A28" s="441"/>
      <c r="B28" s="2274" t="s">
        <v>2457</v>
      </c>
      <c r="C28" s="529" t="s">
        <v>0</v>
      </c>
      <c r="D28" s="441" t="s">
        <v>1660</v>
      </c>
      <c r="E28" s="529" t="s">
        <v>0</v>
      </c>
      <c r="F28" s="2275">
        <f>$F2</f>
        <v>4</v>
      </c>
      <c r="G28" s="2286">
        <f>ROUNDUP(H2*F2*3/100,0)</f>
        <v>2</v>
      </c>
      <c r="H28" s="1529">
        <f>G28*9495.01</f>
        <v>18990.02</v>
      </c>
      <c r="I28" s="1542" t="s">
        <v>1661</v>
      </c>
      <c r="J28" s="2343">
        <v>3.3000000000000002E-2</v>
      </c>
      <c r="K28" s="2336">
        <v>1</v>
      </c>
      <c r="L28" s="2336">
        <f t="shared" si="0"/>
        <v>2</v>
      </c>
      <c r="M28" s="2336">
        <f t="shared" si="1"/>
        <v>7</v>
      </c>
      <c r="N28" s="2336">
        <f t="shared" si="2"/>
        <v>27</v>
      </c>
      <c r="O28" s="2339">
        <f>K28*$N$35</f>
        <v>2000</v>
      </c>
      <c r="P28" s="2339">
        <f>L28*$N$35</f>
        <v>4000</v>
      </c>
      <c r="Q28" s="2339">
        <f>M28*$N$35</f>
        <v>14000</v>
      </c>
      <c r="R28" s="2339">
        <f>N28*$N$35</f>
        <v>54000</v>
      </c>
    </row>
    <row r="29" spans="1:18" ht="15.75" thickBot="1" x14ac:dyDescent="0.3">
      <c r="G29" s="2276" t="s">
        <v>941</v>
      </c>
      <c r="H29" s="2277">
        <f>SUM(H4:H28)</f>
        <v>28029.036666666667</v>
      </c>
      <c r="I29" s="794"/>
      <c r="J29" s="275"/>
      <c r="O29" s="2341">
        <f>SUM(O4:O28)</f>
        <v>6498.0541666666668</v>
      </c>
      <c r="P29" s="2341">
        <f>SUM(P4:P28)</f>
        <v>8498.0541666666668</v>
      </c>
      <c r="Q29" s="2341">
        <f>SUM(Q4:Q28)</f>
        <v>18498.054166666669</v>
      </c>
      <c r="R29" s="2341">
        <f>SUM(R4:R28)</f>
        <v>58687.516666666663</v>
      </c>
    </row>
    <row r="30" spans="1:18" ht="15.75" customHeight="1" x14ac:dyDescent="0.25">
      <c r="A30" s="2344"/>
      <c r="B30" s="2344"/>
      <c r="C30" s="2345"/>
      <c r="D30" s="2346"/>
      <c r="E30" s="267"/>
      <c r="F30" s="267"/>
      <c r="G30" s="2278"/>
      <c r="H30" s="2278"/>
      <c r="I30" s="794"/>
      <c r="R30" s="2350">
        <f>R29*3.7</f>
        <v>217143.81166666668</v>
      </c>
    </row>
    <row r="31" spans="1:18" ht="15.75" customHeight="1" x14ac:dyDescent="0.25">
      <c r="A31" s="2344"/>
      <c r="B31" s="2344" t="s">
        <v>2471</v>
      </c>
      <c r="C31" s="2345"/>
      <c r="D31" s="2347"/>
      <c r="E31" s="269"/>
      <c r="F31" s="270"/>
      <c r="G31" s="2278"/>
      <c r="H31" s="2278"/>
      <c r="I31" s="794"/>
    </row>
    <row r="32" spans="1:18" ht="15.75" customHeight="1" x14ac:dyDescent="0.25">
      <c r="A32" s="2344"/>
      <c r="B32" s="2344" t="s">
        <v>2472</v>
      </c>
      <c r="C32" s="2345"/>
      <c r="D32" s="2347"/>
      <c r="E32" s="269"/>
      <c r="F32" s="270"/>
      <c r="G32" s="2278"/>
      <c r="H32" s="2278"/>
      <c r="I32" s="794"/>
    </row>
    <row r="33" spans="1:14" ht="15.75" customHeight="1" x14ac:dyDescent="0.25">
      <c r="A33" s="2344"/>
      <c r="B33" s="2344"/>
      <c r="C33" s="2345"/>
      <c r="D33" s="2347"/>
      <c r="E33" s="269"/>
      <c r="F33" s="270"/>
      <c r="G33" s="2278"/>
      <c r="H33" s="2278"/>
      <c r="J33" s="794" t="s">
        <v>2194</v>
      </c>
      <c r="L33" s="2349">
        <v>2012</v>
      </c>
      <c r="M33" s="2350">
        <v>445</v>
      </c>
      <c r="N33" s="2338">
        <f>M33/0.7+67.25</f>
        <v>702.96428571428578</v>
      </c>
    </row>
    <row r="34" spans="1:14" ht="15.75" customHeight="1" x14ac:dyDescent="0.25">
      <c r="A34" s="2344"/>
      <c r="B34" s="2344"/>
      <c r="C34" s="2345"/>
      <c r="D34" s="2347"/>
      <c r="E34" s="269"/>
      <c r="F34" s="270"/>
      <c r="G34" s="2278"/>
      <c r="H34" s="2278"/>
      <c r="I34" s="1383"/>
    </row>
    <row r="35" spans="1:14" x14ac:dyDescent="0.25">
      <c r="A35" s="2344"/>
      <c r="B35" s="2348"/>
      <c r="C35" s="2278"/>
      <c r="D35" s="2347"/>
      <c r="E35" s="270"/>
      <c r="F35" s="270"/>
      <c r="G35" s="2278"/>
      <c r="H35" s="2278"/>
      <c r="I35" s="794"/>
      <c r="N35" s="2338">
        <v>2000</v>
      </c>
    </row>
    <row r="36" spans="1:14" x14ac:dyDescent="0.25">
      <c r="A36" s="2344"/>
      <c r="B36" s="2348"/>
      <c r="C36" s="2278"/>
      <c r="D36" s="2347"/>
      <c r="E36" s="270"/>
      <c r="F36" s="270"/>
      <c r="G36" s="2278"/>
      <c r="H36" s="2278"/>
      <c r="I36" s="794"/>
    </row>
    <row r="37" spans="1:14" ht="15.75" customHeight="1" x14ac:dyDescent="0.25">
      <c r="A37" s="2344"/>
      <c r="B37" s="2348"/>
      <c r="C37" s="2278"/>
      <c r="D37" s="2347"/>
      <c r="E37" s="270"/>
      <c r="F37" s="270"/>
      <c r="G37" s="2278"/>
      <c r="H37" s="2278"/>
      <c r="I37" s="794"/>
    </row>
    <row r="38" spans="1:14" ht="15.75" customHeight="1" x14ac:dyDescent="0.25">
      <c r="A38" s="2344"/>
      <c r="B38" s="2348"/>
      <c r="C38" s="2278"/>
      <c r="D38" s="2347"/>
      <c r="E38" s="270"/>
      <c r="F38" s="270"/>
      <c r="G38" s="2278"/>
      <c r="H38" s="2278"/>
      <c r="I38" s="794"/>
    </row>
    <row r="39" spans="1:14" ht="15.75" customHeight="1" x14ac:dyDescent="0.25">
      <c r="A39" s="2344"/>
      <c r="B39" s="2348"/>
      <c r="C39" s="2278"/>
      <c r="D39" s="2347"/>
      <c r="E39" s="270"/>
      <c r="F39" s="270"/>
      <c r="G39" s="2278"/>
      <c r="H39" s="2278"/>
      <c r="I39" s="794"/>
    </row>
    <row r="40" spans="1:14" x14ac:dyDescent="0.25">
      <c r="I40" s="794"/>
    </row>
    <row r="41" spans="1:14" x14ac:dyDescent="0.25">
      <c r="I41" s="794"/>
    </row>
    <row r="42" spans="1:14" x14ac:dyDescent="0.25">
      <c r="B42" s="2279"/>
      <c r="D42" s="2280"/>
      <c r="E42" s="2270"/>
      <c r="I42" s="794"/>
    </row>
    <row r="43" spans="1:14" x14ac:dyDescent="0.25">
      <c r="B43" s="2279"/>
      <c r="I43" s="794"/>
    </row>
    <row r="44" spans="1:14" x14ac:dyDescent="0.25">
      <c r="B44" s="2279"/>
      <c r="I44" s="794"/>
    </row>
    <row r="47" spans="1:14" x14ac:dyDescent="0.25">
      <c r="F47" s="2270"/>
    </row>
    <row r="48" spans="1:14" x14ac:dyDescent="0.25">
      <c r="F48" s="2270"/>
    </row>
  </sheetData>
  <mergeCells count="6">
    <mergeCell ref="C26:C27"/>
    <mergeCell ref="C3:D3"/>
    <mergeCell ref="A4:A7"/>
    <mergeCell ref="C4:C14"/>
    <mergeCell ref="C15:C18"/>
    <mergeCell ref="C20:C25"/>
  </mergeCells>
  <dataValidations count="1">
    <dataValidation type="list" allowBlank="1" showInputMessage="1" showErrorMessage="1" sqref="F2">
      <formula1>$G$30:$G$32</formula1>
    </dataValidation>
  </dataValidations>
  <pageMargins left="0.70866141732283472" right="0.70866141732283472" top="0.74803149606299213" bottom="0.74803149606299213" header="0.31496062992125984" footer="0.31496062992125984"/>
  <pageSetup paperSize="9" orientation="portrait" horizontalDpi="96" verticalDpi="96" r:id="rId1"/>
  <ignoredErrors>
    <ignoredError sqref="G9" formula="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U82"/>
  <sheetViews>
    <sheetView topLeftCell="A15" workbookViewId="0">
      <selection activeCell="D54" sqref="D54"/>
    </sheetView>
  </sheetViews>
  <sheetFormatPr baseColWidth="10" defaultRowHeight="15" x14ac:dyDescent="0.25"/>
  <cols>
    <col min="1" max="1" width="39.5703125" style="1383" customWidth="1"/>
    <col min="2" max="2" width="5.5703125" style="1383" customWidth="1"/>
    <col min="3" max="3" width="8.42578125" style="1383" customWidth="1"/>
    <col min="4" max="4" width="11.28515625" style="1383" customWidth="1"/>
    <col min="5" max="5" width="52.5703125" style="1383" customWidth="1"/>
    <col min="6" max="6" width="13.42578125" style="1383" customWidth="1"/>
    <col min="7" max="7" width="10.5703125" style="11" customWidth="1"/>
    <col min="8" max="8" width="9" style="11" customWidth="1"/>
    <col min="9" max="10" width="11.42578125" style="11"/>
    <col min="11" max="11" width="13.42578125" style="11" customWidth="1"/>
    <col min="12" max="12" width="13.7109375" style="11" customWidth="1"/>
    <col min="13" max="13" width="14.140625" style="75" customWidth="1"/>
    <col min="14" max="14" width="11.42578125" style="11"/>
    <col min="15" max="15" width="15.5703125" style="11" customWidth="1"/>
    <col min="16" max="16" width="11.42578125" style="11"/>
    <col min="17" max="17" width="12.5703125" style="11" bestFit="1" customWidth="1"/>
    <col min="18" max="19" width="11.42578125" style="11"/>
    <col min="20" max="21" width="54" style="11" bestFit="1" customWidth="1"/>
    <col min="22" max="22" width="12.28515625" style="11" customWidth="1"/>
    <col min="23" max="16384" width="11.42578125" style="11"/>
  </cols>
  <sheetData>
    <row r="2" spans="1:13" ht="15.75" thickBot="1" x14ac:dyDescent="0.3">
      <c r="B2" s="71"/>
      <c r="C2" s="71"/>
      <c r="D2" s="71"/>
      <c r="E2" s="71"/>
      <c r="F2" s="71"/>
      <c r="G2" s="71"/>
      <c r="H2" s="71"/>
      <c r="J2" s="75"/>
      <c r="M2" s="11"/>
    </row>
    <row r="3" spans="1:13" ht="15.75" thickBot="1" x14ac:dyDescent="0.3">
      <c r="B3" s="4109" t="s">
        <v>2020</v>
      </c>
      <c r="C3" s="4110"/>
      <c r="D3" s="4110"/>
      <c r="E3" s="1578" t="s">
        <v>2057</v>
      </c>
      <c r="F3" s="1603" t="s">
        <v>2203</v>
      </c>
      <c r="G3" s="71"/>
      <c r="H3" s="71"/>
      <c r="J3" s="75"/>
      <c r="M3" s="11"/>
    </row>
    <row r="4" spans="1:13" ht="29.25" customHeight="1" thickBot="1" x14ac:dyDescent="0.3">
      <c r="B4" s="4111" t="s">
        <v>79</v>
      </c>
      <c r="C4" s="4112"/>
      <c r="D4" s="904" t="s">
        <v>936</v>
      </c>
      <c r="E4" s="76" t="s">
        <v>1</v>
      </c>
      <c r="F4" s="126" t="s">
        <v>960</v>
      </c>
      <c r="M4" s="11"/>
    </row>
    <row r="5" spans="1:13" s="173" customFormat="1" ht="16.5" x14ac:dyDescent="0.25">
      <c r="A5" s="1360" t="s">
        <v>591</v>
      </c>
      <c r="B5" s="495" t="s">
        <v>21</v>
      </c>
      <c r="C5" s="1849" t="s">
        <v>21</v>
      </c>
      <c r="D5" s="1850">
        <v>106114215</v>
      </c>
      <c r="E5" s="498" t="s">
        <v>223</v>
      </c>
      <c r="F5" s="1851">
        <v>1</v>
      </c>
    </row>
    <row r="6" spans="1:13" x14ac:dyDescent="0.25">
      <c r="B6" s="4106" t="s">
        <v>210</v>
      </c>
      <c r="C6" s="1852" t="s">
        <v>210</v>
      </c>
      <c r="D6" s="1853">
        <v>106105751</v>
      </c>
      <c r="E6" s="1854" t="s">
        <v>224</v>
      </c>
      <c r="F6" s="1855">
        <v>1</v>
      </c>
      <c r="M6" s="11"/>
    </row>
    <row r="7" spans="1:13" x14ac:dyDescent="0.25">
      <c r="B7" s="4108"/>
      <c r="C7" s="307" t="s">
        <v>211</v>
      </c>
      <c r="D7" s="1856">
        <v>106105883</v>
      </c>
      <c r="E7" s="1857" t="s">
        <v>225</v>
      </c>
      <c r="F7" s="1858">
        <v>1</v>
      </c>
      <c r="M7" s="11"/>
    </row>
    <row r="8" spans="1:13" ht="28.5" customHeight="1" x14ac:dyDescent="0.25">
      <c r="B8" s="4107" t="s">
        <v>16</v>
      </c>
      <c r="C8" s="1859" t="s">
        <v>212</v>
      </c>
      <c r="D8" s="1860">
        <v>106105887</v>
      </c>
      <c r="E8" s="1861" t="s">
        <v>238</v>
      </c>
      <c r="F8" s="1862">
        <v>4</v>
      </c>
      <c r="M8" s="11"/>
    </row>
    <row r="9" spans="1:13" ht="16.5" customHeight="1" x14ac:dyDescent="0.25">
      <c r="B9" s="4107"/>
      <c r="C9" s="1859" t="s">
        <v>15</v>
      </c>
      <c r="D9" s="1860">
        <v>106105421</v>
      </c>
      <c r="E9" s="1861" t="s">
        <v>226</v>
      </c>
      <c r="F9" s="1862">
        <v>3</v>
      </c>
      <c r="M9" s="11"/>
    </row>
    <row r="10" spans="1:13" x14ac:dyDescent="0.25">
      <c r="B10" s="4107"/>
      <c r="C10" s="1863" t="s">
        <v>213</v>
      </c>
      <c r="D10" s="1860">
        <v>106104088</v>
      </c>
      <c r="E10" s="1861" t="s">
        <v>227</v>
      </c>
      <c r="F10" s="1862">
        <v>1</v>
      </c>
      <c r="M10" s="11"/>
    </row>
    <row r="11" spans="1:13" ht="36.75" customHeight="1" x14ac:dyDescent="0.25">
      <c r="B11" s="4106" t="s">
        <v>214</v>
      </c>
      <c r="C11" s="1852" t="s">
        <v>215</v>
      </c>
      <c r="D11" s="1853">
        <v>106105439</v>
      </c>
      <c r="E11" s="1864" t="s">
        <v>228</v>
      </c>
      <c r="F11" s="1855">
        <v>6</v>
      </c>
      <c r="M11" s="11"/>
    </row>
    <row r="12" spans="1:13" s="173" customFormat="1" ht="24" x14ac:dyDescent="0.25">
      <c r="A12" s="1351"/>
      <c r="B12" s="4107"/>
      <c r="C12" s="1859" t="s">
        <v>20</v>
      </c>
      <c r="D12" s="1865">
        <v>106105901</v>
      </c>
      <c r="E12" s="1866" t="s">
        <v>3909</v>
      </c>
      <c r="F12" s="1867">
        <v>3</v>
      </c>
    </row>
    <row r="13" spans="1:13" s="173" customFormat="1" ht="24" x14ac:dyDescent="0.25">
      <c r="A13" s="1351"/>
      <c r="B13" s="4108"/>
      <c r="C13" s="307" t="s">
        <v>216</v>
      </c>
      <c r="D13" s="1868">
        <v>106105902</v>
      </c>
      <c r="E13" s="1869" t="s">
        <v>230</v>
      </c>
      <c r="F13" s="1870">
        <v>3</v>
      </c>
    </row>
    <row r="14" spans="1:13" ht="15" customHeight="1" x14ac:dyDescent="0.25">
      <c r="B14" s="4107" t="s">
        <v>217</v>
      </c>
      <c r="C14" s="1859" t="s">
        <v>217</v>
      </c>
      <c r="D14" s="1860">
        <v>106105140</v>
      </c>
      <c r="E14" s="1861" t="s">
        <v>231</v>
      </c>
      <c r="F14" s="1862">
        <v>8</v>
      </c>
      <c r="M14" s="11"/>
    </row>
    <row r="15" spans="1:13" ht="24" x14ac:dyDescent="0.25">
      <c r="B15" s="4107"/>
      <c r="C15" s="1859" t="s">
        <v>218</v>
      </c>
      <c r="D15" s="1860">
        <v>106105150</v>
      </c>
      <c r="E15" s="1861" t="s">
        <v>232</v>
      </c>
      <c r="F15" s="1862">
        <v>8</v>
      </c>
      <c r="M15" s="11"/>
    </row>
    <row r="16" spans="1:13" ht="15" customHeight="1" x14ac:dyDescent="0.25">
      <c r="B16" s="4106" t="s">
        <v>219</v>
      </c>
      <c r="C16" s="1852" t="s">
        <v>219</v>
      </c>
      <c r="D16" s="1853">
        <v>106105141</v>
      </c>
      <c r="E16" s="1854" t="s">
        <v>233</v>
      </c>
      <c r="F16" s="1855">
        <v>8</v>
      </c>
      <c r="M16" s="11"/>
    </row>
    <row r="17" spans="1:21" x14ac:dyDescent="0.25">
      <c r="B17" s="4108"/>
      <c r="C17" s="307" t="s">
        <v>220</v>
      </c>
      <c r="D17" s="1856">
        <v>106105151</v>
      </c>
      <c r="E17" s="1857" t="s">
        <v>234</v>
      </c>
      <c r="F17" s="1858">
        <v>8</v>
      </c>
      <c r="M17" s="11"/>
    </row>
    <row r="18" spans="1:21" ht="24" x14ac:dyDescent="0.25">
      <c r="A18" s="1383" t="s">
        <v>646</v>
      </c>
      <c r="B18" s="496"/>
      <c r="C18" s="70" t="s">
        <v>23</v>
      </c>
      <c r="D18" s="1860">
        <v>106110281</v>
      </c>
      <c r="E18" s="1861" t="s">
        <v>2021</v>
      </c>
      <c r="F18" s="1862">
        <v>2</v>
      </c>
      <c r="M18" s="11"/>
    </row>
    <row r="19" spans="1:21" x14ac:dyDescent="0.25">
      <c r="A19" s="1383" t="s">
        <v>593</v>
      </c>
      <c r="B19" s="496"/>
      <c r="C19" s="69" t="s">
        <v>14</v>
      </c>
      <c r="D19" s="1860">
        <v>106200787</v>
      </c>
      <c r="E19" s="1861" t="s">
        <v>235</v>
      </c>
      <c r="F19" s="1862">
        <v>1</v>
      </c>
      <c r="M19" s="11"/>
    </row>
    <row r="20" spans="1:21" x14ac:dyDescent="0.25">
      <c r="B20" s="496"/>
      <c r="C20" s="69" t="s">
        <v>196</v>
      </c>
      <c r="D20" s="1860">
        <v>106201346</v>
      </c>
      <c r="E20" s="1861" t="s">
        <v>2022</v>
      </c>
      <c r="F20" s="1862">
        <v>1</v>
      </c>
      <c r="M20" s="11"/>
    </row>
    <row r="21" spans="1:21" x14ac:dyDescent="0.25">
      <c r="B21" s="496"/>
      <c r="C21" s="69" t="s">
        <v>221</v>
      </c>
      <c r="D21" s="1860">
        <v>106200823</v>
      </c>
      <c r="E21" s="1861" t="s">
        <v>236</v>
      </c>
      <c r="F21" s="1862">
        <v>1</v>
      </c>
      <c r="M21" s="11"/>
    </row>
    <row r="22" spans="1:21" x14ac:dyDescent="0.25">
      <c r="A22" s="1383" t="s">
        <v>592</v>
      </c>
      <c r="B22" s="497"/>
      <c r="C22" s="69" t="s">
        <v>222</v>
      </c>
      <c r="D22" s="1860">
        <v>106112565</v>
      </c>
      <c r="E22" s="1857" t="s">
        <v>237</v>
      </c>
      <c r="F22" s="1858">
        <v>1</v>
      </c>
      <c r="M22" s="11"/>
    </row>
    <row r="23" spans="1:21" ht="15.75" thickBot="1" x14ac:dyDescent="0.3">
      <c r="B23" s="1876">
        <v>4</v>
      </c>
      <c r="C23" s="1877" t="str">
        <f>IF($E$3=$G$33,C33,IF($E$3=$G$34,C34,IF($E$3=$G$35,C35,"elegir equipo")))</f>
        <v>AAS7145</v>
      </c>
      <c r="D23" s="1878">
        <f>IF($E$3=$G$33,D33,IF($E$3=$G$34,D34,IF($E$3=$G$35,D35,"elegir equipo")))</f>
        <v>106200867</v>
      </c>
      <c r="E23" s="1879" t="str">
        <f>IF($E$3=$G$33,E33,IF($E$3=$G$34,E34,IF($E$3=$G$35,E35,"elegir equipo")))</f>
        <v>VARIADOR DE ELECTRÓNICA IS 12,5</v>
      </c>
      <c r="F23" s="1862">
        <v>1</v>
      </c>
      <c r="M23" s="11"/>
    </row>
    <row r="24" spans="1:21" s="99" customFormat="1" ht="15.75" customHeight="1" x14ac:dyDescent="0.25">
      <c r="A24" s="103"/>
      <c r="B24" s="4103" t="s">
        <v>2023</v>
      </c>
      <c r="C24" s="484" t="s">
        <v>341</v>
      </c>
      <c r="D24" s="1074">
        <v>106110170</v>
      </c>
      <c r="E24" s="488" t="s">
        <v>260</v>
      </c>
      <c r="F24" s="118">
        <v>1</v>
      </c>
    </row>
    <row r="25" spans="1:21" s="99" customFormat="1" ht="15.75" customHeight="1" x14ac:dyDescent="0.25">
      <c r="A25" s="373" t="s">
        <v>2024</v>
      </c>
      <c r="B25" s="4104"/>
      <c r="C25" s="485" t="s">
        <v>645</v>
      </c>
      <c r="D25" s="1075">
        <v>106110278</v>
      </c>
      <c r="E25" s="489" t="s">
        <v>262</v>
      </c>
      <c r="F25" s="119">
        <v>1</v>
      </c>
    </row>
    <row r="26" spans="1:21" s="99" customFormat="1" ht="15.75" customHeight="1" thickBot="1" x14ac:dyDescent="0.3">
      <c r="A26" s="373" t="s">
        <v>2025</v>
      </c>
      <c r="B26" s="4105"/>
      <c r="C26" s="486" t="s">
        <v>263</v>
      </c>
      <c r="D26" s="1076">
        <v>106112685</v>
      </c>
      <c r="E26" s="289" t="s">
        <v>445</v>
      </c>
      <c r="F26" s="23">
        <v>1</v>
      </c>
    </row>
    <row r="27" spans="1:21" x14ac:dyDescent="0.25">
      <c r="A27" s="373" t="s">
        <v>2026</v>
      </c>
      <c r="I27" s="175"/>
      <c r="J27" s="175"/>
      <c r="M27" s="438"/>
    </row>
    <row r="28" spans="1:21" ht="15.75" x14ac:dyDescent="0.25">
      <c r="A28" s="373" t="s">
        <v>500</v>
      </c>
      <c r="B28" s="284"/>
      <c r="I28" s="175"/>
      <c r="J28" s="175"/>
      <c r="M28" s="438"/>
    </row>
    <row r="29" spans="1:21" s="71" customFormat="1" x14ac:dyDescent="0.25">
      <c r="B29" s="77"/>
      <c r="C29" s="74"/>
      <c r="D29" s="74"/>
      <c r="E29" s="78"/>
      <c r="F29" s="72"/>
      <c r="G29" s="72"/>
      <c r="H29" s="74"/>
      <c r="I29" s="72"/>
      <c r="J29" s="73"/>
      <c r="L29" s="72"/>
      <c r="M29" s="74"/>
      <c r="N29" s="73"/>
      <c r="O29" s="73"/>
      <c r="P29" s="11"/>
      <c r="Q29" s="75"/>
      <c r="R29" s="11"/>
      <c r="S29" s="11"/>
      <c r="T29" s="11"/>
      <c r="U29" s="11"/>
    </row>
    <row r="30" spans="1:21" ht="15.75" thickBot="1" x14ac:dyDescent="0.3">
      <c r="B30" s="71" t="s">
        <v>2027</v>
      </c>
      <c r="C30" s="71"/>
      <c r="D30" s="71"/>
      <c r="E30" s="71"/>
      <c r="F30" s="84"/>
      <c r="G30" s="84"/>
      <c r="H30" s="84"/>
      <c r="I30" s="72"/>
      <c r="J30" s="71"/>
      <c r="K30" s="71"/>
      <c r="L30" s="84"/>
      <c r="M30" s="84"/>
      <c r="N30" s="71"/>
      <c r="O30" s="71"/>
      <c r="P30" s="75"/>
    </row>
    <row r="31" spans="1:21" ht="15.75" thickBot="1" x14ac:dyDescent="0.3">
      <c r="B31" s="311" t="s">
        <v>11</v>
      </c>
      <c r="C31" s="79"/>
      <c r="D31" s="79"/>
      <c r="E31" s="79"/>
      <c r="F31" s="79"/>
      <c r="G31" s="80"/>
      <c r="H31" s="84"/>
      <c r="I31" s="71"/>
      <c r="J31" s="71"/>
      <c r="M31" s="11"/>
    </row>
    <row r="32" spans="1:21" ht="24.75" thickBot="1" x14ac:dyDescent="0.3">
      <c r="B32" s="313" t="s">
        <v>79</v>
      </c>
      <c r="C32" s="312"/>
      <c r="D32" s="81" t="s">
        <v>9</v>
      </c>
      <c r="E32" s="81" t="s">
        <v>1</v>
      </c>
      <c r="F32" s="126" t="s">
        <v>960</v>
      </c>
      <c r="G32" s="85" t="s">
        <v>8</v>
      </c>
      <c r="M32" s="11"/>
    </row>
    <row r="33" spans="2:13" ht="24.75" thickBot="1" x14ac:dyDescent="0.3">
      <c r="B33" s="1871">
        <v>4</v>
      </c>
      <c r="C33" s="1872" t="s">
        <v>4</v>
      </c>
      <c r="D33" s="1873">
        <v>106200866</v>
      </c>
      <c r="E33" s="1874" t="s">
        <v>2028</v>
      </c>
      <c r="F33" s="1875">
        <v>1</v>
      </c>
      <c r="G33" s="82" t="s">
        <v>2055</v>
      </c>
      <c r="M33" s="11"/>
    </row>
    <row r="34" spans="2:13" ht="24.75" thickBot="1" x14ac:dyDescent="0.3">
      <c r="B34" s="1871">
        <v>4</v>
      </c>
      <c r="C34" s="1872" t="s">
        <v>7</v>
      </c>
      <c r="D34" s="1873">
        <v>106200865</v>
      </c>
      <c r="E34" s="1874" t="s">
        <v>2029</v>
      </c>
      <c r="F34" s="1875">
        <v>1</v>
      </c>
      <c r="G34" s="82" t="s">
        <v>2056</v>
      </c>
      <c r="M34" s="11"/>
    </row>
    <row r="35" spans="2:13" ht="24.75" thickBot="1" x14ac:dyDescent="0.3">
      <c r="B35" s="1871">
        <v>4</v>
      </c>
      <c r="C35" s="1872" t="s">
        <v>10</v>
      </c>
      <c r="D35" s="1873">
        <v>106200867</v>
      </c>
      <c r="E35" s="1874" t="s">
        <v>2030</v>
      </c>
      <c r="F35" s="1875">
        <v>1</v>
      </c>
      <c r="G35" s="83" t="s">
        <v>2057</v>
      </c>
      <c r="M35" s="11"/>
    </row>
    <row r="36" spans="2:13" ht="15" customHeight="1" x14ac:dyDescent="0.25">
      <c r="B36" s="71"/>
      <c r="C36" s="71"/>
      <c r="D36" s="71"/>
      <c r="E36" s="71"/>
      <c r="F36" s="71"/>
      <c r="G36" s="1580"/>
      <c r="H36" s="1580"/>
      <c r="I36" s="87"/>
      <c r="J36" s="71"/>
      <c r="K36" s="71"/>
    </row>
    <row r="37" spans="2:13" ht="15.75" thickBot="1" x14ac:dyDescent="0.3"/>
    <row r="38" spans="2:13" ht="15.75" thickBot="1" x14ac:dyDescent="0.3">
      <c r="B38" s="1602" t="s">
        <v>2031</v>
      </c>
      <c r="C38" s="1579"/>
      <c r="D38" s="1579"/>
      <c r="E38" s="1579"/>
      <c r="F38" s="1603" t="s">
        <v>2203</v>
      </c>
    </row>
    <row r="39" spans="2:13" ht="15.75" thickBot="1" x14ac:dyDescent="0.3">
      <c r="B39" s="4118" t="s">
        <v>79</v>
      </c>
      <c r="C39" s="4119"/>
      <c r="D39" s="858" t="s">
        <v>9</v>
      </c>
      <c r="E39" s="859" t="s">
        <v>1</v>
      </c>
      <c r="F39" s="858" t="s">
        <v>349</v>
      </c>
      <c r="L39" s="75"/>
      <c r="M39" s="11"/>
    </row>
    <row r="40" spans="2:13" x14ac:dyDescent="0.25">
      <c r="B40" s="4113" t="s">
        <v>21</v>
      </c>
      <c r="C40" s="860" t="s">
        <v>21</v>
      </c>
      <c r="D40" s="481">
        <v>106104113</v>
      </c>
      <c r="E40" s="480" t="s">
        <v>883</v>
      </c>
      <c r="F40" s="479">
        <v>1</v>
      </c>
      <c r="L40" s="75"/>
      <c r="M40" s="11"/>
    </row>
    <row r="41" spans="2:13" ht="15.75" thickBot="1" x14ac:dyDescent="0.3">
      <c r="B41" s="4114"/>
      <c r="C41" s="862" t="s">
        <v>22</v>
      </c>
      <c r="D41" s="120">
        <v>106104130</v>
      </c>
      <c r="E41" s="124" t="s">
        <v>2032</v>
      </c>
      <c r="F41" s="88">
        <v>1</v>
      </c>
      <c r="L41" s="75"/>
      <c r="M41" s="11"/>
    </row>
    <row r="42" spans="2:13" x14ac:dyDescent="0.25">
      <c r="B42" s="4113" t="s">
        <v>210</v>
      </c>
      <c r="C42" s="862" t="s">
        <v>210</v>
      </c>
      <c r="D42" s="88">
        <v>106105751</v>
      </c>
      <c r="E42" s="124" t="s">
        <v>224</v>
      </c>
      <c r="F42" s="88">
        <v>1</v>
      </c>
      <c r="L42" s="75"/>
      <c r="M42" s="11"/>
    </row>
    <row r="43" spans="2:13" ht="15.75" thickBot="1" x14ac:dyDescent="0.3">
      <c r="B43" s="4114"/>
      <c r="C43" s="862" t="s">
        <v>211</v>
      </c>
      <c r="D43" s="88">
        <v>106105883</v>
      </c>
      <c r="E43" s="124" t="s">
        <v>225</v>
      </c>
      <c r="F43" s="88">
        <v>1</v>
      </c>
      <c r="L43" s="75"/>
      <c r="M43" s="11"/>
    </row>
    <row r="44" spans="2:13" ht="36" x14ac:dyDescent="0.25">
      <c r="B44" s="4113" t="s">
        <v>16</v>
      </c>
      <c r="C44" s="862" t="s">
        <v>212</v>
      </c>
      <c r="D44" s="88">
        <v>106105887</v>
      </c>
      <c r="E44" s="124" t="s">
        <v>2033</v>
      </c>
      <c r="F44" s="88">
        <v>4</v>
      </c>
      <c r="L44" s="75"/>
      <c r="M44" s="11"/>
    </row>
    <row r="45" spans="2:13" ht="24" x14ac:dyDescent="0.25">
      <c r="B45" s="4120"/>
      <c r="C45" s="862" t="s">
        <v>15</v>
      </c>
      <c r="D45" s="88">
        <v>106105421</v>
      </c>
      <c r="E45" s="124" t="s">
        <v>226</v>
      </c>
      <c r="F45" s="88">
        <v>3</v>
      </c>
      <c r="L45" s="75"/>
      <c r="M45" s="11"/>
    </row>
    <row r="46" spans="2:13" ht="15.75" thickBot="1" x14ac:dyDescent="0.3">
      <c r="B46" s="4114"/>
      <c r="C46" s="862" t="s">
        <v>213</v>
      </c>
      <c r="D46" s="88">
        <v>106104088</v>
      </c>
      <c r="E46" s="124" t="s">
        <v>227</v>
      </c>
      <c r="F46" s="88">
        <v>1</v>
      </c>
      <c r="L46" s="75"/>
      <c r="M46" s="11"/>
    </row>
    <row r="47" spans="2:13" ht="48" x14ac:dyDescent="0.25">
      <c r="B47" s="4113" t="s">
        <v>214</v>
      </c>
      <c r="C47" s="862" t="s">
        <v>215</v>
      </c>
      <c r="D47" s="120">
        <v>106105439</v>
      </c>
      <c r="E47" s="124" t="s">
        <v>228</v>
      </c>
      <c r="F47" s="88">
        <v>6</v>
      </c>
      <c r="L47" s="75"/>
      <c r="M47" s="11"/>
    </row>
    <row r="48" spans="2:13" ht="24" x14ac:dyDescent="0.25">
      <c r="B48" s="4120"/>
      <c r="C48" s="862" t="s">
        <v>20</v>
      </c>
      <c r="D48" s="120">
        <v>106105901</v>
      </c>
      <c r="E48" s="124" t="s">
        <v>3909</v>
      </c>
      <c r="F48" s="88">
        <v>3</v>
      </c>
      <c r="L48" s="75"/>
      <c r="M48" s="11"/>
    </row>
    <row r="49" spans="2:13" ht="24.75" thickBot="1" x14ac:dyDescent="0.3">
      <c r="B49" s="4114"/>
      <c r="C49" s="862" t="s">
        <v>216</v>
      </c>
      <c r="D49" s="120">
        <v>106105902</v>
      </c>
      <c r="E49" s="124" t="s">
        <v>230</v>
      </c>
      <c r="F49" s="88">
        <v>3</v>
      </c>
      <c r="L49" s="75"/>
      <c r="M49" s="11"/>
    </row>
    <row r="50" spans="2:13" ht="15" customHeight="1" x14ac:dyDescent="0.25">
      <c r="B50" s="4113" t="s">
        <v>217</v>
      </c>
      <c r="C50" s="862" t="s">
        <v>217</v>
      </c>
      <c r="D50" s="88">
        <v>106105140</v>
      </c>
      <c r="E50" s="124" t="s">
        <v>231</v>
      </c>
      <c r="F50" s="88">
        <v>8</v>
      </c>
      <c r="L50" s="75"/>
      <c r="M50" s="11"/>
    </row>
    <row r="51" spans="2:13" ht="24.75" thickBot="1" x14ac:dyDescent="0.3">
      <c r="B51" s="4114"/>
      <c r="C51" s="862" t="s">
        <v>218</v>
      </c>
      <c r="D51" s="88">
        <v>106105150</v>
      </c>
      <c r="E51" s="124" t="s">
        <v>232</v>
      </c>
      <c r="F51" s="88">
        <v>8</v>
      </c>
      <c r="L51" s="75"/>
      <c r="M51" s="11"/>
    </row>
    <row r="52" spans="2:13" ht="15" customHeight="1" x14ac:dyDescent="0.25">
      <c r="B52" s="4113" t="s">
        <v>219</v>
      </c>
      <c r="C52" s="862" t="s">
        <v>219</v>
      </c>
      <c r="D52" s="88">
        <v>106105141</v>
      </c>
      <c r="E52" s="124" t="s">
        <v>233</v>
      </c>
      <c r="F52" s="88">
        <v>8</v>
      </c>
      <c r="L52" s="75"/>
      <c r="M52" s="11"/>
    </row>
    <row r="53" spans="2:13" ht="15.75" thickBot="1" x14ac:dyDescent="0.3">
      <c r="B53" s="4114"/>
      <c r="C53" s="862" t="s">
        <v>220</v>
      </c>
      <c r="D53" s="88">
        <v>106105151</v>
      </c>
      <c r="E53" s="124" t="s">
        <v>234</v>
      </c>
      <c r="F53" s="88">
        <v>8</v>
      </c>
      <c r="L53" s="75"/>
      <c r="M53" s="11"/>
    </row>
    <row r="54" spans="2:13" ht="24" x14ac:dyDescent="0.25">
      <c r="B54" s="4115"/>
      <c r="C54" s="862" t="s">
        <v>23</v>
      </c>
      <c r="D54" s="88">
        <v>106110281</v>
      </c>
      <c r="E54" s="124" t="s">
        <v>2021</v>
      </c>
      <c r="F54" s="88">
        <v>2</v>
      </c>
      <c r="L54" s="75"/>
      <c r="M54" s="11"/>
    </row>
    <row r="55" spans="2:13" x14ac:dyDescent="0.25">
      <c r="B55" s="4116"/>
      <c r="C55" s="862" t="s">
        <v>14</v>
      </c>
      <c r="D55" s="88">
        <v>106200787</v>
      </c>
      <c r="E55" s="124" t="s">
        <v>235</v>
      </c>
      <c r="F55" s="88">
        <v>1</v>
      </c>
      <c r="L55" s="75"/>
      <c r="M55" s="11"/>
    </row>
    <row r="56" spans="2:13" x14ac:dyDescent="0.25">
      <c r="B56" s="4116"/>
      <c r="C56" s="862" t="s">
        <v>196</v>
      </c>
      <c r="D56" s="88">
        <v>106201346</v>
      </c>
      <c r="E56" s="124" t="s">
        <v>2022</v>
      </c>
      <c r="F56" s="88">
        <v>1</v>
      </c>
      <c r="L56" s="75"/>
      <c r="M56" s="11"/>
    </row>
    <row r="57" spans="2:13" x14ac:dyDescent="0.25">
      <c r="B57" s="4116"/>
      <c r="C57" s="862" t="s">
        <v>221</v>
      </c>
      <c r="D57" s="88">
        <v>106200823</v>
      </c>
      <c r="E57" s="124" t="s">
        <v>236</v>
      </c>
      <c r="F57" s="88">
        <v>1</v>
      </c>
      <c r="L57" s="75"/>
      <c r="M57" s="11"/>
    </row>
    <row r="58" spans="2:13" ht="24" x14ac:dyDescent="0.25">
      <c r="B58" s="4116"/>
      <c r="C58" s="862" t="s">
        <v>884</v>
      </c>
      <c r="D58" s="88">
        <v>106110284</v>
      </c>
      <c r="E58" s="124" t="s">
        <v>885</v>
      </c>
      <c r="F58" s="88">
        <v>3</v>
      </c>
      <c r="L58" s="75"/>
      <c r="M58" s="11"/>
    </row>
    <row r="59" spans="2:13" x14ac:dyDescent="0.25">
      <c r="B59" s="4116"/>
      <c r="C59" s="862" t="s">
        <v>7</v>
      </c>
      <c r="D59" s="88">
        <v>106200865</v>
      </c>
      <c r="E59" s="124" t="s">
        <v>2034</v>
      </c>
      <c r="F59" s="88">
        <v>1</v>
      </c>
      <c r="L59" s="75"/>
      <c r="M59" s="11"/>
    </row>
    <row r="60" spans="2:13" ht="15.75" thickBot="1" x14ac:dyDescent="0.3">
      <c r="B60" s="4117"/>
      <c r="C60" s="861" t="s">
        <v>222</v>
      </c>
      <c r="D60" s="90">
        <v>106112565</v>
      </c>
      <c r="E60" s="89" t="s">
        <v>237</v>
      </c>
      <c r="F60" s="90">
        <v>1</v>
      </c>
      <c r="L60" s="75"/>
      <c r="M60" s="11"/>
    </row>
    <row r="61" spans="2:13" ht="15.75" thickBot="1" x14ac:dyDescent="0.3"/>
    <row r="62" spans="2:13" ht="15.75" thickBot="1" x14ac:dyDescent="0.3">
      <c r="D62" s="2114" t="s">
        <v>2341</v>
      </c>
      <c r="E62" s="1788"/>
      <c r="F62" s="1603" t="s">
        <v>2203</v>
      </c>
      <c r="G62" s="99"/>
      <c r="H62" s="99"/>
    </row>
    <row r="63" spans="2:13" ht="24" thickBot="1" x14ac:dyDescent="0.3">
      <c r="D63" s="871" t="s">
        <v>2035</v>
      </c>
      <c r="E63" s="872" t="s">
        <v>1</v>
      </c>
      <c r="F63" s="872" t="s">
        <v>2036</v>
      </c>
    </row>
    <row r="64" spans="2:13" ht="15.75" thickBot="1" x14ac:dyDescent="0.3">
      <c r="D64" s="873" t="s">
        <v>888</v>
      </c>
      <c r="E64" s="847" t="s">
        <v>2037</v>
      </c>
      <c r="F64" s="847">
        <v>1</v>
      </c>
    </row>
    <row r="65" spans="4:6" ht="15.75" thickBot="1" x14ac:dyDescent="0.3">
      <c r="D65" s="873" t="s">
        <v>889</v>
      </c>
      <c r="E65" s="874" t="s">
        <v>2038</v>
      </c>
      <c r="F65" s="847">
        <v>1</v>
      </c>
    </row>
    <row r="66" spans="4:6" ht="15.75" thickBot="1" x14ac:dyDescent="0.3">
      <c r="D66" s="875" t="s">
        <v>15</v>
      </c>
      <c r="E66" s="874" t="s">
        <v>2039</v>
      </c>
      <c r="F66" s="847">
        <v>3</v>
      </c>
    </row>
    <row r="67" spans="4:6" ht="15.75" thickBot="1" x14ac:dyDescent="0.3">
      <c r="D67" s="875" t="s">
        <v>16</v>
      </c>
      <c r="E67" s="874" t="s">
        <v>2040</v>
      </c>
      <c r="F67" s="847">
        <v>3</v>
      </c>
    </row>
    <row r="68" spans="4:6" ht="15.75" thickBot="1" x14ac:dyDescent="0.3">
      <c r="D68" s="873" t="s">
        <v>17</v>
      </c>
      <c r="E68" s="847" t="s">
        <v>18</v>
      </c>
      <c r="F68" s="847">
        <v>1</v>
      </c>
    </row>
    <row r="69" spans="4:6" ht="29.25" thickBot="1" x14ac:dyDescent="0.3">
      <c r="D69" s="873" t="s">
        <v>19</v>
      </c>
      <c r="E69" s="847" t="s">
        <v>2041</v>
      </c>
      <c r="F69" s="847">
        <v>9</v>
      </c>
    </row>
    <row r="70" spans="4:6" ht="15.75" thickBot="1" x14ac:dyDescent="0.3">
      <c r="D70" s="873" t="s">
        <v>20</v>
      </c>
      <c r="E70" s="847" t="s">
        <v>2042</v>
      </c>
      <c r="F70" s="847">
        <v>3</v>
      </c>
    </row>
    <row r="71" spans="4:6" ht="20.25" thickBot="1" x14ac:dyDescent="0.3">
      <c r="D71" s="873" t="s">
        <v>886</v>
      </c>
      <c r="E71" s="847" t="s">
        <v>2043</v>
      </c>
      <c r="F71" s="847">
        <v>6</v>
      </c>
    </row>
    <row r="72" spans="4:6" ht="15.75" thickBot="1" x14ac:dyDescent="0.3">
      <c r="D72" s="873" t="s">
        <v>21</v>
      </c>
      <c r="E72" s="847" t="s">
        <v>2044</v>
      </c>
      <c r="F72" s="847">
        <v>1</v>
      </c>
    </row>
    <row r="73" spans="4:6" ht="15.75" thickBot="1" x14ac:dyDescent="0.3">
      <c r="D73" s="873" t="s">
        <v>887</v>
      </c>
      <c r="E73" s="847" t="s">
        <v>2045</v>
      </c>
      <c r="F73" s="847">
        <v>1</v>
      </c>
    </row>
    <row r="74" spans="4:6" ht="15.75" thickBot="1" x14ac:dyDescent="0.3">
      <c r="D74" s="873" t="s">
        <v>23</v>
      </c>
      <c r="E74" s="847" t="s">
        <v>2046</v>
      </c>
      <c r="F74" s="847">
        <v>2</v>
      </c>
    </row>
    <row r="75" spans="4:6" ht="15.75" thickBot="1" x14ac:dyDescent="0.3">
      <c r="D75" s="873" t="s">
        <v>24</v>
      </c>
      <c r="E75" s="847" t="s">
        <v>2047</v>
      </c>
      <c r="F75" s="847">
        <v>1</v>
      </c>
    </row>
    <row r="76" spans="4:6" ht="15.75" thickBot="1" x14ac:dyDescent="0.3">
      <c r="D76" s="873" t="s">
        <v>25</v>
      </c>
      <c r="E76" s="847" t="s">
        <v>2048</v>
      </c>
      <c r="F76" s="847">
        <v>1</v>
      </c>
    </row>
    <row r="77" spans="4:6" ht="15.75" thickBot="1" x14ac:dyDescent="0.3">
      <c r="D77" s="873" t="s">
        <v>26</v>
      </c>
      <c r="E77" s="847" t="s">
        <v>2049</v>
      </c>
      <c r="F77" s="847">
        <v>3</v>
      </c>
    </row>
    <row r="78" spans="4:6" ht="15.75" thickBot="1" x14ac:dyDescent="0.3">
      <c r="D78" s="873" t="s">
        <v>27</v>
      </c>
      <c r="E78" s="847" t="s">
        <v>2050</v>
      </c>
      <c r="F78" s="847">
        <v>1</v>
      </c>
    </row>
    <row r="79" spans="4:6" ht="15.75" thickBot="1" x14ac:dyDescent="0.3">
      <c r="D79" s="873" t="s">
        <v>3</v>
      </c>
      <c r="E79" s="874" t="s">
        <v>2051</v>
      </c>
      <c r="F79" s="847">
        <v>1</v>
      </c>
    </row>
    <row r="80" spans="4:6" ht="15.75" thickBot="1" x14ac:dyDescent="0.3">
      <c r="D80" s="873" t="s">
        <v>221</v>
      </c>
      <c r="E80" s="847" t="s">
        <v>2052</v>
      </c>
      <c r="F80" s="847">
        <v>1</v>
      </c>
    </row>
    <row r="81" spans="4:6" ht="15.75" thickBot="1" x14ac:dyDescent="0.3">
      <c r="D81" s="873" t="s">
        <v>2</v>
      </c>
      <c r="E81" s="847" t="s">
        <v>2053</v>
      </c>
      <c r="F81" s="847">
        <v>1</v>
      </c>
    </row>
    <row r="82" spans="4:6" ht="15.75" thickBot="1" x14ac:dyDescent="0.3">
      <c r="D82" s="873" t="s">
        <v>29</v>
      </c>
      <c r="E82" s="847" t="s">
        <v>2054</v>
      </c>
      <c r="F82" s="847">
        <v>1</v>
      </c>
    </row>
  </sheetData>
  <mergeCells count="16">
    <mergeCell ref="B50:B51"/>
    <mergeCell ref="B52:B53"/>
    <mergeCell ref="B54:B60"/>
    <mergeCell ref="B39:C39"/>
    <mergeCell ref="B40:B41"/>
    <mergeCell ref="B42:B43"/>
    <mergeCell ref="B44:B46"/>
    <mergeCell ref="B47:B49"/>
    <mergeCell ref="B24:B26"/>
    <mergeCell ref="B11:B13"/>
    <mergeCell ref="B14:B15"/>
    <mergeCell ref="B16:B17"/>
    <mergeCell ref="B3:D3"/>
    <mergeCell ref="B4:C4"/>
    <mergeCell ref="B6:B7"/>
    <mergeCell ref="B8:B10"/>
  </mergeCells>
  <dataValidations count="1">
    <dataValidation type="list" allowBlank="1" showInputMessage="1" showErrorMessage="1" sqref="E3">
      <formula1>$G$33:$G$35</formula1>
    </dataValidation>
  </dataValidations>
  <pageMargins left="0.7" right="0.7" top="0.75" bottom="0.75" header="0.3" footer="0.3"/>
  <pageSetup paperSize="8" orientation="portrait" horizontalDpi="96" verticalDpi="96" r:id="rId1"/>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40"/>
  <sheetViews>
    <sheetView zoomScale="80" zoomScaleNormal="80" workbookViewId="0">
      <selection activeCell="C17" sqref="C17"/>
    </sheetView>
  </sheetViews>
  <sheetFormatPr baseColWidth="10" defaultRowHeight="15" x14ac:dyDescent="0.25"/>
  <cols>
    <col min="2" max="2" width="35.28515625" customWidth="1"/>
    <col min="3" max="3" width="14.85546875" bestFit="1" customWidth="1"/>
    <col min="4" max="4" width="55.140625" bestFit="1" customWidth="1"/>
    <col min="6" max="6" width="21" bestFit="1" customWidth="1"/>
    <col min="7" max="7" width="13.85546875" customWidth="1"/>
    <col min="8" max="8" width="5.140625" style="2099" bestFit="1" customWidth="1"/>
    <col min="9" max="9" width="4.5703125" style="2113" bestFit="1" customWidth="1"/>
    <col min="10" max="10" width="10" style="2115" customWidth="1"/>
    <col min="11" max="11" width="24.28515625" style="2120" customWidth="1"/>
  </cols>
  <sheetData>
    <row r="1" spans="1:11" ht="18.75" thickBot="1" x14ac:dyDescent="0.3">
      <c r="A1" s="1544"/>
      <c r="B1" s="1544"/>
      <c r="C1" s="4522" t="s">
        <v>659</v>
      </c>
      <c r="D1" s="4523"/>
      <c r="E1" s="2038">
        <v>4</v>
      </c>
      <c r="F1" s="2039" t="s">
        <v>543</v>
      </c>
    </row>
    <row r="2" spans="1:11" ht="30.75" customHeight="1" thickBot="1" x14ac:dyDescent="0.3">
      <c r="A2" s="4524" t="s">
        <v>526</v>
      </c>
      <c r="B2" s="4525"/>
      <c r="C2" s="2040" t="s">
        <v>935</v>
      </c>
      <c r="D2" s="2040" t="s">
        <v>525</v>
      </c>
      <c r="E2" s="262" t="s">
        <v>959</v>
      </c>
      <c r="F2" s="262" t="s">
        <v>2193</v>
      </c>
      <c r="G2" s="2037" t="s">
        <v>2192</v>
      </c>
      <c r="H2" s="2099" t="s">
        <v>2308</v>
      </c>
      <c r="I2" s="2113" t="s">
        <v>2339</v>
      </c>
      <c r="J2" s="2115" t="s">
        <v>2342</v>
      </c>
      <c r="K2" s="262" t="s">
        <v>2340</v>
      </c>
    </row>
    <row r="3" spans="1:11" x14ac:dyDescent="0.25">
      <c r="A3" s="4255" t="s">
        <v>82</v>
      </c>
      <c r="B3" s="2041" t="s">
        <v>83</v>
      </c>
      <c r="C3" s="1808">
        <v>106104947</v>
      </c>
      <c r="D3" s="2042" t="s">
        <v>84</v>
      </c>
      <c r="E3" s="2043">
        <v>6</v>
      </c>
      <c r="F3" s="2151">
        <v>0.05</v>
      </c>
      <c r="G3" s="2128"/>
      <c r="H3" s="2164"/>
      <c r="I3" s="2164"/>
      <c r="J3" s="4521" t="s">
        <v>2343</v>
      </c>
      <c r="K3" s="2165">
        <v>0.02</v>
      </c>
    </row>
    <row r="4" spans="1:11" x14ac:dyDescent="0.25">
      <c r="A4" s="4256"/>
      <c r="B4" s="2044" t="s">
        <v>91</v>
      </c>
      <c r="C4" s="1696">
        <v>106202886</v>
      </c>
      <c r="D4" s="2045" t="s">
        <v>664</v>
      </c>
      <c r="E4" s="2046">
        <v>4</v>
      </c>
      <c r="F4" s="2152">
        <v>3.2500000000000001E-2</v>
      </c>
      <c r="G4" s="2128">
        <v>0.02</v>
      </c>
      <c r="H4" s="2164"/>
      <c r="I4" s="2164"/>
      <c r="J4" s="4521"/>
      <c r="K4" s="2165">
        <v>1E-3</v>
      </c>
    </row>
    <row r="5" spans="1:11" x14ac:dyDescent="0.25">
      <c r="A5" s="4256"/>
      <c r="B5" s="2044" t="s">
        <v>93</v>
      </c>
      <c r="C5" s="1696">
        <v>106202884</v>
      </c>
      <c r="D5" s="2045" t="s">
        <v>665</v>
      </c>
      <c r="E5" s="2046">
        <v>4</v>
      </c>
      <c r="F5" s="2152">
        <v>3.2500000000000001E-2</v>
      </c>
      <c r="G5" s="2128"/>
      <c r="H5" s="2164"/>
      <c r="I5" s="2164"/>
      <c r="J5" s="4521"/>
      <c r="K5" s="2165">
        <v>1E-3</v>
      </c>
    </row>
    <row r="6" spans="1:11" x14ac:dyDescent="0.25">
      <c r="A6" s="4256"/>
      <c r="B6" s="1823" t="s">
        <v>127</v>
      </c>
      <c r="C6" s="1811">
        <v>106114372</v>
      </c>
      <c r="D6" s="2047" t="s">
        <v>666</v>
      </c>
      <c r="E6" s="2025">
        <v>1</v>
      </c>
      <c r="F6" s="2152">
        <v>0.04</v>
      </c>
      <c r="G6" s="2128"/>
      <c r="H6" s="2164"/>
      <c r="I6" s="2164"/>
      <c r="J6" s="4521"/>
      <c r="K6" s="2165">
        <v>1E-3</v>
      </c>
    </row>
    <row r="7" spans="1:11" ht="15.75" thickBot="1" x14ac:dyDescent="0.3">
      <c r="A7" s="4256"/>
      <c r="B7" s="2048" t="s">
        <v>95</v>
      </c>
      <c r="C7" s="1811">
        <v>106202883</v>
      </c>
      <c r="D7" s="2049" t="s">
        <v>667</v>
      </c>
      <c r="E7" s="2050">
        <v>4</v>
      </c>
      <c r="F7" s="2152">
        <v>3.2500000000000001E-2</v>
      </c>
      <c r="G7" s="2128"/>
      <c r="H7" s="2164"/>
      <c r="I7" s="2164"/>
      <c r="J7" s="4521"/>
      <c r="K7" s="2165">
        <v>1E-3</v>
      </c>
    </row>
    <row r="8" spans="1:11" x14ac:dyDescent="0.25">
      <c r="A8" s="4256"/>
      <c r="B8" s="2051" t="s">
        <v>97</v>
      </c>
      <c r="C8" s="160">
        <v>106113580</v>
      </c>
      <c r="D8" s="2052" t="s">
        <v>1479</v>
      </c>
      <c r="E8" s="2053">
        <v>4</v>
      </c>
      <c r="F8" s="2153">
        <v>5.0000000000000001E-3</v>
      </c>
      <c r="G8" s="2128">
        <v>0.12</v>
      </c>
      <c r="H8" s="2164" t="s">
        <v>2309</v>
      </c>
      <c r="I8" s="2164" t="s">
        <v>2309</v>
      </c>
      <c r="J8" s="4521"/>
      <c r="K8" s="2165">
        <v>5.0000000000000001E-3</v>
      </c>
    </row>
    <row r="9" spans="1:11" x14ac:dyDescent="0.25">
      <c r="A9" s="4256"/>
      <c r="B9" s="2044" t="s">
        <v>106</v>
      </c>
      <c r="C9" s="1696">
        <v>106200539</v>
      </c>
      <c r="D9" s="2054" t="s">
        <v>107</v>
      </c>
      <c r="E9" s="2055">
        <v>4</v>
      </c>
      <c r="F9" s="2152">
        <v>3.2500000000000001E-2</v>
      </c>
      <c r="G9" s="2128"/>
      <c r="H9" s="2164"/>
      <c r="I9" s="2164"/>
      <c r="J9" s="4521"/>
      <c r="K9" s="2165">
        <v>5.0000000000000001E-3</v>
      </c>
    </row>
    <row r="10" spans="1:11" x14ac:dyDescent="0.25">
      <c r="A10" s="4256"/>
      <c r="B10" s="2044" t="s">
        <v>1309</v>
      </c>
      <c r="C10" s="1696">
        <v>106114079</v>
      </c>
      <c r="D10" s="2054" t="s">
        <v>1232</v>
      </c>
      <c r="E10" s="2055">
        <v>4</v>
      </c>
      <c r="F10" s="2152">
        <v>7.4999999999999997E-3</v>
      </c>
      <c r="G10" s="2128">
        <v>0.61</v>
      </c>
      <c r="H10" s="2164" t="s">
        <v>2309</v>
      </c>
      <c r="I10" s="2164" t="s">
        <v>1104</v>
      </c>
      <c r="J10" s="4521"/>
      <c r="K10" s="2165">
        <v>0.01</v>
      </c>
    </row>
    <row r="11" spans="1:11" x14ac:dyDescent="0.25">
      <c r="A11" s="4256"/>
      <c r="B11" s="1546" t="s">
        <v>1055</v>
      </c>
      <c r="C11" s="2056">
        <v>106204289</v>
      </c>
      <c r="D11" s="2057" t="s">
        <v>1056</v>
      </c>
      <c r="E11" s="2055">
        <v>4</v>
      </c>
      <c r="F11" s="2152">
        <v>7.4999999999999997E-3</v>
      </c>
      <c r="G11" s="2128">
        <v>0.02</v>
      </c>
      <c r="H11" s="2164"/>
      <c r="I11" s="2164" t="s">
        <v>1104</v>
      </c>
      <c r="J11" s="4521"/>
      <c r="K11" s="2165">
        <v>1E-3</v>
      </c>
    </row>
    <row r="12" spans="1:11" x14ac:dyDescent="0.25">
      <c r="A12" s="4256"/>
      <c r="B12" s="1661" t="s">
        <v>208</v>
      </c>
      <c r="C12" s="1696">
        <v>106105422</v>
      </c>
      <c r="D12" s="2058" t="s">
        <v>209</v>
      </c>
      <c r="E12" s="1840">
        <v>12</v>
      </c>
      <c r="F12" s="2154">
        <v>1.2500000000000001E-2</v>
      </c>
      <c r="G12" s="2128"/>
      <c r="H12" s="2164" t="s">
        <v>2309</v>
      </c>
      <c r="I12" s="2164"/>
      <c r="J12" s="4521"/>
      <c r="K12" s="2165">
        <v>1.2500000000000001E-2</v>
      </c>
    </row>
    <row r="13" spans="1:11" x14ac:dyDescent="0.25">
      <c r="A13" s="4256"/>
      <c r="B13" s="1661" t="s">
        <v>134</v>
      </c>
      <c r="C13" s="1779">
        <v>106104397</v>
      </c>
      <c r="D13" s="2058" t="s">
        <v>135</v>
      </c>
      <c r="E13" s="1840">
        <v>4</v>
      </c>
      <c r="F13" s="2152">
        <v>6.25E-2</v>
      </c>
      <c r="G13" s="2128"/>
      <c r="H13" s="2164" t="s">
        <v>2309</v>
      </c>
      <c r="I13" s="2164"/>
      <c r="J13" s="2164"/>
      <c r="K13" s="2165">
        <v>6.25E-2</v>
      </c>
    </row>
    <row r="14" spans="1:11" x14ac:dyDescent="0.25">
      <c r="A14" s="4256"/>
      <c r="B14" s="2059" t="s">
        <v>1069</v>
      </c>
      <c r="C14" s="2060">
        <v>106116005</v>
      </c>
      <c r="D14" s="2061" t="s">
        <v>1071</v>
      </c>
      <c r="E14" s="2025">
        <v>8</v>
      </c>
      <c r="F14" s="2152">
        <v>1.2500000000000001E-2</v>
      </c>
      <c r="G14" s="2128"/>
      <c r="H14" s="2164" t="s">
        <v>2309</v>
      </c>
      <c r="I14" s="2164"/>
      <c r="J14" s="2164"/>
      <c r="K14" s="2165">
        <v>1.2500000000000001E-2</v>
      </c>
    </row>
    <row r="15" spans="1:11" ht="15.75" thickBot="1" x14ac:dyDescent="0.3">
      <c r="A15" s="4257"/>
      <c r="B15" s="2062" t="s">
        <v>1070</v>
      </c>
      <c r="C15" s="1782">
        <v>106112520</v>
      </c>
      <c r="D15" s="2063" t="s">
        <v>1072</v>
      </c>
      <c r="E15" s="2027">
        <v>8</v>
      </c>
      <c r="F15" s="2155">
        <v>1.2500000000000001E-2</v>
      </c>
      <c r="G15" s="2128"/>
      <c r="H15" s="2164" t="s">
        <v>2309</v>
      </c>
      <c r="I15" s="2164"/>
      <c r="J15" s="2164"/>
      <c r="K15" s="2165">
        <v>1.2500000000000001E-2</v>
      </c>
    </row>
    <row r="16" spans="1:11" x14ac:dyDescent="0.25">
      <c r="A16" s="4254" t="s">
        <v>113</v>
      </c>
      <c r="B16" s="2064" t="s">
        <v>114</v>
      </c>
      <c r="C16" s="545">
        <v>106104180</v>
      </c>
      <c r="D16" s="2065" t="s">
        <v>157</v>
      </c>
      <c r="E16" s="2066">
        <v>4</v>
      </c>
      <c r="F16" s="2156">
        <v>5.0000000000000001E-3</v>
      </c>
      <c r="G16" s="2128"/>
      <c r="H16" s="2164"/>
      <c r="I16" s="2164"/>
      <c r="J16" s="2164"/>
      <c r="K16" s="2165">
        <v>5.0000000000000001E-3</v>
      </c>
    </row>
    <row r="17" spans="1:11" x14ac:dyDescent="0.25">
      <c r="A17" s="4254"/>
      <c r="B17" s="2067" t="s">
        <v>117</v>
      </c>
      <c r="C17" s="1814">
        <v>106104133</v>
      </c>
      <c r="D17" s="2068" t="s">
        <v>158</v>
      </c>
      <c r="E17" s="2055">
        <v>16</v>
      </c>
      <c r="F17" s="2152">
        <v>5.0000000000000001E-3</v>
      </c>
      <c r="G17" s="2128"/>
      <c r="H17" s="2164"/>
      <c r="I17" s="2164"/>
      <c r="J17" s="2164"/>
      <c r="K17" s="2165">
        <v>1E-3</v>
      </c>
    </row>
    <row r="18" spans="1:11" x14ac:dyDescent="0.25">
      <c r="A18" s="4254"/>
      <c r="B18" s="2067" t="s">
        <v>189</v>
      </c>
      <c r="C18" s="1814">
        <v>106106241</v>
      </c>
      <c r="D18" s="2068" t="s">
        <v>190</v>
      </c>
      <c r="E18" s="2069">
        <v>8</v>
      </c>
      <c r="F18" s="2152">
        <v>2.5000000000000001E-3</v>
      </c>
      <c r="G18" s="2128"/>
      <c r="H18" s="2164"/>
      <c r="I18" s="2164"/>
      <c r="J18" s="2164"/>
      <c r="K18" s="2165">
        <v>1E-3</v>
      </c>
    </row>
    <row r="19" spans="1:11" x14ac:dyDescent="0.25">
      <c r="A19" s="4254"/>
      <c r="B19" s="2067" t="s">
        <v>178</v>
      </c>
      <c r="C19" s="1814">
        <v>106104209</v>
      </c>
      <c r="D19" s="2068" t="s">
        <v>191</v>
      </c>
      <c r="E19" s="2055">
        <v>4</v>
      </c>
      <c r="F19" s="2152">
        <v>2.5000000000000001E-3</v>
      </c>
      <c r="G19" s="2128"/>
      <c r="H19" s="2164"/>
      <c r="I19" s="2164"/>
      <c r="J19" s="2164"/>
      <c r="K19" s="2165">
        <v>1E-3</v>
      </c>
    </row>
    <row r="20" spans="1:11" x14ac:dyDescent="0.25">
      <c r="A20" s="4254"/>
      <c r="B20" s="2067" t="s">
        <v>192</v>
      </c>
      <c r="C20" s="1814">
        <v>106104212</v>
      </c>
      <c r="D20" s="2068" t="s">
        <v>193</v>
      </c>
      <c r="E20" s="2055">
        <v>4</v>
      </c>
      <c r="F20" s="2152">
        <v>2.5000000000000001E-3</v>
      </c>
      <c r="G20" s="2128"/>
      <c r="H20" s="2164"/>
      <c r="I20" s="2164" t="s">
        <v>2309</v>
      </c>
      <c r="J20" s="2164"/>
      <c r="K20" s="2165">
        <v>5.0000000000000001E-3</v>
      </c>
    </row>
    <row r="21" spans="1:11" x14ac:dyDescent="0.25">
      <c r="A21" s="4254"/>
      <c r="B21" s="2070" t="s">
        <v>119</v>
      </c>
      <c r="C21" s="1814">
        <v>106112169</v>
      </c>
      <c r="D21" s="2071" t="s">
        <v>120</v>
      </c>
      <c r="E21" s="2069">
        <v>8</v>
      </c>
      <c r="F21" s="2152">
        <v>1.2500000000000001E-2</v>
      </c>
      <c r="G21" s="2128"/>
      <c r="H21" s="2164" t="s">
        <v>2309</v>
      </c>
      <c r="I21" s="2164"/>
      <c r="J21" s="2164"/>
      <c r="K21" s="2165">
        <v>1.2500000000000001E-2</v>
      </c>
    </row>
    <row r="22" spans="1:11" ht="15.75" thickBot="1" x14ac:dyDescent="0.3">
      <c r="A22" s="4254"/>
      <c r="B22" s="2072" t="s">
        <v>122</v>
      </c>
      <c r="C22" s="2031">
        <v>106114701</v>
      </c>
      <c r="D22" s="2073" t="s">
        <v>123</v>
      </c>
      <c r="E22" s="2074">
        <v>4</v>
      </c>
      <c r="F22" s="2155">
        <v>6.25E-2</v>
      </c>
      <c r="G22" s="2128"/>
      <c r="H22" s="2164" t="s">
        <v>2309</v>
      </c>
      <c r="I22" s="2164"/>
      <c r="J22" s="2164"/>
      <c r="K22" s="2165">
        <v>6.25E-2</v>
      </c>
    </row>
    <row r="23" spans="1:11" x14ac:dyDescent="0.25">
      <c r="A23" s="4255" t="s">
        <v>137</v>
      </c>
      <c r="B23" s="2075" t="s">
        <v>138</v>
      </c>
      <c r="C23" s="377">
        <v>106202973</v>
      </c>
      <c r="D23" s="2076" t="s">
        <v>142</v>
      </c>
      <c r="E23" s="2077">
        <v>1</v>
      </c>
      <c r="F23" s="2156">
        <v>0.02</v>
      </c>
      <c r="G23" s="2128"/>
      <c r="H23" s="2164"/>
      <c r="I23" s="2164"/>
      <c r="J23" s="2164"/>
      <c r="K23" s="2165">
        <v>1E-3</v>
      </c>
    </row>
    <row r="24" spans="1:11" x14ac:dyDescent="0.25">
      <c r="A24" s="4256"/>
      <c r="B24" s="2044" t="s">
        <v>144</v>
      </c>
      <c r="C24" s="1696">
        <v>106105850</v>
      </c>
      <c r="D24" s="2045" t="s">
        <v>145</v>
      </c>
      <c r="E24" s="2078">
        <v>6</v>
      </c>
      <c r="F24" s="2157">
        <v>2.5000000000000001E-2</v>
      </c>
      <c r="G24" s="2128"/>
      <c r="H24" s="2164" t="s">
        <v>2309</v>
      </c>
      <c r="I24" s="2164" t="s">
        <v>1104</v>
      </c>
      <c r="J24" s="2164"/>
      <c r="K24" s="2165">
        <v>0.2</v>
      </c>
    </row>
    <row r="25" spans="1:11" x14ac:dyDescent="0.25">
      <c r="A25" s="4256"/>
      <c r="B25" s="1661" t="s">
        <v>196</v>
      </c>
      <c r="C25" s="1696">
        <v>106201346</v>
      </c>
      <c r="D25" s="2079" t="s">
        <v>197</v>
      </c>
      <c r="E25" s="2025">
        <v>1</v>
      </c>
      <c r="F25" s="2158">
        <v>7.0000000000000007E-2</v>
      </c>
      <c r="G25" s="2128">
        <v>0.08</v>
      </c>
      <c r="H25" s="2164"/>
      <c r="I25" s="2164"/>
      <c r="J25" s="2164"/>
      <c r="K25" s="2165">
        <v>1.2500000000000001E-2</v>
      </c>
    </row>
    <row r="26" spans="1:11" x14ac:dyDescent="0.25">
      <c r="A26" s="4256"/>
      <c r="B26" s="1661" t="s">
        <v>198</v>
      </c>
      <c r="C26" s="1696">
        <v>106110895</v>
      </c>
      <c r="D26" s="2045" t="s">
        <v>199</v>
      </c>
      <c r="E26" s="2025">
        <v>1</v>
      </c>
      <c r="F26" s="2154">
        <v>6.25E-2</v>
      </c>
      <c r="G26" s="2128"/>
      <c r="H26" s="2164"/>
      <c r="I26" s="2164"/>
      <c r="J26" s="2164"/>
      <c r="K26" s="2165">
        <v>5.0000000000000001E-3</v>
      </c>
    </row>
    <row r="27" spans="1:11" x14ac:dyDescent="0.25">
      <c r="A27" s="4256"/>
      <c r="B27" s="1661" t="s">
        <v>200</v>
      </c>
      <c r="C27" s="1696">
        <v>106110896</v>
      </c>
      <c r="D27" s="2045" t="s">
        <v>201</v>
      </c>
      <c r="E27" s="2025">
        <v>1</v>
      </c>
      <c r="F27" s="2154">
        <v>6.25E-2</v>
      </c>
      <c r="G27" s="2128"/>
      <c r="H27" s="2164"/>
      <c r="I27" s="2164"/>
      <c r="J27" s="2164"/>
      <c r="K27" s="2165">
        <v>5.0000000000000001E-3</v>
      </c>
    </row>
    <row r="28" spans="1:11" x14ac:dyDescent="0.25">
      <c r="A28" s="4256"/>
      <c r="B28" s="1661" t="s">
        <v>202</v>
      </c>
      <c r="C28" s="1696">
        <v>106110897</v>
      </c>
      <c r="D28" s="2045" t="s">
        <v>203</v>
      </c>
      <c r="E28" s="2025">
        <v>1</v>
      </c>
      <c r="F28" s="2154">
        <v>6.25E-2</v>
      </c>
      <c r="G28" s="2128"/>
      <c r="H28" s="2164"/>
      <c r="I28" s="2164"/>
      <c r="J28" s="2164"/>
      <c r="K28" s="2165">
        <v>5.0000000000000001E-3</v>
      </c>
    </row>
    <row r="29" spans="1:11" x14ac:dyDescent="0.25">
      <c r="A29" s="4256"/>
      <c r="B29" s="1661" t="s">
        <v>204</v>
      </c>
      <c r="C29" s="1696">
        <v>106110898</v>
      </c>
      <c r="D29" s="2045" t="s">
        <v>205</v>
      </c>
      <c r="E29" s="2025">
        <v>1</v>
      </c>
      <c r="F29" s="2154">
        <v>6.25E-2</v>
      </c>
      <c r="G29" s="2128"/>
      <c r="H29" s="2164"/>
      <c r="I29" s="2164" t="s">
        <v>1104</v>
      </c>
      <c r="J29" s="2164"/>
      <c r="K29" s="2165">
        <v>5.0000000000000001E-3</v>
      </c>
    </row>
    <row r="30" spans="1:11" x14ac:dyDescent="0.25">
      <c r="A30" s="4256"/>
      <c r="B30" s="1661" t="s">
        <v>206</v>
      </c>
      <c r="C30" s="1811">
        <v>106201807</v>
      </c>
      <c r="D30" s="2080" t="s">
        <v>207</v>
      </c>
      <c r="E30" s="2025">
        <v>1</v>
      </c>
      <c r="F30" s="2154">
        <v>0.13</v>
      </c>
      <c r="G30" s="2128"/>
      <c r="H30" s="2164"/>
      <c r="I30" s="2164" t="s">
        <v>1104</v>
      </c>
      <c r="J30" s="2164"/>
      <c r="K30" s="2165">
        <v>1.2500000000000001E-2</v>
      </c>
    </row>
    <row r="31" spans="1:11" x14ac:dyDescent="0.25">
      <c r="A31" s="4256"/>
      <c r="B31" s="1817" t="s">
        <v>460</v>
      </c>
      <c r="C31" s="1811">
        <v>106202476</v>
      </c>
      <c r="D31" s="2081" t="s">
        <v>461</v>
      </c>
      <c r="E31" s="2025">
        <v>1</v>
      </c>
      <c r="F31" s="2154">
        <v>0.08</v>
      </c>
      <c r="G31" s="2128"/>
      <c r="H31" s="2164"/>
      <c r="I31" s="2164"/>
      <c r="J31" s="2164"/>
      <c r="K31" s="2165">
        <v>5.0000000000000001E-3</v>
      </c>
    </row>
    <row r="32" spans="1:11" ht="15.75" thickBot="1" x14ac:dyDescent="0.3">
      <c r="A32" s="4256"/>
      <c r="B32" s="2082" t="s">
        <v>354</v>
      </c>
      <c r="C32" s="2034">
        <v>106200941</v>
      </c>
      <c r="D32" s="2083" t="s">
        <v>353</v>
      </c>
      <c r="E32" s="2035">
        <v>1</v>
      </c>
      <c r="F32" s="2159">
        <v>0.01</v>
      </c>
      <c r="G32" s="2128"/>
      <c r="H32" s="2164"/>
      <c r="I32" s="2164"/>
      <c r="J32" s="2164"/>
      <c r="K32" s="2165">
        <v>1E-3</v>
      </c>
    </row>
    <row r="33" spans="1:11" ht="27" thickBot="1" x14ac:dyDescent="0.3">
      <c r="A33" s="557" t="s">
        <v>674</v>
      </c>
      <c r="B33" s="619" t="s">
        <v>159</v>
      </c>
      <c r="C33" s="617">
        <v>106202891</v>
      </c>
      <c r="D33" s="2084" t="s">
        <v>648</v>
      </c>
      <c r="E33" s="690">
        <v>4</v>
      </c>
      <c r="F33" s="2160">
        <v>5.0000000000000001E-3</v>
      </c>
      <c r="G33" s="2128">
        <v>0.02</v>
      </c>
      <c r="H33" s="2164"/>
      <c r="I33" s="2164"/>
      <c r="J33" s="2164"/>
      <c r="K33" s="2165">
        <v>5.0000000000000001E-3</v>
      </c>
    </row>
    <row r="34" spans="1:11" x14ac:dyDescent="0.25">
      <c r="A34" s="4251" t="s">
        <v>11</v>
      </c>
      <c r="B34" s="509"/>
      <c r="C34" s="1820">
        <v>106112878</v>
      </c>
      <c r="D34" s="2085" t="s">
        <v>689</v>
      </c>
      <c r="E34" s="622">
        <v>20</v>
      </c>
      <c r="F34" s="2161">
        <v>1.2500000000000001E-2</v>
      </c>
      <c r="G34" s="2128">
        <v>0.2</v>
      </c>
      <c r="H34" s="2164" t="s">
        <v>2309</v>
      </c>
      <c r="I34" s="2164"/>
      <c r="J34" s="2164"/>
      <c r="K34" s="2165">
        <v>0.02</v>
      </c>
    </row>
    <row r="35" spans="1:11" ht="15.75" thickBot="1" x14ac:dyDescent="0.3">
      <c r="A35" s="4252"/>
      <c r="B35" s="418"/>
      <c r="C35" s="1782">
        <v>106107580</v>
      </c>
      <c r="D35" s="440" t="s">
        <v>1277</v>
      </c>
      <c r="E35" s="2023">
        <v>12</v>
      </c>
      <c r="F35" s="2162">
        <v>1.2500000000000001E-2</v>
      </c>
      <c r="G35" s="2128"/>
      <c r="H35" s="2164"/>
      <c r="I35" s="2164"/>
      <c r="J35" s="2164"/>
      <c r="K35" s="2165">
        <v>0.02</v>
      </c>
    </row>
    <row r="36" spans="1:11" ht="15.75" thickBot="1" x14ac:dyDescent="0.3">
      <c r="A36" s="441" t="s">
        <v>0</v>
      </c>
      <c r="B36" s="441" t="s">
        <v>240</v>
      </c>
      <c r="C36" s="529">
        <v>106202625</v>
      </c>
      <c r="D36" s="441" t="s">
        <v>241</v>
      </c>
      <c r="E36" s="564">
        <v>4</v>
      </c>
      <c r="F36" s="2163">
        <v>0.03</v>
      </c>
      <c r="G36" s="2128">
        <v>4.12</v>
      </c>
      <c r="H36" s="2164" t="s">
        <v>2309</v>
      </c>
      <c r="I36" s="2164" t="s">
        <v>1104</v>
      </c>
      <c r="J36" s="2164"/>
      <c r="K36" s="2165">
        <v>0.03</v>
      </c>
    </row>
    <row r="39" spans="1:11" x14ac:dyDescent="0.25">
      <c r="D39" s="1383" t="s">
        <v>2194</v>
      </c>
      <c r="E39" s="2086">
        <v>2011</v>
      </c>
      <c r="F39" s="410">
        <v>300.23</v>
      </c>
    </row>
    <row r="40" spans="1:11" x14ac:dyDescent="0.25">
      <c r="E40" s="2086">
        <v>2012</v>
      </c>
    </row>
  </sheetData>
  <mergeCells count="7">
    <mergeCell ref="J3:J12"/>
    <mergeCell ref="A34:A35"/>
    <mergeCell ref="C1:D1"/>
    <mergeCell ref="A2:B2"/>
    <mergeCell ref="A3:A15"/>
    <mergeCell ref="A16:A22"/>
    <mergeCell ref="A23:A32"/>
  </mergeCells>
  <dataValidations disablePrompts="1" count="2">
    <dataValidation type="list" allowBlank="1" showInputMessage="1" showErrorMessage="1" sqref="F1">
      <formula1>$I$39:$I$48</formula1>
    </dataValidation>
    <dataValidation type="list" allowBlank="1" showInputMessage="1" showErrorMessage="1" sqref="E1">
      <formula1>$H$39:$H$41</formula1>
    </dataValidation>
  </dataValidations>
  <pageMargins left="0.70866141732283472" right="0.70866141732283472" top="0.74803149606299213" bottom="0.74803149606299213" header="0.31496062992125984" footer="0.31496062992125984"/>
  <pageSetup paperSize="9" scale="63" orientation="landscape" r:id="rId1"/>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60"/>
  <sheetViews>
    <sheetView topLeftCell="A32" zoomScale="80" zoomScaleNormal="80" zoomScaleSheetLayoutView="85" workbookViewId="0">
      <selection activeCell="E51" sqref="E51"/>
    </sheetView>
  </sheetViews>
  <sheetFormatPr baseColWidth="10" defaultRowHeight="15" x14ac:dyDescent="0.25"/>
  <cols>
    <col min="1" max="1" width="4.85546875" style="1342" customWidth="1"/>
    <col min="2" max="2" width="15.140625" style="1342" customWidth="1"/>
    <col min="3" max="3" width="12.7109375" style="1343" bestFit="1" customWidth="1"/>
    <col min="4" max="4" width="47.5703125" style="2383" customWidth="1"/>
    <col min="5" max="5" width="46.28515625" style="1342" customWidth="1"/>
    <col min="6" max="7" width="10.42578125" style="1342" customWidth="1"/>
    <col min="8" max="8" width="14.28515625" style="1342" customWidth="1"/>
    <col min="9" max="9" width="16.85546875" style="1342" customWidth="1"/>
    <col min="10" max="10" width="11.42578125" style="751" customWidth="1"/>
    <col min="11" max="11" width="7.28515625" style="1574" customWidth="1"/>
    <col min="12" max="12" width="11.42578125" style="2712" customWidth="1"/>
    <col min="13" max="13" width="16.5703125" style="2712" bestFit="1" customWidth="1"/>
    <col min="14" max="14" width="11.42578125" style="1342"/>
    <col min="15" max="15" width="14" style="1342" customWidth="1"/>
    <col min="16" max="16" width="13.7109375" style="751" customWidth="1"/>
    <col min="17" max="17" width="33.7109375" style="1342" bestFit="1" customWidth="1"/>
    <col min="18" max="18" width="40.140625" style="1342" bestFit="1" customWidth="1"/>
    <col min="19" max="16384" width="11.42578125" style="1342"/>
  </cols>
  <sheetData>
    <row r="1" spans="1:16" ht="15.75" customHeight="1" thickBot="1" x14ac:dyDescent="0.3">
      <c r="L1" s="2714" t="s">
        <v>2609</v>
      </c>
      <c r="M1" s="2714" t="s">
        <v>2610</v>
      </c>
      <c r="O1" s="1383"/>
      <c r="P1" s="4459" t="s">
        <v>2762</v>
      </c>
    </row>
    <row r="2" spans="1:16" ht="16.5" thickBot="1" x14ac:dyDescent="0.3">
      <c r="A2" s="1389" t="s">
        <v>2586</v>
      </c>
      <c r="B2" s="1384"/>
      <c r="C2" s="2390"/>
      <c r="D2" s="2380"/>
      <c r="E2" s="1384"/>
      <c r="F2" s="1384"/>
      <c r="G2" s="1384"/>
      <c r="H2" s="2708" t="s">
        <v>2480</v>
      </c>
      <c r="L2" s="2712">
        <v>4</v>
      </c>
      <c r="M2" s="2712">
        <v>20</v>
      </c>
      <c r="P2" s="4459"/>
    </row>
    <row r="3" spans="1:16" s="2383" customFormat="1" ht="31.5" customHeight="1" thickBot="1" x14ac:dyDescent="0.3">
      <c r="A3" s="4526" t="s">
        <v>1577</v>
      </c>
      <c r="B3" s="4527"/>
      <c r="C3" s="2384" t="s">
        <v>935</v>
      </c>
      <c r="D3" s="4526" t="s">
        <v>250</v>
      </c>
      <c r="E3" s="4528"/>
      <c r="F3" s="2709" t="s">
        <v>2790</v>
      </c>
      <c r="G3" s="2737"/>
      <c r="H3" s="2384" t="s">
        <v>2789</v>
      </c>
      <c r="I3" s="2770" t="s">
        <v>2611</v>
      </c>
      <c r="J3" s="2512" t="s">
        <v>2449</v>
      </c>
      <c r="K3" s="2619"/>
      <c r="L3" s="2715" t="s">
        <v>959</v>
      </c>
      <c r="N3" s="2512" t="s">
        <v>2787</v>
      </c>
      <c r="O3" s="2512" t="s">
        <v>2788</v>
      </c>
      <c r="P3" s="2711"/>
    </row>
    <row r="4" spans="1:16" ht="19.5" customHeight="1" thickBot="1" x14ac:dyDescent="0.3">
      <c r="A4" s="4216" t="s">
        <v>2887</v>
      </c>
      <c r="B4" s="2710" t="s">
        <v>263</v>
      </c>
      <c r="C4" s="2447">
        <v>106118976</v>
      </c>
      <c r="D4" s="2448" t="s">
        <v>2515</v>
      </c>
      <c r="E4" s="1397" t="s">
        <v>2516</v>
      </c>
      <c r="F4" s="2766">
        <v>1</v>
      </c>
      <c r="G4" s="2811"/>
      <c r="H4" s="2795">
        <v>4</v>
      </c>
      <c r="I4" s="2772">
        <f>IF(ROUNDDOWN(($M$2*L4/4)/10,0)&lt;J4,J4,ROUNDDOWN(($M$2*L4/4)/10,0))</f>
        <v>2</v>
      </c>
      <c r="J4" s="751">
        <v>1</v>
      </c>
      <c r="L4" s="2713">
        <f>$L$2*F4+G4</f>
        <v>4</v>
      </c>
      <c r="N4" s="2739">
        <v>227.96</v>
      </c>
      <c r="O4" s="2739">
        <f t="shared" ref="O4:O32" si="0">I4*N4</f>
        <v>455.92</v>
      </c>
      <c r="P4" s="751" t="s">
        <v>2309</v>
      </c>
    </row>
    <row r="5" spans="1:16" ht="19.5" customHeight="1" thickBot="1" x14ac:dyDescent="0.3">
      <c r="A5" s="4218"/>
      <c r="B5" s="2386" t="s">
        <v>261</v>
      </c>
      <c r="C5" s="2755">
        <v>106114701</v>
      </c>
      <c r="D5" s="2457" t="s">
        <v>1243</v>
      </c>
      <c r="E5" s="2458" t="s">
        <v>1244</v>
      </c>
      <c r="F5" s="2785">
        <v>1</v>
      </c>
      <c r="G5" s="2812"/>
      <c r="H5" s="2385">
        <v>4</v>
      </c>
      <c r="I5" s="2772">
        <f>IF(ROUND(L5*$M$2/4,0)&lt;J5,J5,ROUND(L5*$M$2/4,0))</f>
        <v>20</v>
      </c>
      <c r="J5" s="751">
        <v>1</v>
      </c>
      <c r="L5" s="2713">
        <f>$L$2*F5+G5</f>
        <v>4</v>
      </c>
      <c r="M5" s="1342"/>
      <c r="N5" s="2739">
        <v>116.21249999999999</v>
      </c>
      <c r="O5" s="2739">
        <f t="shared" si="0"/>
        <v>2324.25</v>
      </c>
    </row>
    <row r="6" spans="1:16" ht="19.5" customHeight="1" thickBot="1" x14ac:dyDescent="0.3">
      <c r="A6" s="4218"/>
      <c r="B6" s="2738" t="s">
        <v>71</v>
      </c>
      <c r="C6" s="2462">
        <v>106204783</v>
      </c>
      <c r="D6" s="2742" t="s">
        <v>2512</v>
      </c>
      <c r="E6" s="2743" t="s">
        <v>2513</v>
      </c>
      <c r="F6" s="2785"/>
      <c r="G6" s="2812">
        <v>1</v>
      </c>
      <c r="H6" s="2796">
        <v>1</v>
      </c>
      <c r="I6" s="2772">
        <f>IF(ROUNDDOWN(L6*$M$2/10,0)&lt;J6,J6,ROUNDDOWN(L6*$M$2/10,0))</f>
        <v>2</v>
      </c>
      <c r="J6" s="751">
        <v>1</v>
      </c>
      <c r="L6" s="2713">
        <f>$L$2*F6+G6</f>
        <v>1</v>
      </c>
      <c r="M6" s="1342"/>
      <c r="N6" s="3229">
        <v>1625</v>
      </c>
      <c r="O6" s="2739">
        <f t="shared" si="0"/>
        <v>3250</v>
      </c>
      <c r="P6" s="751" t="s">
        <v>2309</v>
      </c>
    </row>
    <row r="7" spans="1:16" s="1574" customFormat="1" ht="19.5" customHeight="1" thickBot="1" x14ac:dyDescent="0.3">
      <c r="A7" s="4219"/>
      <c r="B7" s="3062" t="s">
        <v>341</v>
      </c>
      <c r="C7" s="2868">
        <v>106113993</v>
      </c>
      <c r="D7" s="2493" t="s">
        <v>2315</v>
      </c>
      <c r="E7" s="3078" t="s">
        <v>2316</v>
      </c>
      <c r="F7" s="2785"/>
      <c r="G7" s="3088">
        <v>1</v>
      </c>
      <c r="H7" s="2814">
        <v>1</v>
      </c>
      <c r="I7" s="3077">
        <f>IF(ROUND(L7*$M$2/4,0)&lt;J7,J7,ROUND(L7*$M$2/4,0))</f>
        <v>5</v>
      </c>
      <c r="J7" s="751">
        <v>1</v>
      </c>
      <c r="L7" s="2713">
        <f>$L$2*F7+H7</f>
        <v>1</v>
      </c>
      <c r="N7" s="2740">
        <v>145.83750000000001</v>
      </c>
      <c r="O7" s="2739">
        <f t="shared" si="0"/>
        <v>729.1875</v>
      </c>
      <c r="P7" s="751" t="s">
        <v>2309</v>
      </c>
    </row>
    <row r="8" spans="1:16" s="1574" customFormat="1" ht="24" customHeight="1" x14ac:dyDescent="0.25">
      <c r="A8" s="4217" t="s">
        <v>2888</v>
      </c>
      <c r="B8" s="3023" t="s">
        <v>2485</v>
      </c>
      <c r="C8" s="2447">
        <v>106122352</v>
      </c>
      <c r="D8" s="2448" t="s">
        <v>2954</v>
      </c>
      <c r="E8" s="3034" t="s">
        <v>2955</v>
      </c>
      <c r="F8" s="2766">
        <v>1</v>
      </c>
      <c r="G8" s="3080"/>
      <c r="H8" s="2811">
        <v>6</v>
      </c>
      <c r="I8" s="2781">
        <f>IF(ROUND(L8*$M$2/10,0)&lt;J8,J8,ROUND(L8*$M$2/10,0))</f>
        <v>12</v>
      </c>
      <c r="J8" s="751">
        <v>1</v>
      </c>
      <c r="L8" s="2713">
        <f>IF($L2=4,6,IF($L2=3,5,3))</f>
        <v>6</v>
      </c>
      <c r="N8" s="2740">
        <v>183.88750000000002</v>
      </c>
      <c r="O8" s="2739">
        <f t="shared" si="0"/>
        <v>2206.65</v>
      </c>
      <c r="P8" s="751" t="s">
        <v>2309</v>
      </c>
    </row>
    <row r="9" spans="1:16" s="1574" customFormat="1" ht="24" customHeight="1" x14ac:dyDescent="0.25">
      <c r="A9" s="4218"/>
      <c r="B9" s="1434" t="s">
        <v>3126</v>
      </c>
      <c r="C9" s="2763">
        <v>106206368</v>
      </c>
      <c r="D9" s="2724" t="s">
        <v>2906</v>
      </c>
      <c r="E9" s="3035" t="s">
        <v>2956</v>
      </c>
      <c r="F9" s="2793">
        <v>1</v>
      </c>
      <c r="G9" s="3081"/>
      <c r="H9" s="3084">
        <v>6</v>
      </c>
      <c r="I9" s="3085">
        <f>I8</f>
        <v>12</v>
      </c>
      <c r="J9" s="751">
        <v>1</v>
      </c>
      <c r="L9" s="3024">
        <v>6</v>
      </c>
      <c r="N9" s="2740">
        <v>46.23</v>
      </c>
      <c r="O9" s="2739">
        <f t="shared" si="0"/>
        <v>554.76</v>
      </c>
      <c r="P9" s="751"/>
    </row>
    <row r="10" spans="1:16" ht="19.5" customHeight="1" thickBot="1" x14ac:dyDescent="0.3">
      <c r="A10" s="4218"/>
      <c r="B10" s="3089" t="s">
        <v>196</v>
      </c>
      <c r="C10" s="2756">
        <v>106201346</v>
      </c>
      <c r="D10" s="2843" t="s">
        <v>1525</v>
      </c>
      <c r="E10" s="3079" t="s">
        <v>1526</v>
      </c>
      <c r="F10" s="3083"/>
      <c r="G10" s="3082">
        <v>1</v>
      </c>
      <c r="H10" s="2618">
        <v>1</v>
      </c>
      <c r="I10" s="2773">
        <f>IF(ROUNDUP(M2/4,0)&lt;J10,J10,ROUNDUP(M2/4,0))</f>
        <v>5</v>
      </c>
      <c r="J10" s="751">
        <v>1</v>
      </c>
      <c r="L10" s="2713">
        <f t="shared" ref="L10:L27" si="1">$L$2*F10+G10</f>
        <v>1</v>
      </c>
      <c r="M10" s="1342"/>
      <c r="N10" s="2739">
        <v>78.399999999999991</v>
      </c>
      <c r="O10" s="2739">
        <f t="shared" si="0"/>
        <v>391.99999999999994</v>
      </c>
    </row>
    <row r="11" spans="1:16" ht="19.5" customHeight="1" thickBot="1" x14ac:dyDescent="0.3">
      <c r="A11" s="4218"/>
      <c r="B11" s="3086" t="s">
        <v>21</v>
      </c>
      <c r="C11" s="2605">
        <v>106204083</v>
      </c>
      <c r="D11" s="1411" t="s">
        <v>1357</v>
      </c>
      <c r="E11" s="1397" t="s">
        <v>1358</v>
      </c>
      <c r="F11" s="2787">
        <v>1</v>
      </c>
      <c r="G11" s="2822"/>
      <c r="H11" s="2798">
        <v>4</v>
      </c>
      <c r="I11" s="2772">
        <f>IF(ROUNDDOWN(($M$2*L11/4)/10,0)&lt;J11,J11,ROUNDDOWN(($M$2*L11/4)/10,0))</f>
        <v>2</v>
      </c>
      <c r="J11" s="751">
        <v>1</v>
      </c>
      <c r="L11" s="2713">
        <f t="shared" si="1"/>
        <v>4</v>
      </c>
      <c r="M11" s="1342"/>
      <c r="N11" s="2739">
        <v>778.55</v>
      </c>
      <c r="O11" s="2739">
        <f t="shared" si="0"/>
        <v>1557.1</v>
      </c>
    </row>
    <row r="12" spans="1:16" ht="19.5" customHeight="1" thickBot="1" x14ac:dyDescent="0.3">
      <c r="A12" s="4218"/>
      <c r="B12" s="3064" t="s">
        <v>2486</v>
      </c>
      <c r="C12" s="2746">
        <v>106125296</v>
      </c>
      <c r="D12" s="2744" t="s">
        <v>2587</v>
      </c>
      <c r="E12" s="2745" t="s">
        <v>2587</v>
      </c>
      <c r="F12" s="2786">
        <v>1</v>
      </c>
      <c r="G12" s="2813"/>
      <c r="H12" s="2799">
        <v>4</v>
      </c>
      <c r="I12" s="2773">
        <f>IF(ROUNDDOWN(($M$2*L12/4)/10,0)&lt;J12,J12,ROUNDDOWN(($M$2*L12/4)/10,0))</f>
        <v>2</v>
      </c>
      <c r="J12" s="751">
        <v>1</v>
      </c>
      <c r="L12" s="2713">
        <f t="shared" si="1"/>
        <v>4</v>
      </c>
      <c r="M12" s="1342"/>
      <c r="N12" s="2739">
        <v>1080.96</v>
      </c>
      <c r="O12" s="2739">
        <f t="shared" si="0"/>
        <v>2161.92</v>
      </c>
      <c r="P12" s="751" t="s">
        <v>2309</v>
      </c>
    </row>
    <row r="13" spans="1:16" s="1574" customFormat="1" ht="19.5" customHeight="1" x14ac:dyDescent="0.25">
      <c r="A13" s="4218"/>
      <c r="B13" s="3065" t="s">
        <v>127</v>
      </c>
      <c r="C13" s="2722">
        <v>106205276</v>
      </c>
      <c r="D13" s="2467" t="s">
        <v>2545</v>
      </c>
      <c r="E13" s="2108" t="s">
        <v>2546</v>
      </c>
      <c r="F13" s="2788"/>
      <c r="G13" s="2819">
        <v>1</v>
      </c>
      <c r="H13" s="2800">
        <v>1</v>
      </c>
      <c r="I13" s="2774">
        <f>IF(ROUND(L13*$M$2/8,0)&lt;J13,J13,ROUND(L13*$M$2/8,0))</f>
        <v>3</v>
      </c>
      <c r="J13" s="751">
        <v>1</v>
      </c>
      <c r="L13" s="2713">
        <f t="shared" si="1"/>
        <v>1</v>
      </c>
      <c r="N13" s="2740">
        <v>66.574999999999989</v>
      </c>
      <c r="O13" s="2739">
        <f t="shared" si="0"/>
        <v>199.72499999999997</v>
      </c>
      <c r="P13" s="751" t="s">
        <v>2309</v>
      </c>
    </row>
    <row r="14" spans="1:16" ht="19.5" customHeight="1" x14ac:dyDescent="0.25">
      <c r="A14" s="4218"/>
      <c r="B14" s="3066" t="s">
        <v>328</v>
      </c>
      <c r="C14" s="2747">
        <v>106119611</v>
      </c>
      <c r="D14" s="2748" t="s">
        <v>2547</v>
      </c>
      <c r="E14" s="2749" t="s">
        <v>2548</v>
      </c>
      <c r="F14" s="2771">
        <v>1</v>
      </c>
      <c r="G14" s="2815"/>
      <c r="H14" s="2801">
        <v>4</v>
      </c>
      <c r="I14" s="2775">
        <f>IF(ROUND(L14*$M$2/8,0)&lt;J14,J14,ROUND(L14*$M$2/8,0))</f>
        <v>10</v>
      </c>
      <c r="J14" s="751">
        <v>1</v>
      </c>
      <c r="L14" s="2713">
        <f t="shared" si="1"/>
        <v>4</v>
      </c>
      <c r="M14" s="1342"/>
      <c r="N14" s="2739">
        <v>58.699999999999996</v>
      </c>
      <c r="O14" s="2739">
        <f t="shared" si="0"/>
        <v>587</v>
      </c>
      <c r="P14" s="751" t="s">
        <v>2309</v>
      </c>
    </row>
    <row r="15" spans="1:16" ht="19.5" customHeight="1" thickBot="1" x14ac:dyDescent="0.3">
      <c r="A15" s="4218"/>
      <c r="B15" s="3067" t="s">
        <v>285</v>
      </c>
      <c r="C15" s="2758">
        <v>106202883</v>
      </c>
      <c r="D15" s="2402" t="s">
        <v>1303</v>
      </c>
      <c r="E15" s="2403" t="s">
        <v>1304</v>
      </c>
      <c r="F15" s="2769"/>
      <c r="G15" s="2816">
        <v>1</v>
      </c>
      <c r="H15" s="2802">
        <v>1</v>
      </c>
      <c r="I15" s="2776">
        <f>IF(ROUND(L15*$M$2/8,0)&lt;J15,J15,ROUND(L15*$M$2/8,0))</f>
        <v>3</v>
      </c>
      <c r="J15" s="751">
        <v>1</v>
      </c>
      <c r="L15" s="2713">
        <f t="shared" si="1"/>
        <v>1</v>
      </c>
      <c r="M15" s="1342"/>
      <c r="N15" s="2739">
        <v>29.449999999999996</v>
      </c>
      <c r="O15" s="2739">
        <f t="shared" si="0"/>
        <v>88.35</v>
      </c>
    </row>
    <row r="16" spans="1:16" s="1351" customFormat="1" ht="19.5" customHeight="1" x14ac:dyDescent="0.25">
      <c r="A16" s="4218"/>
      <c r="B16" s="4329" t="s">
        <v>2553</v>
      </c>
      <c r="C16" s="2718">
        <v>106122086</v>
      </c>
      <c r="D16" s="1411" t="s">
        <v>2551</v>
      </c>
      <c r="E16" s="1441" t="s">
        <v>2552</v>
      </c>
      <c r="F16" s="2789">
        <v>3</v>
      </c>
      <c r="G16" s="2817"/>
      <c r="H16" s="2803">
        <v>12</v>
      </c>
      <c r="I16" s="2777">
        <f>IF(ROUNDUP(L16/10,0)&lt;J16,J16,ROUNDUP(L16/10,0))</f>
        <v>2</v>
      </c>
      <c r="J16" s="751">
        <v>1</v>
      </c>
      <c r="K16" s="2227"/>
      <c r="L16" s="2716">
        <f t="shared" si="1"/>
        <v>12</v>
      </c>
      <c r="N16" s="2741">
        <v>62.5</v>
      </c>
      <c r="O16" s="2739">
        <f t="shared" si="0"/>
        <v>125</v>
      </c>
      <c r="P16" s="751" t="s">
        <v>2309</v>
      </c>
    </row>
    <row r="17" spans="1:16" s="1351" customFormat="1" ht="19.5" customHeight="1" thickBot="1" x14ac:dyDescent="0.3">
      <c r="A17" s="4218"/>
      <c r="B17" s="4529"/>
      <c r="C17" s="2759">
        <v>106204234</v>
      </c>
      <c r="D17" s="2750" t="s">
        <v>1608</v>
      </c>
      <c r="E17" s="2751" t="s">
        <v>1609</v>
      </c>
      <c r="F17" s="2790">
        <v>3</v>
      </c>
      <c r="G17" s="2818"/>
      <c r="H17" s="3042">
        <v>12</v>
      </c>
      <c r="I17" s="3196">
        <f>IF(ROUNDUP(L17/10,0)&lt;J17,J17,ROUNDUP(L17/10,0))</f>
        <v>2</v>
      </c>
      <c r="J17" s="751">
        <v>1</v>
      </c>
      <c r="K17" s="2227"/>
      <c r="L17" s="2716">
        <f t="shared" si="1"/>
        <v>12</v>
      </c>
      <c r="N17" s="2741">
        <v>12.074999999999999</v>
      </c>
      <c r="O17" s="2739">
        <f t="shared" si="0"/>
        <v>24.15</v>
      </c>
      <c r="P17" s="751"/>
    </row>
    <row r="18" spans="1:16" ht="19.5" customHeight="1" thickBot="1" x14ac:dyDescent="0.3">
      <c r="A18" s="4218"/>
      <c r="B18" s="3068" t="s">
        <v>2771</v>
      </c>
      <c r="C18" s="2760">
        <v>106206389</v>
      </c>
      <c r="D18" s="2744" t="s">
        <v>2588</v>
      </c>
      <c r="E18" s="2743" t="s">
        <v>2589</v>
      </c>
      <c r="F18" s="2767">
        <v>1</v>
      </c>
      <c r="G18" s="2618"/>
      <c r="H18" s="2797">
        <v>4</v>
      </c>
      <c r="I18" s="2772">
        <f>IF(ROUND(($M$2*L18/4)/2,0)&lt;J18,J18,ROUND(($M$2*L18/4)/2,0))</f>
        <v>10</v>
      </c>
      <c r="J18" s="751">
        <v>1</v>
      </c>
      <c r="L18" s="2713">
        <f t="shared" si="1"/>
        <v>4</v>
      </c>
      <c r="M18" s="1342"/>
      <c r="N18" s="2739">
        <v>62.45</v>
      </c>
      <c r="O18" s="2739">
        <f t="shared" si="0"/>
        <v>624.5</v>
      </c>
      <c r="P18" s="751" t="s">
        <v>2309</v>
      </c>
    </row>
    <row r="19" spans="1:16" ht="19.5" customHeight="1" thickBot="1" x14ac:dyDescent="0.3">
      <c r="A19" s="4218"/>
      <c r="B19" s="3069" t="s">
        <v>1507</v>
      </c>
      <c r="C19" s="2761">
        <v>106203799</v>
      </c>
      <c r="D19" s="2744" t="s">
        <v>2957</v>
      </c>
      <c r="E19" s="2745" t="s">
        <v>2958</v>
      </c>
      <c r="F19" s="2786">
        <v>1</v>
      </c>
      <c r="G19" s="2813"/>
      <c r="H19" s="3043">
        <v>4</v>
      </c>
      <c r="I19" s="2772">
        <f>IF(ROUND(($M$2*L19/4)/2,0)&lt;J19,J19,ROUND(($M$2*L19/4)/2,0))</f>
        <v>10</v>
      </c>
      <c r="J19" s="751">
        <v>1</v>
      </c>
      <c r="L19" s="2713">
        <f t="shared" si="1"/>
        <v>4</v>
      </c>
      <c r="M19" s="1342"/>
      <c r="N19" s="2739">
        <v>46.8</v>
      </c>
      <c r="O19" s="2739">
        <f t="shared" si="0"/>
        <v>468</v>
      </c>
    </row>
    <row r="20" spans="1:16" ht="19.5" customHeight="1" thickBot="1" x14ac:dyDescent="0.3">
      <c r="A20" s="4218"/>
      <c r="B20" s="3069" t="s">
        <v>2487</v>
      </c>
      <c r="C20" s="3558">
        <v>106126857</v>
      </c>
      <c r="D20" s="2724" t="s">
        <v>1896</v>
      </c>
      <c r="E20" s="2745" t="s">
        <v>1511</v>
      </c>
      <c r="F20" s="2786">
        <v>2</v>
      </c>
      <c r="G20" s="2813"/>
      <c r="H20" s="3043">
        <v>8</v>
      </c>
      <c r="I20" s="2779">
        <f>IF((2*I32)&lt;J20,J20,2*I32)</f>
        <v>6</v>
      </c>
      <c r="J20" s="751">
        <v>2</v>
      </c>
      <c r="L20" s="2713">
        <f t="shared" si="1"/>
        <v>8</v>
      </c>
      <c r="M20" s="1342"/>
      <c r="N20" s="2739" t="s">
        <v>0</v>
      </c>
      <c r="O20" s="2739" t="e">
        <f t="shared" si="0"/>
        <v>#VALUE!</v>
      </c>
    </row>
    <row r="21" spans="1:16" ht="19.5" customHeight="1" thickBot="1" x14ac:dyDescent="0.3">
      <c r="A21" s="4218"/>
      <c r="B21" s="3069" t="s">
        <v>2488</v>
      </c>
      <c r="C21" s="2761">
        <v>106105886</v>
      </c>
      <c r="D21" s="2744" t="s">
        <v>1502</v>
      </c>
      <c r="E21" s="2745" t="s">
        <v>1233</v>
      </c>
      <c r="F21" s="2786">
        <v>2</v>
      </c>
      <c r="G21" s="2813"/>
      <c r="H21" s="3043">
        <v>8</v>
      </c>
      <c r="I21" s="2773">
        <f>IF(ROUNDDOWN($M$2/10,0)&lt;J21,J21,ROUNDDOWN($M$2/10,0))</f>
        <v>2</v>
      </c>
      <c r="J21" s="751">
        <v>1</v>
      </c>
      <c r="L21" s="2713">
        <f t="shared" si="1"/>
        <v>8</v>
      </c>
      <c r="M21" s="1342"/>
      <c r="N21" s="2739">
        <v>4.16</v>
      </c>
      <c r="O21" s="2739">
        <f t="shared" si="0"/>
        <v>8.32</v>
      </c>
    </row>
    <row r="22" spans="1:16" ht="19.5" customHeight="1" thickBot="1" x14ac:dyDescent="0.3">
      <c r="A22" s="4218"/>
      <c r="B22" s="3069" t="s">
        <v>2489</v>
      </c>
      <c r="C22" s="2761">
        <v>106119667</v>
      </c>
      <c r="D22" s="2752" t="s">
        <v>2592</v>
      </c>
      <c r="E22" s="2745" t="s">
        <v>2593</v>
      </c>
      <c r="F22" s="2786">
        <v>3</v>
      </c>
      <c r="G22" s="2813"/>
      <c r="H22" s="3043">
        <v>12</v>
      </c>
      <c r="I22" s="2779">
        <f>IF((3*I32)&lt;J22,J22,3*I32)</f>
        <v>9</v>
      </c>
      <c r="J22" s="751">
        <v>3</v>
      </c>
      <c r="L22" s="2713">
        <f t="shared" si="1"/>
        <v>12</v>
      </c>
      <c r="M22" s="1342"/>
      <c r="N22" s="2739">
        <v>6.73</v>
      </c>
      <c r="O22" s="2739">
        <f t="shared" si="0"/>
        <v>60.570000000000007</v>
      </c>
      <c r="P22" s="751" t="s">
        <v>2309</v>
      </c>
    </row>
    <row r="23" spans="1:16" ht="19.5" customHeight="1" thickBot="1" x14ac:dyDescent="0.3">
      <c r="A23" s="4218"/>
      <c r="B23" s="3069" t="s">
        <v>2490</v>
      </c>
      <c r="C23" s="2761">
        <v>106119669</v>
      </c>
      <c r="D23" s="2744" t="s">
        <v>2594</v>
      </c>
      <c r="E23" s="2745" t="s">
        <v>2595</v>
      </c>
      <c r="F23" s="2786">
        <v>3</v>
      </c>
      <c r="G23" s="2813"/>
      <c r="H23" s="3043">
        <v>12</v>
      </c>
      <c r="I23" s="2772">
        <f>IF(ROUNDDOWN($M$2/10,0)&lt;J23,J23,ROUNDDOWN($M$2/10,0))</f>
        <v>2</v>
      </c>
      <c r="J23" s="751">
        <v>1</v>
      </c>
      <c r="L23" s="2713">
        <f t="shared" si="1"/>
        <v>12</v>
      </c>
      <c r="M23" s="1342"/>
      <c r="N23" s="2739">
        <v>9.36</v>
      </c>
      <c r="O23" s="2739">
        <f t="shared" si="0"/>
        <v>18.72</v>
      </c>
      <c r="P23" s="751" t="s">
        <v>2309</v>
      </c>
    </row>
    <row r="24" spans="1:16" s="1351" customFormat="1" ht="19.5" customHeight="1" thickBot="1" x14ac:dyDescent="0.3">
      <c r="A24" s="4218"/>
      <c r="B24" s="3070"/>
      <c r="C24" s="2722">
        <v>106122954</v>
      </c>
      <c r="D24" s="2467" t="s">
        <v>2773</v>
      </c>
      <c r="E24" s="2468" t="s">
        <v>2774</v>
      </c>
      <c r="F24" s="2791">
        <v>3</v>
      </c>
      <c r="G24" s="2819"/>
      <c r="H24" s="2804">
        <v>12</v>
      </c>
      <c r="I24" s="2780">
        <f>IF(F24*$I$32&lt;J24,J24,F24*$I$32)</f>
        <v>9</v>
      </c>
      <c r="J24" s="751">
        <v>5</v>
      </c>
      <c r="K24" s="2227"/>
      <c r="L24" s="2716">
        <f t="shared" si="1"/>
        <v>12</v>
      </c>
      <c r="N24" s="2739">
        <v>8.32</v>
      </c>
      <c r="O24" s="2739">
        <f t="shared" si="0"/>
        <v>74.88</v>
      </c>
      <c r="P24" s="751" t="s">
        <v>2309</v>
      </c>
    </row>
    <row r="25" spans="1:16" ht="19.5" customHeight="1" thickBot="1" x14ac:dyDescent="0.3">
      <c r="A25" s="4219"/>
      <c r="B25" s="3087"/>
      <c r="C25" s="2762" t="s">
        <v>1500</v>
      </c>
      <c r="D25" s="2493"/>
      <c r="E25" s="2468" t="s">
        <v>1149</v>
      </c>
      <c r="F25" s="2785">
        <v>1</v>
      </c>
      <c r="G25" s="2812"/>
      <c r="H25" s="2385">
        <v>4</v>
      </c>
      <c r="I25" s="2772">
        <f>ROUNDDOWN(L2*M2/20,0)</f>
        <v>4</v>
      </c>
      <c r="J25" s="751">
        <v>1</v>
      </c>
      <c r="L25" s="2713">
        <f t="shared" si="1"/>
        <v>4</v>
      </c>
      <c r="M25" s="1342"/>
      <c r="N25" s="2739">
        <v>336.55</v>
      </c>
      <c r="O25" s="2739">
        <f t="shared" si="0"/>
        <v>1346.2</v>
      </c>
    </row>
    <row r="26" spans="1:16" ht="19.5" customHeight="1" thickBot="1" x14ac:dyDescent="0.3">
      <c r="A26" s="2754"/>
      <c r="B26" s="2491" t="s">
        <v>2491</v>
      </c>
      <c r="C26" s="2762">
        <v>106111785</v>
      </c>
      <c r="D26" s="2493" t="s">
        <v>2590</v>
      </c>
      <c r="E26" s="2487" t="s">
        <v>2591</v>
      </c>
      <c r="F26" s="2785"/>
      <c r="G26" s="2812">
        <v>1</v>
      </c>
      <c r="H26" s="2385">
        <v>1</v>
      </c>
      <c r="I26" s="2772">
        <f>IF(ROUNDDOWN(L26*$M$2/10,0)&lt;J26,J26,ROUNDDOWN(L26*$M$2/10,0))</f>
        <v>2</v>
      </c>
      <c r="J26" s="751">
        <v>1</v>
      </c>
      <c r="L26" s="2713">
        <f t="shared" si="1"/>
        <v>1</v>
      </c>
      <c r="M26" s="1342"/>
      <c r="N26" s="2739">
        <v>27.637499999999999</v>
      </c>
      <c r="O26" s="2739">
        <f t="shared" si="0"/>
        <v>55.274999999999999</v>
      </c>
      <c r="P26" s="751" t="s">
        <v>2309</v>
      </c>
    </row>
    <row r="27" spans="1:16" s="1351" customFormat="1" ht="19.5" customHeight="1" x14ac:dyDescent="0.25">
      <c r="A27" s="4209"/>
      <c r="B27" s="2720" t="s">
        <v>2772</v>
      </c>
      <c r="C27" s="2447">
        <v>106205983</v>
      </c>
      <c r="D27" s="2448" t="s">
        <v>1951</v>
      </c>
      <c r="E27" s="1441" t="s">
        <v>576</v>
      </c>
      <c r="F27" s="2792"/>
      <c r="G27" s="2820">
        <v>1</v>
      </c>
      <c r="H27" s="2803">
        <v>1</v>
      </c>
      <c r="I27" s="2781">
        <f>IF(ROUNDDOWN(L27*$M$2/10,0)&lt;J27,J27,ROUNDDOWN(L27*$M$2/10,0))</f>
        <v>2</v>
      </c>
      <c r="J27" s="751">
        <v>1</v>
      </c>
      <c r="K27" s="2227"/>
      <c r="L27" s="2716">
        <f t="shared" si="1"/>
        <v>1</v>
      </c>
      <c r="N27" s="2739">
        <v>152.75</v>
      </c>
      <c r="O27" s="2739">
        <f t="shared" si="0"/>
        <v>305.5</v>
      </c>
      <c r="P27" s="751" t="s">
        <v>2309</v>
      </c>
    </row>
    <row r="28" spans="1:16" s="1360" customFormat="1" ht="15.75" customHeight="1" x14ac:dyDescent="0.25">
      <c r="A28" s="4210"/>
      <c r="B28" s="2497" t="s">
        <v>204</v>
      </c>
      <c r="C28" s="2763">
        <v>106110898</v>
      </c>
      <c r="D28" s="2748" t="s">
        <v>1836</v>
      </c>
      <c r="E28" s="2749" t="s">
        <v>575</v>
      </c>
      <c r="F28" s="2793">
        <v>1</v>
      </c>
      <c r="G28" s="2821"/>
      <c r="H28" s="2805">
        <v>4</v>
      </c>
      <c r="I28" s="2782">
        <f>IF(ROUND(L28*$M$2/16,0)&gt;J28,ROUND(L28*$M$2/16,0),J28)</f>
        <v>5</v>
      </c>
      <c r="J28" s="274">
        <v>1</v>
      </c>
      <c r="K28" s="2620"/>
      <c r="L28" s="2713">
        <f>L2</f>
        <v>4</v>
      </c>
      <c r="N28" s="2739">
        <v>21.816666666666666</v>
      </c>
      <c r="O28" s="2739">
        <f t="shared" si="0"/>
        <v>109.08333333333333</v>
      </c>
      <c r="P28" s="751"/>
    </row>
    <row r="29" spans="1:16" s="1360" customFormat="1" ht="19.5" customHeight="1" thickBot="1" x14ac:dyDescent="0.3">
      <c r="A29" s="4211"/>
      <c r="B29" s="2753" t="s">
        <v>1593</v>
      </c>
      <c r="C29" s="2764">
        <v>106101089</v>
      </c>
      <c r="D29" s="1464" t="s">
        <v>1594</v>
      </c>
      <c r="E29" s="1430" t="s">
        <v>1595</v>
      </c>
      <c r="F29" s="2790" t="s">
        <v>0</v>
      </c>
      <c r="G29" s="2818"/>
      <c r="H29" s="2806">
        <v>3</v>
      </c>
      <c r="I29" s="2783">
        <f>IF(ROUND(L29*$M$2/16,0)&gt;J29,ROUND(L29*$M$2/16,0),J29)</f>
        <v>4</v>
      </c>
      <c r="J29" s="751">
        <v>1</v>
      </c>
      <c r="K29" s="2488"/>
      <c r="L29" s="2713">
        <f>IF(L2=2,2,3)</f>
        <v>3</v>
      </c>
      <c r="N29" s="2739">
        <v>9.2100000000000009</v>
      </c>
      <c r="O29" s="2739">
        <f t="shared" si="0"/>
        <v>36.840000000000003</v>
      </c>
      <c r="P29" s="751" t="s">
        <v>2309</v>
      </c>
    </row>
    <row r="30" spans="1:16" ht="19.5" customHeight="1" x14ac:dyDescent="0.25">
      <c r="A30" s="4209" t="s">
        <v>2791</v>
      </c>
      <c r="B30" s="2495"/>
      <c r="C30" s="2765">
        <v>106112878</v>
      </c>
      <c r="D30" s="2467" t="s">
        <v>1558</v>
      </c>
      <c r="E30" s="2108" t="s">
        <v>1559</v>
      </c>
      <c r="F30" s="2787">
        <v>5</v>
      </c>
      <c r="G30" s="2822"/>
      <c r="H30" s="2804">
        <v>20</v>
      </c>
      <c r="I30" s="2777">
        <f>IF(F30*$I$32&lt;J30,J30,F30*$I$32)</f>
        <v>15</v>
      </c>
      <c r="J30" s="751">
        <v>5</v>
      </c>
      <c r="L30" s="2713">
        <f>$L$2*F30+G30</f>
        <v>20</v>
      </c>
      <c r="M30" s="1342"/>
      <c r="N30" s="2739">
        <v>1.34</v>
      </c>
      <c r="O30" s="2739">
        <f t="shared" si="0"/>
        <v>20.100000000000001</v>
      </c>
    </row>
    <row r="31" spans="1:16" ht="19.5" customHeight="1" x14ac:dyDescent="0.25">
      <c r="A31" s="4210"/>
      <c r="B31" s="2725"/>
      <c r="C31" s="2726">
        <v>106107580</v>
      </c>
      <c r="D31" s="2402" t="s">
        <v>1277</v>
      </c>
      <c r="E31" s="2403" t="s">
        <v>1278</v>
      </c>
      <c r="F31" s="2794">
        <v>3</v>
      </c>
      <c r="G31" s="2823"/>
      <c r="H31" s="2807">
        <v>12</v>
      </c>
      <c r="I31" s="2784">
        <f>IF(F31*$I$32&lt;J31,J31,F31*$I$32)</f>
        <v>9</v>
      </c>
      <c r="J31" s="751">
        <v>3</v>
      </c>
      <c r="L31" s="2713">
        <f>$L$2*F31+G31</f>
        <v>12</v>
      </c>
      <c r="M31" s="1342"/>
      <c r="N31" s="2739">
        <v>0.86</v>
      </c>
      <c r="O31" s="2739">
        <f t="shared" si="0"/>
        <v>7.74</v>
      </c>
    </row>
    <row r="32" spans="1:16" ht="19.5" customHeight="1" thickBot="1" x14ac:dyDescent="0.3">
      <c r="A32" s="4231"/>
      <c r="B32" s="2753" t="s">
        <v>2498</v>
      </c>
      <c r="C32" s="2764">
        <v>106205976</v>
      </c>
      <c r="D32" s="1464" t="s">
        <v>2781</v>
      </c>
      <c r="E32" s="1401" t="s">
        <v>2784</v>
      </c>
      <c r="F32" s="2768">
        <v>1</v>
      </c>
      <c r="G32" s="2824"/>
      <c r="H32" s="2808">
        <v>4</v>
      </c>
      <c r="I32" s="2778">
        <f>ROUNDUP(L2*M2*3/100,0)</f>
        <v>3</v>
      </c>
      <c r="J32" s="751">
        <v>1</v>
      </c>
      <c r="L32" s="2713">
        <f>$L$2*F32+G32</f>
        <v>4</v>
      </c>
      <c r="M32" s="1342"/>
      <c r="N32" s="2739">
        <v>9495.01</v>
      </c>
      <c r="O32" s="2739">
        <f t="shared" si="0"/>
        <v>28485.03</v>
      </c>
      <c r="P32" s="751" t="s">
        <v>2309</v>
      </c>
    </row>
    <row r="33" spans="1:16" s="2712" customFormat="1" ht="19.5" customHeight="1" x14ac:dyDescent="0.25">
      <c r="A33" s="1344"/>
      <c r="B33" s="1344"/>
      <c r="C33" s="2391"/>
      <c r="D33" s="2382"/>
      <c r="E33" s="1344"/>
      <c r="F33" s="3044"/>
      <c r="G33" s="3044"/>
      <c r="H33" s="3044"/>
      <c r="I33" s="1345"/>
      <c r="J33" s="2511"/>
      <c r="K33" s="2707"/>
      <c r="N33" s="1342"/>
      <c r="O33" s="1342"/>
      <c r="P33" s="751"/>
    </row>
    <row r="34" spans="1:16" s="2810" customFormat="1" ht="19.5" customHeight="1" thickBot="1" x14ac:dyDescent="0.3">
      <c r="A34" s="1344"/>
      <c r="B34" s="2826" t="s">
        <v>2798</v>
      </c>
      <c r="C34" s="2391"/>
      <c r="D34" s="2382"/>
      <c r="E34" s="1344"/>
      <c r="F34" s="84"/>
      <c r="G34" s="3044"/>
      <c r="H34" s="3044"/>
      <c r="I34" s="1345"/>
      <c r="J34" s="2511"/>
      <c r="K34" s="2809"/>
      <c r="M34" s="2900" t="s">
        <v>2890</v>
      </c>
      <c r="N34" s="1342"/>
      <c r="O34" s="1342"/>
      <c r="P34" s="751"/>
    </row>
    <row r="35" spans="1:16" s="2810" customFormat="1" ht="19.5" customHeight="1" x14ac:dyDescent="0.25">
      <c r="A35" s="4229" t="s">
        <v>2889</v>
      </c>
      <c r="B35" s="3027"/>
      <c r="C35" s="2447">
        <v>106122182</v>
      </c>
      <c r="D35" s="1411" t="s">
        <v>2877</v>
      </c>
      <c r="E35" s="3034" t="s">
        <v>2884</v>
      </c>
      <c r="F35" s="2766"/>
      <c r="G35" s="3045"/>
      <c r="H35" s="3028"/>
      <c r="I35" s="3029">
        <v>25</v>
      </c>
      <c r="J35" s="2511"/>
      <c r="K35" s="2809"/>
      <c r="L35" s="2899"/>
      <c r="M35" s="2740">
        <v>9.09</v>
      </c>
      <c r="N35" s="2740">
        <f>M35/0.8</f>
        <v>11.362499999999999</v>
      </c>
      <c r="O35" s="3040">
        <f t="shared" ref="O35:O41" si="2">I35*N35</f>
        <v>284.0625</v>
      </c>
      <c r="P35" s="751"/>
    </row>
    <row r="36" spans="1:16" s="2810" customFormat="1" ht="19.5" customHeight="1" x14ac:dyDescent="0.25">
      <c r="A36" s="4230"/>
      <c r="B36" s="3026"/>
      <c r="C36" s="2763">
        <v>106106289</v>
      </c>
      <c r="D36" s="2748" t="s">
        <v>2797</v>
      </c>
      <c r="E36" s="3035" t="s">
        <v>2796</v>
      </c>
      <c r="F36" s="2793"/>
      <c r="G36" s="3046"/>
      <c r="H36" s="3025"/>
      <c r="I36" s="3030">
        <v>8</v>
      </c>
      <c r="J36" s="2511"/>
      <c r="K36" s="2809"/>
      <c r="L36" s="2899"/>
      <c r="M36" s="2740">
        <v>11.96</v>
      </c>
      <c r="N36" s="2740">
        <f>M36/0.8</f>
        <v>14.950000000000001</v>
      </c>
      <c r="O36" s="3040">
        <f t="shared" si="2"/>
        <v>119.60000000000001</v>
      </c>
      <c r="P36" s="751"/>
    </row>
    <row r="37" spans="1:16" s="2810" customFormat="1" ht="19.5" customHeight="1" x14ac:dyDescent="0.25">
      <c r="A37" s="4230"/>
      <c r="B37" s="3026"/>
      <c r="C37" s="2763">
        <v>106204841</v>
      </c>
      <c r="D37" s="2748" t="s">
        <v>2875</v>
      </c>
      <c r="E37" s="3035" t="s">
        <v>2885</v>
      </c>
      <c r="F37" s="3037">
        <v>1</v>
      </c>
      <c r="G37" s="3046"/>
      <c r="H37" s="3025">
        <v>4</v>
      </c>
      <c r="I37" s="3030">
        <v>1</v>
      </c>
      <c r="J37" s="2511"/>
      <c r="K37" s="2809"/>
      <c r="L37" s="2899">
        <f>$L$2*F37+G37</f>
        <v>4</v>
      </c>
      <c r="M37" s="2740">
        <v>750</v>
      </c>
      <c r="N37" s="2740">
        <f>M37/0.6</f>
        <v>1250</v>
      </c>
      <c r="O37" s="3040">
        <f t="shared" si="2"/>
        <v>1250</v>
      </c>
      <c r="P37" s="751"/>
    </row>
    <row r="38" spans="1:16" s="2810" customFormat="1" ht="19.5" customHeight="1" x14ac:dyDescent="0.25">
      <c r="A38" s="4230"/>
      <c r="B38" s="3026"/>
      <c r="C38" s="2763">
        <v>106204842</v>
      </c>
      <c r="D38" s="2748" t="s">
        <v>2876</v>
      </c>
      <c r="E38" s="3035" t="s">
        <v>2886</v>
      </c>
      <c r="F38" s="3037">
        <v>1</v>
      </c>
      <c r="G38" s="3046"/>
      <c r="H38" s="3025">
        <v>4</v>
      </c>
      <c r="I38" s="3030">
        <v>1</v>
      </c>
      <c r="J38" s="2511"/>
      <c r="K38" s="2809"/>
      <c r="L38" s="2899">
        <f>$L$2*F38+G38</f>
        <v>4</v>
      </c>
      <c r="M38" s="2740">
        <v>322.22000000000003</v>
      </c>
      <c r="N38" s="2740">
        <f>M38/0.6</f>
        <v>537.03333333333342</v>
      </c>
      <c r="O38" s="3040">
        <f t="shared" si="2"/>
        <v>537.03333333333342</v>
      </c>
      <c r="P38" s="751"/>
    </row>
    <row r="39" spans="1:16" s="2810" customFormat="1" ht="19.5" customHeight="1" x14ac:dyDescent="0.25">
      <c r="A39" s="4230"/>
      <c r="B39" s="3026"/>
      <c r="C39" s="2763">
        <v>106121650</v>
      </c>
      <c r="D39" s="2748" t="s">
        <v>2878</v>
      </c>
      <c r="E39" s="3035" t="s">
        <v>2879</v>
      </c>
      <c r="F39" s="3037">
        <v>1</v>
      </c>
      <c r="G39" s="3046"/>
      <c r="H39" s="3025">
        <v>4</v>
      </c>
      <c r="I39" s="3030">
        <v>1</v>
      </c>
      <c r="J39" s="2511"/>
      <c r="K39" s="2809"/>
      <c r="L39" s="2899">
        <f>$L$2*F39+G39</f>
        <v>4</v>
      </c>
      <c r="M39" s="2740">
        <v>577.78</v>
      </c>
      <c r="N39" s="2740">
        <f>M39/0.6</f>
        <v>962.9666666666667</v>
      </c>
      <c r="O39" s="3040">
        <f t="shared" si="2"/>
        <v>962.9666666666667</v>
      </c>
      <c r="P39" s="751"/>
    </row>
    <row r="40" spans="1:16" s="2810" customFormat="1" ht="19.5" customHeight="1" x14ac:dyDescent="0.25">
      <c r="A40" s="4230"/>
      <c r="B40" s="3026"/>
      <c r="C40" s="2763">
        <v>106118837</v>
      </c>
      <c r="D40" s="2748" t="s">
        <v>2880</v>
      </c>
      <c r="E40" s="3035" t="s">
        <v>2883</v>
      </c>
      <c r="F40" s="3037">
        <v>12</v>
      </c>
      <c r="G40" s="3046"/>
      <c r="H40" s="3025">
        <v>48</v>
      </c>
      <c r="I40" s="3030">
        <v>20</v>
      </c>
      <c r="J40" s="2511"/>
      <c r="K40" s="2809"/>
      <c r="L40" s="2899">
        <f>$L$2*F40+G40</f>
        <v>48</v>
      </c>
      <c r="M40" s="2740">
        <v>7.24</v>
      </c>
      <c r="N40" s="2740">
        <f>M40/0.8</f>
        <v>9.0499999999999989</v>
      </c>
      <c r="O40" s="3040">
        <f t="shared" si="2"/>
        <v>180.99999999999997</v>
      </c>
      <c r="P40" s="751"/>
    </row>
    <row r="41" spans="1:16" s="2810" customFormat="1" ht="19.5" customHeight="1" thickBot="1" x14ac:dyDescent="0.3">
      <c r="A41" s="4231"/>
      <c r="B41" s="3031"/>
      <c r="C41" s="2484">
        <v>106107807</v>
      </c>
      <c r="D41" s="2112" t="s">
        <v>2881</v>
      </c>
      <c r="E41" s="3036" t="s">
        <v>2882</v>
      </c>
      <c r="F41" s="3038">
        <v>4</v>
      </c>
      <c r="G41" s="3047"/>
      <c r="H41" s="3032">
        <v>16</v>
      </c>
      <c r="I41" s="3033">
        <v>10</v>
      </c>
      <c r="J41" s="2511"/>
      <c r="K41" s="2809"/>
      <c r="L41" s="2899">
        <f>$L$2*F41+G41</f>
        <v>16</v>
      </c>
      <c r="M41" s="2740">
        <v>3.07</v>
      </c>
      <c r="N41" s="2740">
        <f>M41/0.8</f>
        <v>3.8374999999999995</v>
      </c>
      <c r="O41" s="3041">
        <f t="shared" si="2"/>
        <v>38.374999999999993</v>
      </c>
      <c r="P41" s="751"/>
    </row>
    <row r="42" spans="1:16" s="2810" customFormat="1" ht="19.5" customHeight="1" thickBot="1" x14ac:dyDescent="0.3">
      <c r="A42" s="1344"/>
      <c r="B42" s="1344"/>
      <c r="C42" s="2391"/>
      <c r="D42" s="2382"/>
      <c r="E42" s="1344"/>
      <c r="F42" s="1344"/>
      <c r="G42" s="1344"/>
      <c r="H42" s="1344"/>
      <c r="I42" s="1345"/>
      <c r="J42" s="2511"/>
      <c r="K42" s="2809"/>
      <c r="N42" s="3039" t="s">
        <v>941</v>
      </c>
      <c r="O42" s="1311" t="e">
        <f>SUM(O4:O41)</f>
        <v>#VALUE!</v>
      </c>
      <c r="P42" s="751"/>
    </row>
    <row r="43" spans="1:16" s="2810" customFormat="1" ht="19.5" customHeight="1" x14ac:dyDescent="0.25">
      <c r="A43" s="1344"/>
      <c r="B43" s="1344"/>
      <c r="C43" s="2391"/>
      <c r="D43" s="2382"/>
      <c r="E43" s="1344"/>
      <c r="F43" s="1344"/>
      <c r="G43" s="1344"/>
      <c r="H43" s="1344"/>
      <c r="I43" s="1345"/>
      <c r="J43" s="2511"/>
      <c r="K43" s="2809"/>
      <c r="N43" s="1342"/>
      <c r="O43" s="1342"/>
      <c r="P43" s="751"/>
    </row>
    <row r="44" spans="1:16" ht="19.5" customHeight="1" x14ac:dyDescent="0.25"/>
    <row r="45" spans="1:16" ht="19.5" customHeight="1" x14ac:dyDescent="0.25">
      <c r="C45" s="751"/>
      <c r="D45" s="1574"/>
      <c r="E45" s="3581" t="s">
        <v>3215</v>
      </c>
      <c r="F45" s="3597" t="s">
        <v>745</v>
      </c>
      <c r="G45" s="2712"/>
      <c r="K45" s="1342"/>
      <c r="L45" s="1342"/>
      <c r="M45" s="1342"/>
      <c r="P45" s="1342"/>
    </row>
    <row r="46" spans="1:16" s="1360" customFormat="1" ht="19.5" customHeight="1" x14ac:dyDescent="0.25">
      <c r="C46" s="3600">
        <v>106123372</v>
      </c>
      <c r="D46" s="2488" t="s">
        <v>3213</v>
      </c>
      <c r="E46" s="3916"/>
      <c r="F46" s="3916"/>
      <c r="G46" s="224"/>
      <c r="J46" s="224"/>
    </row>
    <row r="47" spans="1:16" ht="19.5" customHeight="1" x14ac:dyDescent="0.25">
      <c r="C47" s="14">
        <v>106206909</v>
      </c>
      <c r="D47" s="794" t="s">
        <v>3214</v>
      </c>
      <c r="E47" s="3598">
        <v>68.06</v>
      </c>
      <c r="F47" s="3598">
        <f>E47/0.95</f>
        <v>71.642105263157902</v>
      </c>
      <c r="G47" s="2712"/>
      <c r="K47" s="1342"/>
      <c r="L47" s="1342"/>
      <c r="M47" s="1342"/>
      <c r="P47" s="1342"/>
    </row>
    <row r="48" spans="1:16" ht="19.5" customHeight="1" x14ac:dyDescent="0.25">
      <c r="C48" s="14">
        <v>106128870</v>
      </c>
      <c r="D48" s="1574" t="s">
        <v>3880</v>
      </c>
      <c r="E48" s="2712">
        <v>65.19</v>
      </c>
      <c r="F48" s="3598">
        <f>E48/0.95</f>
        <v>68.621052631578948</v>
      </c>
      <c r="G48" s="2712"/>
      <c r="K48" s="1342"/>
      <c r="L48" s="1342"/>
      <c r="M48" s="1342"/>
      <c r="P48" s="1342"/>
    </row>
    <row r="49" spans="3:16" ht="19.5" customHeight="1" x14ac:dyDescent="0.25">
      <c r="C49" s="751"/>
      <c r="D49" s="1574"/>
      <c r="E49" s="2712"/>
      <c r="F49" s="2712"/>
      <c r="G49" s="2712"/>
      <c r="K49" s="1342"/>
      <c r="L49" s="1342"/>
      <c r="M49" s="1342"/>
      <c r="P49" s="1342"/>
    </row>
    <row r="50" spans="3:16" ht="19.5" customHeight="1" x14ac:dyDescent="0.25">
      <c r="C50" s="751"/>
      <c r="D50" s="1574"/>
      <c r="E50" s="2712"/>
      <c r="F50" s="2712"/>
      <c r="G50" s="2712"/>
      <c r="K50" s="1342"/>
      <c r="L50" s="1342"/>
      <c r="M50" s="1342"/>
      <c r="P50" s="1342"/>
    </row>
    <row r="51" spans="3:16" ht="19.5" customHeight="1" x14ac:dyDescent="0.25">
      <c r="C51" s="751"/>
      <c r="D51" s="1574"/>
      <c r="E51" s="2712"/>
      <c r="F51" s="2712"/>
      <c r="G51" s="2712"/>
      <c r="K51" s="1342"/>
      <c r="L51" s="1342"/>
      <c r="M51" s="1342"/>
      <c r="P51" s="1342"/>
    </row>
    <row r="52" spans="3:16" ht="19.5" customHeight="1" x14ac:dyDescent="0.25">
      <c r="C52" s="751"/>
      <c r="D52" s="1574"/>
      <c r="E52" s="2712"/>
      <c r="F52" s="2712"/>
      <c r="G52" s="2712"/>
      <c r="K52" s="1342"/>
      <c r="L52" s="1342"/>
      <c r="M52" s="1342"/>
      <c r="P52" s="1342"/>
    </row>
    <row r="53" spans="3:16" x14ac:dyDescent="0.25">
      <c r="C53" s="751"/>
      <c r="D53" s="1574"/>
      <c r="E53" s="2712"/>
      <c r="F53" s="2712"/>
      <c r="G53" s="2712"/>
      <c r="K53" s="1342"/>
      <c r="L53" s="1342"/>
      <c r="M53" s="1342"/>
      <c r="P53" s="1342"/>
    </row>
    <row r="54" spans="3:16" x14ac:dyDescent="0.25">
      <c r="C54" s="751"/>
      <c r="D54" s="1574"/>
      <c r="E54" s="2712"/>
      <c r="F54" s="2712"/>
      <c r="G54" s="2712"/>
      <c r="K54" s="1342"/>
      <c r="L54" s="1342"/>
      <c r="M54" s="1342"/>
      <c r="P54" s="1342"/>
    </row>
    <row r="55" spans="3:16" x14ac:dyDescent="0.25">
      <c r="C55" s="751"/>
      <c r="D55" s="1574"/>
      <c r="E55" s="2712"/>
      <c r="F55" s="2712"/>
      <c r="G55" s="2712"/>
      <c r="K55" s="1342"/>
      <c r="L55" s="1342"/>
      <c r="M55" s="1342"/>
      <c r="P55" s="1342"/>
    </row>
    <row r="56" spans="3:16" x14ac:dyDescent="0.25">
      <c r="C56" s="751"/>
      <c r="D56" s="1574"/>
      <c r="E56" s="2712"/>
      <c r="F56" s="2712"/>
      <c r="G56" s="2712"/>
      <c r="K56" s="1342"/>
      <c r="L56" s="1342"/>
      <c r="M56" s="1342"/>
      <c r="P56" s="1342"/>
    </row>
    <row r="57" spans="3:16" x14ac:dyDescent="0.25">
      <c r="C57" s="751"/>
      <c r="D57" s="1574"/>
      <c r="E57" s="2712"/>
      <c r="F57" s="2712"/>
      <c r="G57" s="2712"/>
      <c r="K57" s="1342"/>
      <c r="L57" s="1342"/>
      <c r="M57" s="1342"/>
      <c r="P57" s="1342"/>
    </row>
    <row r="58" spans="3:16" x14ac:dyDescent="0.25">
      <c r="C58" s="751"/>
      <c r="D58" s="1574"/>
      <c r="E58" s="2712"/>
      <c r="F58" s="2712"/>
      <c r="G58" s="2712"/>
      <c r="K58" s="1342"/>
      <c r="L58" s="1342"/>
      <c r="M58" s="1342"/>
      <c r="P58" s="1342"/>
    </row>
    <row r="59" spans="3:16" x14ac:dyDescent="0.25">
      <c r="C59" s="751"/>
      <c r="D59" s="1574"/>
      <c r="E59" s="2712"/>
      <c r="F59" s="2712"/>
      <c r="G59" s="2712"/>
      <c r="K59" s="1342"/>
      <c r="L59" s="1342"/>
      <c r="M59" s="1342"/>
      <c r="P59" s="1342"/>
    </row>
    <row r="60" spans="3:16" x14ac:dyDescent="0.25">
      <c r="C60" s="751"/>
      <c r="D60" s="1574"/>
      <c r="E60" s="2712"/>
      <c r="F60" s="2712"/>
      <c r="G60" s="2712"/>
      <c r="K60" s="1342"/>
      <c r="L60" s="1342"/>
      <c r="M60" s="1342"/>
      <c r="P60" s="1342"/>
    </row>
  </sheetData>
  <mergeCells count="9">
    <mergeCell ref="P1:P2"/>
    <mergeCell ref="A3:B3"/>
    <mergeCell ref="D3:E3"/>
    <mergeCell ref="A4:A7"/>
    <mergeCell ref="A35:A41"/>
    <mergeCell ref="B16:B17"/>
    <mergeCell ref="A8:A25"/>
    <mergeCell ref="A27:A29"/>
    <mergeCell ref="A30:A32"/>
  </mergeCells>
  <pageMargins left="0.70866141732283472" right="0.70866141732283472" top="0.74803149606299213" bottom="0.74803149606299213" header="0.31496062992125984" footer="0.31496062992125984"/>
  <pageSetup paperSize="9" scale="53" orientation="portrait" horizontalDpi="200" verticalDpi="200" r:id="rId1"/>
  <ignoredErrors>
    <ignoredError sqref="L8 I6 I22" formula="1"/>
  </ignoredErrors>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5"/>
  <sheetViews>
    <sheetView workbookViewId="0">
      <selection activeCell="D18" sqref="D18"/>
    </sheetView>
  </sheetViews>
  <sheetFormatPr baseColWidth="10" defaultRowHeight="15" x14ac:dyDescent="0.25"/>
  <cols>
    <col min="1" max="1" width="10" bestFit="1" customWidth="1"/>
    <col min="2" max="2" width="47.5703125" customWidth="1"/>
    <col min="3" max="3" width="14.28515625" customWidth="1"/>
    <col min="4" max="4" width="15.42578125" customWidth="1"/>
  </cols>
  <sheetData>
    <row r="1" spans="1:5" s="1" customFormat="1" x14ac:dyDescent="0.25">
      <c r="A1" s="1" t="s">
        <v>3256</v>
      </c>
      <c r="B1" s="1" t="s">
        <v>3257</v>
      </c>
      <c r="C1" s="1" t="s">
        <v>3258</v>
      </c>
      <c r="D1" s="1" t="s">
        <v>3259</v>
      </c>
      <c r="E1" s="1" t="s">
        <v>3260</v>
      </c>
    </row>
    <row r="2" spans="1:5" s="1383" customFormat="1" x14ac:dyDescent="0.25">
      <c r="A2" s="305" t="s">
        <v>3235</v>
      </c>
      <c r="B2" s="1383" t="s">
        <v>3236</v>
      </c>
      <c r="C2" s="1383" t="s">
        <v>3237</v>
      </c>
      <c r="D2" s="1383" t="s">
        <v>3238</v>
      </c>
      <c r="E2" s="1383" t="s">
        <v>3239</v>
      </c>
    </row>
    <row r="3" spans="1:5" s="1383" customFormat="1" x14ac:dyDescent="0.25">
      <c r="A3" s="305" t="s">
        <v>3240</v>
      </c>
      <c r="B3" s="1383" t="s">
        <v>3236</v>
      </c>
      <c r="C3" s="1383" t="s">
        <v>3241</v>
      </c>
      <c r="D3" s="1383" t="s">
        <v>3242</v>
      </c>
      <c r="E3" s="1383" t="s">
        <v>3239</v>
      </c>
    </row>
    <row r="4" spans="1:5" s="1383" customFormat="1" x14ac:dyDescent="0.25">
      <c r="A4" s="305" t="s">
        <v>3243</v>
      </c>
      <c r="B4" s="1383" t="s">
        <v>3244</v>
      </c>
      <c r="C4" s="1383" t="s">
        <v>3245</v>
      </c>
      <c r="D4" s="1383" t="s">
        <v>3246</v>
      </c>
      <c r="E4" s="1383" t="s">
        <v>3247</v>
      </c>
    </row>
    <row r="5" spans="1:5" s="1383" customFormat="1" x14ac:dyDescent="0.25">
      <c r="A5" s="305" t="s">
        <v>3248</v>
      </c>
      <c r="B5" s="1383" t="s">
        <v>3249</v>
      </c>
      <c r="C5" s="1383" t="s">
        <v>3250</v>
      </c>
      <c r="D5" s="1383" t="s">
        <v>3251</v>
      </c>
      <c r="E5" s="1383" t="s">
        <v>3252</v>
      </c>
    </row>
    <row r="6" spans="1:5" x14ac:dyDescent="0.25">
      <c r="A6" s="305" t="s">
        <v>3253</v>
      </c>
      <c r="B6" t="s">
        <v>3254</v>
      </c>
      <c r="C6" t="s">
        <v>3255</v>
      </c>
      <c r="D6" t="s">
        <v>3251</v>
      </c>
      <c r="E6" t="s">
        <v>3252</v>
      </c>
    </row>
    <row r="8" spans="1:5" x14ac:dyDescent="0.25">
      <c r="C8" s="1383" t="s">
        <v>1380</v>
      </c>
      <c r="D8" s="1383" t="s">
        <v>345</v>
      </c>
      <c r="E8" s="1383" t="s">
        <v>344</v>
      </c>
    </row>
    <row r="9" spans="1:5" x14ac:dyDescent="0.25">
      <c r="A9" s="14" t="s">
        <v>3227</v>
      </c>
      <c r="B9" s="1383" t="s">
        <v>3230</v>
      </c>
      <c r="C9" s="410">
        <v>443.66</v>
      </c>
      <c r="D9" s="410">
        <f t="shared" ref="D9:D14" si="0">C9/0.6</f>
        <v>739.43333333333339</v>
      </c>
      <c r="E9" s="410">
        <f t="shared" ref="E9:E14" si="1">C9/0.4</f>
        <v>1109.1500000000001</v>
      </c>
    </row>
    <row r="10" spans="1:5" x14ac:dyDescent="0.25">
      <c r="A10" s="14" t="s">
        <v>3228</v>
      </c>
      <c r="B10" s="1383" t="s">
        <v>3231</v>
      </c>
      <c r="C10" s="410">
        <v>518.38</v>
      </c>
      <c r="D10" s="410">
        <f t="shared" si="0"/>
        <v>863.9666666666667</v>
      </c>
      <c r="E10" s="410">
        <f t="shared" si="1"/>
        <v>1295.9499999999998</v>
      </c>
    </row>
    <row r="11" spans="1:5" x14ac:dyDescent="0.25">
      <c r="A11" s="3593">
        <v>106202009</v>
      </c>
      <c r="B11" s="1383" t="s">
        <v>3232</v>
      </c>
      <c r="C11" s="410">
        <v>145.79</v>
      </c>
      <c r="D11" s="410">
        <f t="shared" si="0"/>
        <v>242.98333333333332</v>
      </c>
      <c r="E11" s="410">
        <f t="shared" si="1"/>
        <v>364.47499999999997</v>
      </c>
    </row>
    <row r="12" spans="1:5" x14ac:dyDescent="0.25">
      <c r="A12" s="3593">
        <v>106202580</v>
      </c>
      <c r="B12" s="1383" t="s">
        <v>3233</v>
      </c>
      <c r="C12" s="410">
        <v>152.76</v>
      </c>
      <c r="D12" s="410">
        <f t="shared" si="0"/>
        <v>254.6</v>
      </c>
      <c r="E12" s="410">
        <f t="shared" si="1"/>
        <v>381.9</v>
      </c>
    </row>
    <row r="13" spans="1:5" s="1383" customFormat="1" x14ac:dyDescent="0.25">
      <c r="A13" s="3593">
        <v>106204061</v>
      </c>
      <c r="B13" s="1383" t="s">
        <v>3373</v>
      </c>
      <c r="C13" s="410">
        <v>155.52000000000001</v>
      </c>
      <c r="D13" s="410">
        <f t="shared" si="0"/>
        <v>259.20000000000005</v>
      </c>
      <c r="E13" s="410">
        <f t="shared" si="1"/>
        <v>388.8</v>
      </c>
    </row>
    <row r="14" spans="1:5" x14ac:dyDescent="0.25">
      <c r="A14" s="14" t="s">
        <v>3229</v>
      </c>
      <c r="B14" s="1383" t="s">
        <v>3234</v>
      </c>
      <c r="C14" s="410">
        <v>562.63</v>
      </c>
      <c r="D14" s="410">
        <f t="shared" si="0"/>
        <v>937.7166666666667</v>
      </c>
      <c r="E14" s="410">
        <f t="shared" si="1"/>
        <v>1406.5749999999998</v>
      </c>
    </row>
    <row r="15" spans="1:5" x14ac:dyDescent="0.25">
      <c r="A15" s="14" t="s">
        <v>3433</v>
      </c>
      <c r="D15" s="3229">
        <f>D14</f>
        <v>937.7166666666667</v>
      </c>
    </row>
  </sheetData>
  <dataConsolidate/>
  <pageMargins left="0.7" right="0.7" top="0.75" bottom="0.75" header="0.3" footer="0.3"/>
  <pageSetup paperSize="9" orientation="portrait" r:id="rId1"/>
  <legacyDrawing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9"/>
  <sheetViews>
    <sheetView topLeftCell="B1" workbookViewId="0">
      <selection activeCell="L5" sqref="L5"/>
    </sheetView>
  </sheetViews>
  <sheetFormatPr baseColWidth="10" defaultRowHeight="15" x14ac:dyDescent="0.25"/>
  <cols>
    <col min="2" max="2" width="11.42578125" style="794"/>
    <col min="4" max="4" width="33.85546875" customWidth="1"/>
    <col min="5" max="5" width="22.42578125" customWidth="1"/>
    <col min="6" max="6" width="6.5703125" customWidth="1"/>
    <col min="7" max="7" width="7.28515625" customWidth="1"/>
    <col min="8" max="8" width="12.42578125" style="1383" customWidth="1"/>
    <col min="9" max="9" width="14.42578125" customWidth="1"/>
    <col min="10" max="10" width="14.140625" customWidth="1"/>
  </cols>
  <sheetData>
    <row r="1" spans="1:13" x14ac:dyDescent="0.25">
      <c r="A1" s="1360" t="s">
        <v>3094</v>
      </c>
      <c r="F1" s="1383" t="s">
        <v>3095</v>
      </c>
    </row>
    <row r="2" spans="1:13" s="3215" customFormat="1" ht="36.75" thickBot="1" x14ac:dyDescent="0.3">
      <c r="A2" s="1344"/>
      <c r="B2" s="3575"/>
      <c r="C2" s="2391"/>
      <c r="D2" s="1344"/>
      <c r="E2" s="1344"/>
      <c r="F2" s="3124" t="s">
        <v>3320</v>
      </c>
      <c r="G2" s="84" t="s">
        <v>3089</v>
      </c>
      <c r="H2" s="84" t="s">
        <v>3319</v>
      </c>
      <c r="I2" s="3124" t="s">
        <v>3318</v>
      </c>
      <c r="J2" s="3607" t="s">
        <v>2890</v>
      </c>
      <c r="K2" s="86" t="s">
        <v>3088</v>
      </c>
      <c r="L2" s="86" t="s">
        <v>3104</v>
      </c>
      <c r="M2" s="751"/>
    </row>
    <row r="3" spans="1:13" s="3215" customFormat="1" ht="19.5" customHeight="1" x14ac:dyDescent="0.25">
      <c r="A3" s="4229" t="s">
        <v>2889</v>
      </c>
      <c r="B3" s="3574"/>
      <c r="C3" s="3256">
        <v>106122182</v>
      </c>
      <c r="D3" s="1411" t="s">
        <v>2877</v>
      </c>
      <c r="E3" s="3034" t="s">
        <v>2884</v>
      </c>
      <c r="F3" s="2766" t="s">
        <v>2309</v>
      </c>
      <c r="G3" s="3045" t="s">
        <v>2309</v>
      </c>
      <c r="H3" s="2811" t="s">
        <v>2309</v>
      </c>
      <c r="I3" s="3029" t="s">
        <v>2309</v>
      </c>
      <c r="J3" s="2740">
        <v>9.09</v>
      </c>
      <c r="K3" s="2740">
        <f t="shared" ref="K3:K8" si="0">J3/0.6</f>
        <v>15.15</v>
      </c>
      <c r="L3" s="3040">
        <f t="shared" ref="L3:L8" si="1">J3/0.8</f>
        <v>11.362499999999999</v>
      </c>
      <c r="M3" s="751"/>
    </row>
    <row r="4" spans="1:13" s="3215" customFormat="1" ht="19.5" customHeight="1" x14ac:dyDescent="0.25">
      <c r="A4" s="4230"/>
      <c r="B4" s="3576"/>
      <c r="C4" s="3606">
        <v>106122183</v>
      </c>
      <c r="D4" s="2748" t="s">
        <v>2797</v>
      </c>
      <c r="E4" s="3035" t="s">
        <v>2796</v>
      </c>
      <c r="F4" s="2793"/>
      <c r="G4" s="3046"/>
      <c r="H4" s="2821"/>
      <c r="I4" s="3030" t="s">
        <v>2309</v>
      </c>
      <c r="J4" s="2740">
        <v>11.96</v>
      </c>
      <c r="K4" s="2740">
        <f t="shared" si="0"/>
        <v>19.933333333333337</v>
      </c>
      <c r="L4" s="3040">
        <f t="shared" si="1"/>
        <v>14.950000000000001</v>
      </c>
      <c r="M4" s="751"/>
    </row>
    <row r="5" spans="1:13" s="3215" customFormat="1" ht="19.5" customHeight="1" x14ac:dyDescent="0.25">
      <c r="A5" s="4230"/>
      <c r="B5" s="3577" t="s">
        <v>734</v>
      </c>
      <c r="C5" s="3143">
        <v>106112817</v>
      </c>
      <c r="D5" s="2748" t="s">
        <v>2916</v>
      </c>
      <c r="E5" s="3035"/>
      <c r="F5" s="3444">
        <v>1</v>
      </c>
      <c r="G5" s="3046"/>
      <c r="H5" s="2821"/>
      <c r="I5" s="3030"/>
      <c r="J5" s="2740">
        <v>877.78</v>
      </c>
      <c r="K5" s="2740">
        <f t="shared" si="0"/>
        <v>1462.9666666666667</v>
      </c>
      <c r="L5" s="3040">
        <f t="shared" si="1"/>
        <v>1097.2249999999999</v>
      </c>
      <c r="M5" s="751"/>
    </row>
    <row r="6" spans="1:13" s="3215" customFormat="1" ht="19.5" customHeight="1" x14ac:dyDescent="0.25">
      <c r="A6" s="4230"/>
      <c r="B6" s="3577" t="s">
        <v>3091</v>
      </c>
      <c r="C6" s="3143">
        <v>106113006</v>
      </c>
      <c r="D6" s="2748" t="s">
        <v>3090</v>
      </c>
      <c r="E6" s="3035"/>
      <c r="F6" s="3444">
        <v>1</v>
      </c>
      <c r="G6" s="3046"/>
      <c r="H6" s="2821"/>
      <c r="I6" s="3030"/>
      <c r="J6" s="3461">
        <v>244.44</v>
      </c>
      <c r="K6" s="2740">
        <f t="shared" si="0"/>
        <v>407.40000000000003</v>
      </c>
      <c r="L6" s="3040">
        <f t="shared" si="1"/>
        <v>305.54999999999995</v>
      </c>
      <c r="M6" s="751"/>
    </row>
    <row r="7" spans="1:13" s="3215" customFormat="1" ht="19.5" customHeight="1" x14ac:dyDescent="0.25">
      <c r="A7" s="4230"/>
      <c r="B7" s="3577" t="s">
        <v>3199</v>
      </c>
      <c r="C7" s="3143">
        <v>106204841</v>
      </c>
      <c r="D7" s="2748" t="s">
        <v>2916</v>
      </c>
      <c r="E7" s="3035"/>
      <c r="F7" s="3444"/>
      <c r="G7" s="3046">
        <v>1</v>
      </c>
      <c r="H7" s="3046">
        <v>1</v>
      </c>
      <c r="I7" s="3030">
        <v>1</v>
      </c>
      <c r="J7" s="2740">
        <v>750</v>
      </c>
      <c r="K7" s="2740">
        <f t="shared" si="0"/>
        <v>1250</v>
      </c>
      <c r="L7" s="3040">
        <f t="shared" si="1"/>
        <v>937.5</v>
      </c>
      <c r="M7" s="751"/>
    </row>
    <row r="8" spans="1:13" s="3215" customFormat="1" ht="19.5" customHeight="1" x14ac:dyDescent="0.25">
      <c r="A8" s="4230"/>
      <c r="B8" s="3577" t="s">
        <v>3200</v>
      </c>
      <c r="C8" s="3143">
        <v>106204842</v>
      </c>
      <c r="D8" s="2748" t="s">
        <v>2917</v>
      </c>
      <c r="E8" s="3035"/>
      <c r="F8" s="3444"/>
      <c r="G8" s="3046">
        <v>1</v>
      </c>
      <c r="H8" s="3046">
        <v>1</v>
      </c>
      <c r="I8" s="3030">
        <v>1</v>
      </c>
      <c r="J8" s="2740">
        <v>322.22000000000003</v>
      </c>
      <c r="K8" s="2740">
        <f t="shared" si="0"/>
        <v>537.03333333333342</v>
      </c>
      <c r="L8" s="3040">
        <f t="shared" si="1"/>
        <v>402.77500000000003</v>
      </c>
      <c r="M8" s="751"/>
    </row>
    <row r="9" spans="1:13" s="3215" customFormat="1" ht="19.5" customHeight="1" x14ac:dyDescent="0.25">
      <c r="A9" s="4230"/>
      <c r="B9" s="3577" t="s">
        <v>3321</v>
      </c>
      <c r="C9" s="3143">
        <v>106116160</v>
      </c>
      <c r="D9" s="2748" t="s">
        <v>3317</v>
      </c>
      <c r="E9" s="3035"/>
      <c r="F9" s="3444">
        <v>1</v>
      </c>
      <c r="G9" s="3615" t="s">
        <v>3343</v>
      </c>
      <c r="H9" s="2821"/>
      <c r="I9" s="3030"/>
      <c r="J9" s="2740"/>
      <c r="K9" s="2740"/>
      <c r="L9" s="3040"/>
      <c r="M9" s="751"/>
    </row>
    <row r="10" spans="1:13" s="3215" customFormat="1" ht="19.5" customHeight="1" x14ac:dyDescent="0.25">
      <c r="A10" s="4230"/>
      <c r="B10" s="3577" t="s">
        <v>3316</v>
      </c>
      <c r="C10" s="3143">
        <v>106121650</v>
      </c>
      <c r="D10" s="2748" t="s">
        <v>2915</v>
      </c>
      <c r="E10" s="3035"/>
      <c r="F10" s="3444"/>
      <c r="G10" s="3615" t="s">
        <v>3343</v>
      </c>
      <c r="H10" s="2821"/>
      <c r="I10" s="3030">
        <v>1</v>
      </c>
      <c r="J10" s="2740"/>
      <c r="K10" s="2740"/>
      <c r="L10" s="3040"/>
      <c r="M10" s="751"/>
    </row>
    <row r="11" spans="1:13" s="3215" customFormat="1" ht="19.5" customHeight="1" x14ac:dyDescent="0.25">
      <c r="A11" s="4230"/>
      <c r="B11" s="3578"/>
      <c r="C11" s="3143">
        <v>106107814</v>
      </c>
      <c r="D11" s="2748" t="s">
        <v>3092</v>
      </c>
      <c r="E11" s="3035"/>
      <c r="F11" s="3444">
        <v>3</v>
      </c>
      <c r="G11" s="3046">
        <v>3</v>
      </c>
      <c r="H11" s="2821">
        <v>3</v>
      </c>
      <c r="I11" s="3030">
        <v>3</v>
      </c>
      <c r="J11" s="2740">
        <v>0.79</v>
      </c>
      <c r="K11" s="2740">
        <f>J11/0.8</f>
        <v>0.98750000000000004</v>
      </c>
      <c r="L11" s="3040">
        <f>J11/0.95</f>
        <v>0.83157894736842108</v>
      </c>
      <c r="M11" s="751"/>
    </row>
    <row r="12" spans="1:13" s="3215" customFormat="1" ht="19.5" customHeight="1" x14ac:dyDescent="0.25">
      <c r="A12" s="4230"/>
      <c r="B12" s="3578"/>
      <c r="C12" s="3143">
        <v>106107807</v>
      </c>
      <c r="D12" s="2748" t="s">
        <v>3097</v>
      </c>
      <c r="E12" s="3035"/>
      <c r="F12" s="3444">
        <v>12</v>
      </c>
      <c r="G12" s="3046"/>
      <c r="H12" s="2821"/>
      <c r="I12" s="3030"/>
      <c r="J12" s="2740">
        <v>3.07</v>
      </c>
      <c r="K12" s="2740">
        <f>J12/0.8</f>
        <v>3.8374999999999995</v>
      </c>
      <c r="L12" s="3040">
        <f>J12/0.95</f>
        <v>3.2315789473684209</v>
      </c>
      <c r="M12" s="751"/>
    </row>
    <row r="13" spans="1:13" s="3215" customFormat="1" ht="19.5" customHeight="1" x14ac:dyDescent="0.25">
      <c r="A13" s="4230"/>
      <c r="B13" s="3578"/>
      <c r="C13" s="3143">
        <v>106107826</v>
      </c>
      <c r="D13" s="2748" t="s">
        <v>3093</v>
      </c>
      <c r="E13" s="3035"/>
      <c r="F13" s="3444">
        <v>3</v>
      </c>
      <c r="G13" s="3046">
        <v>3</v>
      </c>
      <c r="H13" s="2821">
        <v>3</v>
      </c>
      <c r="I13" s="3030">
        <v>3</v>
      </c>
      <c r="J13" s="2740">
        <v>1.88</v>
      </c>
      <c r="K13" s="2740">
        <f>J13/0.8</f>
        <v>2.3499999999999996</v>
      </c>
      <c r="L13" s="3040">
        <f>J13/0.95</f>
        <v>1.9789473684210526</v>
      </c>
      <c r="M13" s="751"/>
    </row>
    <row r="14" spans="1:13" s="3215" customFormat="1" ht="19.5" customHeight="1" thickBot="1" x14ac:dyDescent="0.3">
      <c r="A14" s="4231"/>
      <c r="B14" s="3579"/>
      <c r="C14" s="3257">
        <v>106118837</v>
      </c>
      <c r="D14" s="2112" t="s">
        <v>3096</v>
      </c>
      <c r="E14" s="3036"/>
      <c r="F14" s="3445"/>
      <c r="G14" s="3047">
        <v>12</v>
      </c>
      <c r="H14" s="2824">
        <v>12</v>
      </c>
      <c r="I14" s="3033">
        <v>12</v>
      </c>
      <c r="J14" s="2740">
        <v>7.24</v>
      </c>
      <c r="K14" s="2740">
        <f>J14/0.8</f>
        <v>9.0499999999999989</v>
      </c>
      <c r="L14" s="3040">
        <f>J14/0.95</f>
        <v>7.621052631578948</v>
      </c>
      <c r="M14" s="751"/>
    </row>
    <row r="16" spans="1:13" x14ac:dyDescent="0.25">
      <c r="I16" s="3124" t="s">
        <v>1102</v>
      </c>
    </row>
    <row r="17" spans="1:13" s="3215" customFormat="1" ht="19.5" customHeight="1" x14ac:dyDescent="0.25">
      <c r="A17"/>
      <c r="B17" s="3578" t="s">
        <v>3354</v>
      </c>
      <c r="C17" s="3143">
        <v>106112524</v>
      </c>
      <c r="D17" s="2748" t="s">
        <v>3355</v>
      </c>
      <c r="E17" s="3035"/>
      <c r="F17" s="3444"/>
      <c r="G17" s="3046"/>
      <c r="H17" s="2821"/>
      <c r="I17" s="3030" t="s">
        <v>1104</v>
      </c>
      <c r="J17" s="3461">
        <v>778.89</v>
      </c>
      <c r="K17" s="2740">
        <f>J17/0.6</f>
        <v>1298.1500000000001</v>
      </c>
      <c r="L17" s="3040">
        <f>J17/0.8</f>
        <v>973.61249999999995</v>
      </c>
      <c r="M17" s="751"/>
    </row>
    <row r="19" spans="1:13" x14ac:dyDescent="0.25">
      <c r="F19" s="1383"/>
    </row>
  </sheetData>
  <mergeCells count="1">
    <mergeCell ref="A3:A14"/>
  </mergeCells>
  <pageMargins left="0.7" right="0.7" top="0.75" bottom="0.75" header="0.3" footer="0.3"/>
  <pageSetup paperSize="9" orientation="portrait" r:id="rId1"/>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61"/>
  <sheetViews>
    <sheetView topLeftCell="A4" zoomScale="80" zoomScaleNormal="80" workbookViewId="0">
      <selection activeCell="E16" sqref="E16"/>
    </sheetView>
  </sheetViews>
  <sheetFormatPr baseColWidth="10" defaultRowHeight="15" x14ac:dyDescent="0.25"/>
  <cols>
    <col min="1" max="1" width="18" style="75" customWidth="1"/>
    <col min="2" max="2" width="21.28515625" style="75" customWidth="1"/>
    <col min="3" max="3" width="5.140625" style="1383" customWidth="1"/>
    <col min="4" max="4" width="15.5703125" style="1383" customWidth="1"/>
    <col min="5" max="5" width="13.85546875" style="1383" bestFit="1" customWidth="1"/>
    <col min="6" max="6" width="46.85546875" style="411" customWidth="1"/>
    <col min="7" max="7" width="48.42578125" style="1383" customWidth="1"/>
    <col min="8" max="8" width="18.28515625" style="1383" customWidth="1"/>
    <col min="9" max="9" width="12" style="1383" customWidth="1"/>
    <col min="10" max="10" width="12.28515625" style="1383" customWidth="1"/>
    <col min="11" max="11" width="11.28515625" style="1383" customWidth="1"/>
    <col min="12" max="12" width="8.42578125" style="2633" customWidth="1"/>
    <col min="13" max="13" width="11" style="2202" customWidth="1"/>
    <col min="14" max="14" width="14.5703125" style="5" customWidth="1"/>
    <col min="15" max="15" width="10.28515625" style="2633" customWidth="1"/>
    <col min="16" max="16" width="11" style="2633" customWidth="1"/>
    <col min="17" max="17" width="16.85546875" style="1383" customWidth="1"/>
    <col min="18" max="18" width="14.5703125" style="228" customWidth="1"/>
    <col min="19" max="19" width="16.140625" style="1383" customWidth="1"/>
    <col min="20" max="20" width="16" style="1383" customWidth="1"/>
    <col min="21" max="21" width="13.42578125" style="1383" customWidth="1"/>
    <col min="22" max="23" width="11.42578125" style="1383"/>
    <col min="24" max="24" width="16.140625" style="1383" customWidth="1"/>
    <col min="25" max="25" width="14.85546875" style="1383" customWidth="1"/>
    <col min="26" max="16384" width="11.42578125" style="1383"/>
  </cols>
  <sheetData>
    <row r="1" spans="1:23" s="794" customFormat="1" ht="31.5" customHeight="1" thickBot="1" x14ac:dyDescent="0.3">
      <c r="A1" s="1383" t="s">
        <v>3127</v>
      </c>
      <c r="B1" s="3504"/>
      <c r="F1" s="2270"/>
      <c r="L1" s="3203" t="s">
        <v>2949</v>
      </c>
      <c r="M1" s="3203" t="s">
        <v>2940</v>
      </c>
      <c r="N1" s="3204"/>
      <c r="O1" s="3111" t="s">
        <v>255</v>
      </c>
      <c r="P1" s="3202" t="s">
        <v>2994</v>
      </c>
      <c r="Q1" s="3202" t="s">
        <v>2993</v>
      </c>
      <c r="R1" s="3112" t="s">
        <v>2992</v>
      </c>
      <c r="S1" s="2508"/>
      <c r="T1" s="2278"/>
      <c r="U1" s="2278"/>
      <c r="V1" s="3205"/>
      <c r="W1" s="2278"/>
    </row>
    <row r="2" spans="1:23" s="3501" customFormat="1" ht="19.5" thickBot="1" x14ac:dyDescent="0.3">
      <c r="A2" s="1383" t="s">
        <v>3128</v>
      </c>
      <c r="C2" s="4382" t="s">
        <v>2984</v>
      </c>
      <c r="D2" s="4383"/>
      <c r="E2" s="4383"/>
      <c r="F2" s="4383"/>
      <c r="G2" s="4383"/>
      <c r="H2" s="4383"/>
      <c r="I2" s="4383"/>
      <c r="J2" s="4384"/>
      <c r="L2" s="3109" t="s">
        <v>2948</v>
      </c>
      <c r="M2" s="3206" t="s">
        <v>2944</v>
      </c>
      <c r="N2" s="3206"/>
      <c r="O2" s="3109" t="s">
        <v>2941</v>
      </c>
      <c r="P2" s="3110">
        <v>3</v>
      </c>
      <c r="Q2" s="3110">
        <v>26</v>
      </c>
      <c r="R2" s="3109" t="s">
        <v>2947</v>
      </c>
      <c r="S2" s="3020"/>
      <c r="T2" s="1764"/>
      <c r="U2" s="3017"/>
    </row>
    <row r="3" spans="1:23" s="3502" customFormat="1" ht="33" customHeight="1" thickBot="1" x14ac:dyDescent="0.3">
      <c r="A3" s="1383" t="s">
        <v>3129</v>
      </c>
      <c r="C3" s="3198"/>
      <c r="D3" s="3199" t="s">
        <v>526</v>
      </c>
      <c r="E3" s="3200" t="s">
        <v>935</v>
      </c>
      <c r="F3" s="4315" t="s">
        <v>525</v>
      </c>
      <c r="G3" s="4316"/>
      <c r="H3" s="3200" t="s">
        <v>2847</v>
      </c>
      <c r="I3" s="3496" t="s">
        <v>2848</v>
      </c>
      <c r="J3" s="3200" t="s">
        <v>2849</v>
      </c>
      <c r="L3" s="1547" t="s">
        <v>3103</v>
      </c>
      <c r="M3" s="3455" t="s">
        <v>3026</v>
      </c>
      <c r="N3" s="3455" t="s">
        <v>3130</v>
      </c>
      <c r="O3" s="3242" t="s">
        <v>2449</v>
      </c>
      <c r="P3" s="3503" t="s">
        <v>959</v>
      </c>
      <c r="Q3" s="1765"/>
      <c r="R3" s="2200"/>
    </row>
    <row r="4" spans="1:23" s="2905" customFormat="1" ht="19.5" customHeight="1" x14ac:dyDescent="0.2">
      <c r="C4" s="4375" t="s">
        <v>2985</v>
      </c>
      <c r="D4" s="2936" t="s">
        <v>91</v>
      </c>
      <c r="E4" s="3157">
        <v>106119611</v>
      </c>
      <c r="F4" s="3505" t="s">
        <v>2547</v>
      </c>
      <c r="G4" s="2108" t="s">
        <v>2548</v>
      </c>
      <c r="H4" s="3158">
        <v>1</v>
      </c>
      <c r="I4" s="2397"/>
      <c r="J4" s="2398" t="s">
        <v>2850</v>
      </c>
      <c r="L4" s="3114">
        <v>102.00000000000001</v>
      </c>
      <c r="M4" s="3114">
        <v>121.125</v>
      </c>
      <c r="N4" s="3114">
        <v>96.9</v>
      </c>
      <c r="O4" s="2731">
        <v>2</v>
      </c>
      <c r="P4" s="3124">
        <f t="shared" ref="P4:P12" si="0">H4*$P$2+I4</f>
        <v>3</v>
      </c>
      <c r="Q4" s="1766" t="s">
        <v>255</v>
      </c>
      <c r="R4" s="1766" t="s">
        <v>2942</v>
      </c>
      <c r="S4" s="1768"/>
      <c r="T4" s="2201"/>
    </row>
    <row r="5" spans="1:23" s="2905" customFormat="1" ht="19.5" customHeight="1" x14ac:dyDescent="0.2">
      <c r="C5" s="4376"/>
      <c r="D5" s="3159" t="s">
        <v>93</v>
      </c>
      <c r="E5" s="3153">
        <v>106104221</v>
      </c>
      <c r="F5" s="3506" t="s">
        <v>1307</v>
      </c>
      <c r="G5" s="3155" t="s">
        <v>1308</v>
      </c>
      <c r="H5" s="3152">
        <v>1</v>
      </c>
      <c r="I5" s="2731"/>
      <c r="J5" s="2452" t="s">
        <v>2850</v>
      </c>
      <c r="L5" s="2905">
        <v>38.421052631578952</v>
      </c>
      <c r="M5" s="2905">
        <v>45.625</v>
      </c>
      <c r="N5" s="2905">
        <v>26.41</v>
      </c>
      <c r="O5" s="2731">
        <v>1</v>
      </c>
      <c r="P5" s="3124">
        <f t="shared" si="0"/>
        <v>3</v>
      </c>
      <c r="Q5" s="905" t="s">
        <v>2941</v>
      </c>
      <c r="R5" s="1766" t="s">
        <v>2943</v>
      </c>
      <c r="S5" s="1768"/>
      <c r="T5" s="2201"/>
    </row>
    <row r="6" spans="1:23" s="2905" customFormat="1" ht="19.5" customHeight="1" x14ac:dyDescent="0.2">
      <c r="A6" s="3507"/>
      <c r="B6" s="3501" t="s">
        <v>3131</v>
      </c>
      <c r="C6" s="4376"/>
      <c r="D6" s="3160" t="s">
        <v>127</v>
      </c>
      <c r="E6" s="3153">
        <v>106114372</v>
      </c>
      <c r="F6" s="3507" t="s">
        <v>1884</v>
      </c>
      <c r="G6" s="3155" t="s">
        <v>1885</v>
      </c>
      <c r="H6" s="3153"/>
      <c r="I6" s="2731">
        <v>1</v>
      </c>
      <c r="J6" s="2452" t="s">
        <v>2850</v>
      </c>
      <c r="L6" s="2905">
        <v>56.06315789473684</v>
      </c>
      <c r="M6" s="2905">
        <v>66.574999999999989</v>
      </c>
      <c r="N6" s="2905">
        <v>53.26</v>
      </c>
      <c r="O6" s="2731">
        <v>1</v>
      </c>
      <c r="P6" s="3124">
        <f t="shared" si="0"/>
        <v>1</v>
      </c>
      <c r="Q6" s="905"/>
      <c r="R6" s="1766" t="s">
        <v>2944</v>
      </c>
      <c r="S6" s="1768"/>
      <c r="T6" s="2201"/>
    </row>
    <row r="7" spans="1:23" s="2905" customFormat="1" ht="19.5" customHeight="1" x14ac:dyDescent="0.25">
      <c r="A7" s="3506"/>
      <c r="B7" s="3502" t="s">
        <v>3132</v>
      </c>
      <c r="C7" s="4376"/>
      <c r="D7" s="3159" t="s">
        <v>95</v>
      </c>
      <c r="E7" s="2747">
        <v>106202883</v>
      </c>
      <c r="F7" s="3508" t="s">
        <v>1303</v>
      </c>
      <c r="G7" s="2749" t="s">
        <v>1304</v>
      </c>
      <c r="H7" s="3152">
        <v>1</v>
      </c>
      <c r="I7" s="2731"/>
      <c r="J7" s="2452" t="s">
        <v>2850</v>
      </c>
      <c r="L7" s="2905">
        <v>24.8</v>
      </c>
      <c r="M7" s="2905">
        <v>29.449999999999996</v>
      </c>
      <c r="N7" s="2905">
        <v>23.56</v>
      </c>
      <c r="O7" s="2731">
        <v>1</v>
      </c>
      <c r="P7" s="3124">
        <f t="shared" si="0"/>
        <v>3</v>
      </c>
      <c r="Q7" s="679" t="s">
        <v>2947</v>
      </c>
      <c r="R7" s="1766" t="s">
        <v>2945</v>
      </c>
      <c r="S7" s="1768"/>
      <c r="T7" s="2201"/>
    </row>
    <row r="8" spans="1:23" s="2905" customFormat="1" ht="19.5" customHeight="1" x14ac:dyDescent="0.25">
      <c r="A8" s="3509"/>
      <c r="B8" s="3502" t="s">
        <v>3133</v>
      </c>
      <c r="C8" s="4376"/>
      <c r="D8" s="3159" t="s">
        <v>2851</v>
      </c>
      <c r="E8" s="2932">
        <v>106113580</v>
      </c>
      <c r="F8" s="3510" t="s">
        <v>1476</v>
      </c>
      <c r="G8" s="2965" t="s">
        <v>1477</v>
      </c>
      <c r="H8" s="3152">
        <v>1</v>
      </c>
      <c r="I8" s="2731"/>
      <c r="J8" s="2452" t="s">
        <v>2850</v>
      </c>
      <c r="L8" s="2905">
        <v>619.03157894736853</v>
      </c>
      <c r="M8" s="2905">
        <v>735.1</v>
      </c>
      <c r="N8" s="2905">
        <v>588.08000000000004</v>
      </c>
      <c r="O8" s="2731">
        <v>1</v>
      </c>
      <c r="P8" s="3124">
        <f t="shared" si="0"/>
        <v>3</v>
      </c>
      <c r="Q8" s="905" t="s">
        <v>2948</v>
      </c>
      <c r="R8" s="1766" t="s">
        <v>2946</v>
      </c>
      <c r="S8" s="1768"/>
      <c r="T8" s="2201"/>
    </row>
    <row r="9" spans="1:23" s="2905" customFormat="1" ht="19.5" customHeight="1" x14ac:dyDescent="0.2">
      <c r="A9" s="3511"/>
      <c r="C9" s="4376"/>
      <c r="D9" s="3512" t="s">
        <v>3109</v>
      </c>
      <c r="E9" s="2942">
        <v>106119150</v>
      </c>
      <c r="F9" s="3513" t="s">
        <v>3110</v>
      </c>
      <c r="G9" s="3514" t="s">
        <v>3110</v>
      </c>
      <c r="H9" s="3515">
        <v>1</v>
      </c>
      <c r="I9" s="2404"/>
      <c r="J9" s="2479" t="s">
        <v>2312</v>
      </c>
      <c r="L9" s="2905">
        <v>494.7</v>
      </c>
      <c r="M9" s="2905">
        <v>587.5</v>
      </c>
      <c r="N9" s="2905">
        <v>470</v>
      </c>
      <c r="O9" s="2404">
        <v>1</v>
      </c>
      <c r="P9" s="3124">
        <f t="shared" si="0"/>
        <v>3</v>
      </c>
      <c r="Q9" s="1768"/>
      <c r="R9" s="2201"/>
    </row>
    <row r="10" spans="1:23" s="2905" customFormat="1" ht="19.5" customHeight="1" thickBot="1" x14ac:dyDescent="0.25">
      <c r="C10" s="4376"/>
      <c r="D10" s="2992" t="s">
        <v>106</v>
      </c>
      <c r="E10" s="2941">
        <v>106200539</v>
      </c>
      <c r="F10" s="3516" t="s">
        <v>1230</v>
      </c>
      <c r="G10" s="2994" t="s">
        <v>1231</v>
      </c>
      <c r="H10" s="3161">
        <v>1</v>
      </c>
      <c r="I10" s="2453"/>
      <c r="J10" s="2595"/>
      <c r="L10" s="2905">
        <v>19.683333333333334</v>
      </c>
      <c r="M10" s="2905">
        <v>29.524999999999999</v>
      </c>
      <c r="N10" s="2905">
        <v>11.81</v>
      </c>
      <c r="O10" s="2453">
        <v>1</v>
      </c>
      <c r="P10" s="3124">
        <f t="shared" si="0"/>
        <v>3</v>
      </c>
      <c r="Q10" s="1768"/>
      <c r="R10" s="2201"/>
    </row>
    <row r="11" spans="1:23" s="3096" customFormat="1" ht="19.5" customHeight="1" x14ac:dyDescent="0.25">
      <c r="A11" s="3517"/>
      <c r="B11" s="2905"/>
      <c r="C11" s="4365"/>
      <c r="D11" s="4233" t="s">
        <v>2815</v>
      </c>
      <c r="E11" s="2718">
        <v>106205458</v>
      </c>
      <c r="F11" s="3518" t="s">
        <v>3033</v>
      </c>
      <c r="G11" s="1441" t="s">
        <v>3034</v>
      </c>
      <c r="H11" s="3190">
        <v>1</v>
      </c>
      <c r="I11" s="2836"/>
      <c r="J11" s="3151"/>
      <c r="L11" s="3191">
        <v>127.80000000000001</v>
      </c>
      <c r="M11" s="3191">
        <v>191.70000000000002</v>
      </c>
      <c r="N11" s="3191">
        <v>72.680000000000007</v>
      </c>
      <c r="O11" s="3192">
        <v>1</v>
      </c>
      <c r="P11" s="3193">
        <f t="shared" si="0"/>
        <v>3</v>
      </c>
      <c r="Q11" s="3099"/>
      <c r="R11" s="3100"/>
    </row>
    <row r="12" spans="1:23" s="2905" customFormat="1" ht="19.5" customHeight="1" thickBot="1" x14ac:dyDescent="0.3">
      <c r="A12" s="3517"/>
      <c r="C12" s="4365"/>
      <c r="D12" s="4234"/>
      <c r="E12" s="2946">
        <v>106204234</v>
      </c>
      <c r="F12" s="3519" t="s">
        <v>1608</v>
      </c>
      <c r="G12" s="2959" t="s">
        <v>1609</v>
      </c>
      <c r="H12" s="2946">
        <v>3</v>
      </c>
      <c r="I12" s="2453"/>
      <c r="J12" s="2595" t="s">
        <v>649</v>
      </c>
      <c r="L12" s="2905">
        <v>10.168421052631579</v>
      </c>
      <c r="M12" s="2905">
        <v>12.074999999999999</v>
      </c>
      <c r="N12" s="2905">
        <v>9.66</v>
      </c>
      <c r="O12" s="2453">
        <v>1</v>
      </c>
      <c r="P12" s="3193">
        <f t="shared" si="0"/>
        <v>9</v>
      </c>
      <c r="Q12" s="1768"/>
      <c r="R12" s="2201"/>
    </row>
    <row r="13" spans="1:23" s="2905" customFormat="1" ht="19.5" customHeight="1" thickBot="1" x14ac:dyDescent="0.3">
      <c r="A13" s="3520"/>
      <c r="C13" s="4365"/>
      <c r="D13" s="3500"/>
      <c r="E13" s="2944">
        <v>106203799</v>
      </c>
      <c r="F13" s="3521" t="s">
        <v>2957</v>
      </c>
      <c r="G13" s="2844" t="s">
        <v>2958</v>
      </c>
      <c r="H13" s="2972">
        <v>1</v>
      </c>
      <c r="I13" s="2381"/>
      <c r="J13" s="2912">
        <v>7</v>
      </c>
      <c r="L13" s="2905">
        <v>31.2</v>
      </c>
      <c r="M13" s="2905">
        <v>46.8</v>
      </c>
      <c r="N13" s="2905">
        <v>18.72</v>
      </c>
      <c r="O13" s="2381">
        <f>IF($O$2=$Q$5,1,0)</f>
        <v>1</v>
      </c>
      <c r="P13" s="3124">
        <f>IF($O$2=$Q$5,H13*$P$2+I13,0)</f>
        <v>3</v>
      </c>
      <c r="Q13" s="1768"/>
      <c r="R13" s="2201"/>
    </row>
    <row r="14" spans="1:23" s="2905" customFormat="1" ht="19.5" customHeight="1" x14ac:dyDescent="0.25">
      <c r="A14" s="3520"/>
      <c r="B14" s="3096"/>
      <c r="C14" s="4365"/>
      <c r="D14" s="3209" t="s">
        <v>208</v>
      </c>
      <c r="E14" s="2937">
        <v>106105422</v>
      </c>
      <c r="F14" s="3522" t="s">
        <v>1798</v>
      </c>
      <c r="G14" s="2958" t="s">
        <v>1799</v>
      </c>
      <c r="H14" s="2973">
        <v>3</v>
      </c>
      <c r="I14" s="2397"/>
      <c r="J14" s="2907"/>
      <c r="L14" s="2905">
        <v>1.1473684210526318</v>
      </c>
      <c r="M14" s="2905">
        <v>1.3625</v>
      </c>
      <c r="N14" s="2905">
        <v>1.0900000000000001</v>
      </c>
      <c r="O14" s="2397">
        <v>5</v>
      </c>
      <c r="P14" s="3124">
        <f>H14*$P$2+I14</f>
        <v>9</v>
      </c>
      <c r="Q14" s="1768"/>
      <c r="R14" s="2201"/>
    </row>
    <row r="15" spans="1:23" s="2905" customFormat="1" ht="19.5" customHeight="1" thickBot="1" x14ac:dyDescent="0.3">
      <c r="A15" s="3520"/>
      <c r="C15" s="4365"/>
      <c r="D15" s="3210" t="s">
        <v>2854</v>
      </c>
      <c r="E15" s="2985">
        <v>106112100</v>
      </c>
      <c r="F15" s="3523" t="s">
        <v>1353</v>
      </c>
      <c r="G15" s="2986" t="s">
        <v>1229</v>
      </c>
      <c r="H15" s="2987">
        <v>1</v>
      </c>
      <c r="I15" s="2947"/>
      <c r="J15" s="2931" t="s">
        <v>649</v>
      </c>
      <c r="L15" s="2905">
        <v>57.431578947368429</v>
      </c>
      <c r="M15" s="2905">
        <v>68.2</v>
      </c>
      <c r="N15" s="2905">
        <v>54.56</v>
      </c>
      <c r="O15" s="2947">
        <v>1</v>
      </c>
      <c r="P15" s="3124">
        <f>H15*$P$2+I15</f>
        <v>3</v>
      </c>
      <c r="Q15" s="1768"/>
      <c r="R15" s="2201"/>
    </row>
    <row r="16" spans="1:23" s="2905" customFormat="1" ht="19.5" customHeight="1" x14ac:dyDescent="0.25">
      <c r="A16" s="3520"/>
      <c r="C16" s="4365"/>
      <c r="D16" s="2936" t="s">
        <v>144</v>
      </c>
      <c r="E16" s="2937">
        <v>106112043</v>
      </c>
      <c r="F16" s="3524" t="s">
        <v>2950</v>
      </c>
      <c r="G16" s="2958" t="s">
        <v>2951</v>
      </c>
      <c r="H16" s="2940">
        <v>1</v>
      </c>
      <c r="I16" s="2397"/>
      <c r="J16" s="2398">
        <v>4</v>
      </c>
      <c r="K16" s="4381"/>
      <c r="L16" s="2905">
        <v>196.97894736842105</v>
      </c>
      <c r="M16" s="2905">
        <v>233.91249999999999</v>
      </c>
      <c r="N16" s="2905">
        <v>187.13</v>
      </c>
      <c r="O16" s="2397">
        <v>1</v>
      </c>
      <c r="P16" s="3124">
        <f>IF($P$2=4,6,IF($P$2=3,5,3))</f>
        <v>5</v>
      </c>
      <c r="Q16" s="1768"/>
      <c r="R16" s="2201"/>
    </row>
    <row r="17" spans="1:18" s="2905" customFormat="1" ht="19.5" customHeight="1" thickBot="1" x14ac:dyDescent="0.3">
      <c r="A17" s="3520"/>
      <c r="C17" s="4365"/>
      <c r="D17" s="3512" t="s">
        <v>83</v>
      </c>
      <c r="E17" s="2942">
        <v>106117762</v>
      </c>
      <c r="F17" s="3525" t="s">
        <v>2952</v>
      </c>
      <c r="G17" s="2986" t="s">
        <v>2953</v>
      </c>
      <c r="H17" s="2945">
        <v>1</v>
      </c>
      <c r="I17" s="2404"/>
      <c r="J17" s="2479">
        <v>5</v>
      </c>
      <c r="K17" s="4381"/>
      <c r="L17" s="2905">
        <v>5.9684210526315793</v>
      </c>
      <c r="M17" s="2905">
        <v>7.0874999999999995</v>
      </c>
      <c r="N17" s="2905">
        <v>5.67</v>
      </c>
      <c r="O17" s="2453">
        <v>1</v>
      </c>
      <c r="P17" s="3124">
        <f>$P$16</f>
        <v>5</v>
      </c>
      <c r="Q17" s="1768"/>
      <c r="R17" s="2201"/>
    </row>
    <row r="18" spans="1:18" s="2905" customFormat="1" ht="19.5" customHeight="1" thickBot="1" x14ac:dyDescent="0.25">
      <c r="A18" s="3526"/>
      <c r="C18" s="4376"/>
      <c r="D18" s="2995" t="s">
        <v>134</v>
      </c>
      <c r="E18" s="2996">
        <v>106113993</v>
      </c>
      <c r="F18" s="3527" t="s">
        <v>2315</v>
      </c>
      <c r="G18" s="2958" t="s">
        <v>2316</v>
      </c>
      <c r="H18" s="2937">
        <v>1</v>
      </c>
      <c r="I18" s="2397"/>
      <c r="J18" s="2398"/>
      <c r="L18" s="2905">
        <v>122.81</v>
      </c>
      <c r="M18" s="2905">
        <v>145.84</v>
      </c>
      <c r="N18" s="2905">
        <v>116.67</v>
      </c>
      <c r="O18" s="2397">
        <v>1</v>
      </c>
      <c r="P18" s="3124">
        <f>H18*$P$2+I18</f>
        <v>3</v>
      </c>
      <c r="Q18" s="1768"/>
      <c r="R18" s="2201"/>
    </row>
    <row r="19" spans="1:18" s="2905" customFormat="1" ht="19.5" customHeight="1" thickBot="1" x14ac:dyDescent="0.25">
      <c r="A19" s="3526"/>
      <c r="C19" s="4376"/>
      <c r="D19" s="3471" t="s">
        <v>134</v>
      </c>
      <c r="E19" s="3528">
        <v>106104397</v>
      </c>
      <c r="F19" s="3529" t="s">
        <v>1775</v>
      </c>
      <c r="G19" s="3530" t="s">
        <v>1776</v>
      </c>
      <c r="H19" s="2941">
        <v>1</v>
      </c>
      <c r="I19" s="2453"/>
      <c r="J19" s="2595"/>
      <c r="L19" s="2905">
        <v>97.863157894736844</v>
      </c>
      <c r="M19" s="2905">
        <v>116.21249999999999</v>
      </c>
      <c r="N19" s="2905">
        <v>76.180000000000007</v>
      </c>
      <c r="O19" s="2397">
        <v>1</v>
      </c>
      <c r="P19" s="3124">
        <f>H19*$P$2+I19</f>
        <v>3</v>
      </c>
      <c r="Q19" s="1768"/>
      <c r="R19" s="2201"/>
    </row>
    <row r="20" spans="1:18" s="2905" customFormat="1" ht="19.5" customHeight="1" x14ac:dyDescent="0.2">
      <c r="A20" s="3526"/>
      <c r="C20" s="4365"/>
      <c r="D20" s="3531" t="s">
        <v>2600</v>
      </c>
      <c r="E20" s="3532">
        <v>106123347</v>
      </c>
      <c r="F20" s="3533" t="s">
        <v>2816</v>
      </c>
      <c r="G20" s="2108" t="s">
        <v>2817</v>
      </c>
      <c r="H20" s="3469">
        <v>1</v>
      </c>
      <c r="I20" s="2473"/>
      <c r="J20" s="2474" t="s">
        <v>2312</v>
      </c>
      <c r="L20" s="2905">
        <v>8.15</v>
      </c>
      <c r="M20" s="2905">
        <v>9.68</v>
      </c>
      <c r="N20" s="2905">
        <v>7.74</v>
      </c>
      <c r="O20" s="2473">
        <v>1</v>
      </c>
      <c r="P20" s="3124">
        <f>H20*$P$2+I20</f>
        <v>3</v>
      </c>
      <c r="Q20" s="1768"/>
      <c r="R20" s="2201"/>
    </row>
    <row r="21" spans="1:18" s="2905" customFormat="1" ht="19.5" customHeight="1" x14ac:dyDescent="0.2">
      <c r="A21" s="3526"/>
      <c r="C21" s="4365"/>
      <c r="D21" s="3531" t="s">
        <v>2792</v>
      </c>
      <c r="E21" s="2934">
        <v>106122954</v>
      </c>
      <c r="F21" s="3534" t="s">
        <v>2773</v>
      </c>
      <c r="G21" s="2991" t="s">
        <v>2774</v>
      </c>
      <c r="H21" s="3469">
        <v>2</v>
      </c>
      <c r="I21" s="2473"/>
      <c r="J21" s="2474"/>
      <c r="L21" s="2905">
        <v>7.01</v>
      </c>
      <c r="M21" s="2905">
        <v>8.33</v>
      </c>
      <c r="N21" s="2905">
        <v>6.66</v>
      </c>
      <c r="O21" s="2473">
        <v>2</v>
      </c>
      <c r="P21" s="3124">
        <f>H21*$P$2+I21</f>
        <v>6</v>
      </c>
      <c r="Q21" s="1768"/>
      <c r="R21" s="2201"/>
    </row>
    <row r="22" spans="1:18" s="2905" customFormat="1" ht="19.5" customHeight="1" x14ac:dyDescent="0.2">
      <c r="A22" s="3526"/>
      <c r="C22" s="4365"/>
      <c r="D22" s="2998" t="s">
        <v>1070</v>
      </c>
      <c r="E22" s="3558">
        <v>106126857</v>
      </c>
      <c r="F22" s="3534" t="s">
        <v>1896</v>
      </c>
      <c r="G22" s="2108" t="s">
        <v>1511</v>
      </c>
      <c r="H22" s="2934">
        <v>2</v>
      </c>
      <c r="I22" s="2731"/>
      <c r="J22" s="2452" t="s">
        <v>649</v>
      </c>
      <c r="O22" s="2731">
        <v>5</v>
      </c>
      <c r="P22" s="3124">
        <f>H22*$P$2+I22</f>
        <v>6</v>
      </c>
      <c r="Q22" s="1768"/>
      <c r="R22" s="2201"/>
    </row>
    <row r="23" spans="1:18" s="2905" customFormat="1" ht="19.5" customHeight="1" thickBot="1" x14ac:dyDescent="0.25">
      <c r="A23" s="3526"/>
      <c r="C23" s="4366"/>
      <c r="D23" s="3009"/>
      <c r="E23" s="2945" t="s">
        <v>1500</v>
      </c>
      <c r="F23" s="3535" t="s">
        <v>1149</v>
      </c>
      <c r="G23" s="3804" t="s">
        <v>1149</v>
      </c>
      <c r="H23" s="2945">
        <v>1</v>
      </c>
      <c r="I23" s="2404"/>
      <c r="J23" s="2479">
        <v>8</v>
      </c>
      <c r="L23" s="2905">
        <v>224.36666666666667</v>
      </c>
      <c r="M23" s="2905">
        <v>336.55</v>
      </c>
      <c r="N23" s="2905">
        <v>134.62</v>
      </c>
      <c r="O23" s="2404">
        <f>IF($L$2=$Q$7,1,0)</f>
        <v>0</v>
      </c>
      <c r="P23" s="3124">
        <f>IF($L$2=$Q$7,H23*$P$2+I23,0)</f>
        <v>0</v>
      </c>
      <c r="Q23" s="1768"/>
      <c r="R23" s="2201"/>
    </row>
    <row r="24" spans="1:18" s="2905" customFormat="1" ht="19.5" customHeight="1" thickBot="1" x14ac:dyDescent="0.25">
      <c r="A24" s="3526"/>
      <c r="C24" s="4217" t="s">
        <v>2986</v>
      </c>
      <c r="D24" s="4322" t="s">
        <v>263</v>
      </c>
      <c r="E24" s="3214"/>
      <c r="F24" s="3536" t="s">
        <v>2982</v>
      </c>
      <c r="G24" s="3357" t="s">
        <v>2983</v>
      </c>
      <c r="H24" s="3107">
        <v>1</v>
      </c>
      <c r="I24" s="2461"/>
      <c r="J24" s="3108">
        <v>1</v>
      </c>
      <c r="L24" s="3096">
        <v>467.06432748538015</v>
      </c>
      <c r="M24" s="3096">
        <v>554.6388888888888</v>
      </c>
      <c r="N24" s="3096">
        <v>427.31111111111113</v>
      </c>
      <c r="O24" s="2461">
        <v>0</v>
      </c>
      <c r="P24" s="3124">
        <f t="shared" ref="P24:P33" si="1">H24*$P$2+I24</f>
        <v>3</v>
      </c>
      <c r="Q24" s="1768"/>
      <c r="R24" s="2201"/>
    </row>
    <row r="25" spans="1:18" s="2905" customFormat="1" ht="19.5" customHeight="1" x14ac:dyDescent="0.2">
      <c r="A25" s="3526"/>
      <c r="C25" s="4218"/>
      <c r="D25" s="4323"/>
      <c r="E25" s="2728">
        <v>106104180</v>
      </c>
      <c r="F25" s="3537" t="s">
        <v>1234</v>
      </c>
      <c r="G25" s="2960" t="s">
        <v>1235</v>
      </c>
      <c r="H25" s="3152">
        <v>1</v>
      </c>
      <c r="I25" s="2731"/>
      <c r="J25" s="2452"/>
      <c r="L25" s="2905">
        <v>382.97894736842107</v>
      </c>
      <c r="M25" s="2905">
        <v>454.78749999999997</v>
      </c>
      <c r="N25" s="2905">
        <v>349.17</v>
      </c>
      <c r="O25" s="2397">
        <v>1</v>
      </c>
      <c r="P25" s="3124">
        <f t="shared" si="1"/>
        <v>3</v>
      </c>
      <c r="Q25" s="1768"/>
      <c r="R25" s="2201"/>
    </row>
    <row r="26" spans="1:18" s="2905" customFormat="1" ht="19.5" customHeight="1" x14ac:dyDescent="0.2">
      <c r="C26" s="4218"/>
      <c r="D26" s="4323"/>
      <c r="E26" s="2728">
        <v>106104133</v>
      </c>
      <c r="F26" s="3537" t="s">
        <v>1236</v>
      </c>
      <c r="G26" s="2960" t="s">
        <v>1237</v>
      </c>
      <c r="H26" s="3152">
        <v>4</v>
      </c>
      <c r="I26" s="2731"/>
      <c r="J26" s="2452"/>
      <c r="L26" s="2905">
        <v>10</v>
      </c>
      <c r="M26" s="2905">
        <v>11.875</v>
      </c>
      <c r="N26" s="2905">
        <v>9.5</v>
      </c>
      <c r="O26" s="2731">
        <v>4</v>
      </c>
      <c r="P26" s="3124">
        <f t="shared" si="1"/>
        <v>12</v>
      </c>
      <c r="Q26" s="1768"/>
      <c r="R26" s="2201"/>
    </row>
    <row r="27" spans="1:18" s="2905" customFormat="1" ht="19.5" customHeight="1" x14ac:dyDescent="0.2">
      <c r="C27" s="4218"/>
      <c r="D27" s="4323"/>
      <c r="E27" s="2728">
        <v>106106241</v>
      </c>
      <c r="F27" s="3537" t="s">
        <v>1238</v>
      </c>
      <c r="G27" s="2960" t="s">
        <v>2573</v>
      </c>
      <c r="H27" s="2730">
        <v>2</v>
      </c>
      <c r="I27" s="2731"/>
      <c r="J27" s="2452"/>
      <c r="L27" s="2905">
        <v>4.7789473684210533</v>
      </c>
      <c r="M27" s="2905">
        <v>5.6749999999999998</v>
      </c>
      <c r="N27" s="2905">
        <v>4.54</v>
      </c>
      <c r="O27" s="2731">
        <v>1</v>
      </c>
      <c r="P27" s="3124">
        <f t="shared" si="1"/>
        <v>6</v>
      </c>
      <c r="Q27" s="1768"/>
      <c r="R27" s="2201"/>
    </row>
    <row r="28" spans="1:18" s="2905" customFormat="1" ht="19.5" customHeight="1" x14ac:dyDescent="0.2">
      <c r="C28" s="4218"/>
      <c r="D28" s="4323"/>
      <c r="E28" s="2728">
        <v>106104209</v>
      </c>
      <c r="F28" s="3537" t="s">
        <v>1239</v>
      </c>
      <c r="G28" s="2960" t="s">
        <v>1240</v>
      </c>
      <c r="H28" s="3152">
        <v>1</v>
      </c>
      <c r="I28" s="2731"/>
      <c r="J28" s="2452"/>
      <c r="L28" s="2905">
        <v>7.3789473684210529</v>
      </c>
      <c r="M28" s="2905">
        <v>8.7624999999999993</v>
      </c>
      <c r="N28" s="2905">
        <v>7.02</v>
      </c>
      <c r="O28" s="2731">
        <v>1</v>
      </c>
      <c r="P28" s="3124">
        <f t="shared" si="1"/>
        <v>3</v>
      </c>
      <c r="Q28" s="1768"/>
      <c r="R28" s="2201"/>
    </row>
    <row r="29" spans="1:18" s="2905" customFormat="1" ht="19.5" customHeight="1" x14ac:dyDescent="0.2">
      <c r="C29" s="4218"/>
      <c r="D29" s="4323"/>
      <c r="E29" s="2728">
        <v>106104212</v>
      </c>
      <c r="F29" s="3537" t="s">
        <v>1241</v>
      </c>
      <c r="G29" s="2960" t="s">
        <v>1242</v>
      </c>
      <c r="H29" s="3152">
        <v>1</v>
      </c>
      <c r="I29" s="2731"/>
      <c r="J29" s="2452"/>
      <c r="L29" s="2905">
        <v>15.221052631578949</v>
      </c>
      <c r="M29" s="2905">
        <v>18.074999999999999</v>
      </c>
      <c r="N29" s="2905">
        <v>14.35</v>
      </c>
      <c r="O29" s="2404">
        <v>1</v>
      </c>
      <c r="P29" s="3124">
        <f t="shared" si="1"/>
        <v>3</v>
      </c>
      <c r="Q29" s="1768"/>
      <c r="R29" s="2201"/>
    </row>
    <row r="30" spans="1:18" s="2905" customFormat="1" ht="19.5" customHeight="1" thickBot="1" x14ac:dyDescent="0.25">
      <c r="C30" s="4218"/>
      <c r="D30" s="4324"/>
      <c r="E30" s="2106">
        <v>106112169</v>
      </c>
      <c r="F30" s="3516" t="s">
        <v>1515</v>
      </c>
      <c r="G30" s="3538" t="s">
        <v>1516</v>
      </c>
      <c r="H30" s="2482">
        <v>2</v>
      </c>
      <c r="I30" s="2453"/>
      <c r="J30" s="2595"/>
      <c r="L30" s="2905">
        <v>42.084210526315786</v>
      </c>
      <c r="M30" s="2905">
        <v>49.974999999999994</v>
      </c>
      <c r="N30" s="2905">
        <v>39.96</v>
      </c>
      <c r="O30" s="2731">
        <v>2</v>
      </c>
      <c r="P30" s="3124">
        <f t="shared" si="1"/>
        <v>6</v>
      </c>
      <c r="Q30" s="1768"/>
      <c r="R30" s="2201"/>
    </row>
    <row r="31" spans="1:18" s="2905" customFormat="1" ht="19.5" customHeight="1" thickBot="1" x14ac:dyDescent="0.25">
      <c r="C31" s="4218"/>
      <c r="D31" s="3539" t="s">
        <v>263</v>
      </c>
      <c r="E31" s="3367">
        <v>106118981</v>
      </c>
      <c r="F31" s="3540" t="s">
        <v>3134</v>
      </c>
      <c r="G31" s="3541" t="s">
        <v>1654</v>
      </c>
      <c r="H31" s="3542">
        <v>1</v>
      </c>
      <c r="I31" s="2947"/>
      <c r="J31" s="2931"/>
      <c r="L31" s="2905">
        <v>191.96842105263158</v>
      </c>
      <c r="M31" s="2905">
        <v>227.96250000000001</v>
      </c>
      <c r="N31" s="2905">
        <v>152.69999999999999</v>
      </c>
      <c r="O31" s="2404">
        <v>1</v>
      </c>
      <c r="P31" s="3124">
        <f t="shared" si="1"/>
        <v>3</v>
      </c>
      <c r="Q31" s="1768"/>
    </row>
    <row r="32" spans="1:18" s="2905" customFormat="1" ht="19.5" customHeight="1" x14ac:dyDescent="0.2">
      <c r="C32" s="4214"/>
      <c r="D32" s="4530" t="s">
        <v>122</v>
      </c>
      <c r="E32" s="1463">
        <v>106105880</v>
      </c>
      <c r="F32" s="3543" t="s">
        <v>1243</v>
      </c>
      <c r="G32" s="1441" t="s">
        <v>1244</v>
      </c>
      <c r="H32" s="3158">
        <v>1</v>
      </c>
      <c r="I32" s="2397"/>
      <c r="J32" s="2398"/>
      <c r="L32" s="2905">
        <v>97.863157894736844</v>
      </c>
      <c r="M32" s="2905">
        <v>116.21249999999999</v>
      </c>
      <c r="N32" s="2905">
        <v>92.97</v>
      </c>
      <c r="O32" s="2404">
        <v>1</v>
      </c>
      <c r="P32" s="3124">
        <f t="shared" si="1"/>
        <v>3</v>
      </c>
      <c r="Q32" s="1768"/>
      <c r="R32" s="2201"/>
    </row>
    <row r="33" spans="3:18" s="2905" customFormat="1" ht="19.5" customHeight="1" thickBot="1" x14ac:dyDescent="0.25">
      <c r="C33" s="4215"/>
      <c r="D33" s="4531"/>
      <c r="E33" s="2941">
        <v>106114701</v>
      </c>
      <c r="F33" s="3544" t="s">
        <v>1243</v>
      </c>
      <c r="G33" s="3538" t="s">
        <v>1244</v>
      </c>
      <c r="H33" s="3161">
        <v>1</v>
      </c>
      <c r="I33" s="2453"/>
      <c r="J33" s="2595"/>
      <c r="L33" s="2905">
        <v>97.863157894736844</v>
      </c>
      <c r="M33" s="2905">
        <v>116.21249999999999</v>
      </c>
      <c r="N33" s="2905">
        <v>92.97</v>
      </c>
      <c r="O33" s="2453">
        <v>1</v>
      </c>
      <c r="P33" s="3124">
        <f t="shared" si="1"/>
        <v>3</v>
      </c>
      <c r="Q33" s="1768"/>
      <c r="R33" s="2201"/>
    </row>
    <row r="34" spans="3:18" s="2905" customFormat="1" ht="19.5" customHeight="1" thickBot="1" x14ac:dyDescent="0.25">
      <c r="C34" s="3494" t="s">
        <v>2987</v>
      </c>
      <c r="D34" s="3499" t="s">
        <v>71</v>
      </c>
      <c r="E34" s="3545">
        <v>106113624</v>
      </c>
      <c r="F34" s="3546" t="s">
        <v>1870</v>
      </c>
      <c r="G34" s="2844" t="s">
        <v>1871</v>
      </c>
      <c r="H34" s="2381">
        <v>1</v>
      </c>
      <c r="I34" s="2381"/>
      <c r="J34" s="2912" t="s">
        <v>2873</v>
      </c>
      <c r="L34" s="2905">
        <v>966.07368421052638</v>
      </c>
      <c r="M34" s="2905">
        <v>1147.2124999999999</v>
      </c>
      <c r="N34" s="2905">
        <v>917.77</v>
      </c>
      <c r="O34" s="2980">
        <f>IF($R$2=$Q$7,1,0)</f>
        <v>1</v>
      </c>
      <c r="P34" s="3124">
        <f>IF($R$2=$Q$7,H34*$P$2+I34,0)</f>
        <v>3</v>
      </c>
      <c r="Q34" s="1768"/>
      <c r="R34" s="2201"/>
    </row>
    <row r="35" spans="3:18" s="2905" customFormat="1" ht="19.5" customHeight="1" x14ac:dyDescent="0.25">
      <c r="C35" s="4364" t="s">
        <v>2988</v>
      </c>
      <c r="D35" s="3211" t="s">
        <v>138</v>
      </c>
      <c r="E35" s="2947">
        <v>106205336</v>
      </c>
      <c r="F35" s="3547" t="s">
        <v>1985</v>
      </c>
      <c r="G35" s="2964" t="s">
        <v>1468</v>
      </c>
      <c r="H35" s="2968"/>
      <c r="I35" s="2397">
        <v>1</v>
      </c>
      <c r="J35" s="2907" t="s">
        <v>2861</v>
      </c>
      <c r="L35" s="2905">
        <v>14.59</v>
      </c>
      <c r="M35" s="2905">
        <v>12.28</v>
      </c>
      <c r="N35" s="2905">
        <v>11.67</v>
      </c>
      <c r="O35" s="2397">
        <v>1</v>
      </c>
      <c r="P35" s="3124">
        <f t="shared" ref="P35:P41" si="2">H35*$P$2+I35</f>
        <v>1</v>
      </c>
    </row>
    <row r="36" spans="3:18" s="2905" customFormat="1" ht="19.5" customHeight="1" x14ac:dyDescent="0.25">
      <c r="C36" s="4365"/>
      <c r="D36" s="3212" t="s">
        <v>196</v>
      </c>
      <c r="E36" s="2932">
        <v>106201346</v>
      </c>
      <c r="F36" s="3548" t="s">
        <v>1525</v>
      </c>
      <c r="G36" s="2965" t="s">
        <v>1526</v>
      </c>
      <c r="H36" s="2978"/>
      <c r="I36" s="2731">
        <v>1</v>
      </c>
      <c r="J36" s="2909"/>
      <c r="L36" s="2905">
        <v>52.266666666666666</v>
      </c>
      <c r="M36" s="2905">
        <v>78.399999999999991</v>
      </c>
      <c r="N36" s="2905">
        <v>31.36</v>
      </c>
      <c r="O36" s="2731">
        <v>1</v>
      </c>
      <c r="P36" s="3124">
        <f t="shared" si="2"/>
        <v>1</v>
      </c>
    </row>
    <row r="37" spans="3:18" s="2905" customFormat="1" ht="19.5" customHeight="1" x14ac:dyDescent="0.25">
      <c r="C37" s="4365"/>
      <c r="D37" s="3212" t="s">
        <v>204</v>
      </c>
      <c r="E37" s="2932">
        <v>106110898</v>
      </c>
      <c r="F37" s="3548" t="s">
        <v>1836</v>
      </c>
      <c r="G37" s="2933" t="s">
        <v>575</v>
      </c>
      <c r="H37" s="2978">
        <v>1</v>
      </c>
      <c r="I37" s="2731"/>
      <c r="J37" s="2909"/>
      <c r="L37" s="2905">
        <v>16.362499999999997</v>
      </c>
      <c r="M37" s="2905">
        <v>21.816666666666666</v>
      </c>
      <c r="N37" s="2905">
        <v>13.09</v>
      </c>
      <c r="O37" s="2731">
        <v>1</v>
      </c>
      <c r="P37" s="3124">
        <f t="shared" si="2"/>
        <v>3</v>
      </c>
    </row>
    <row r="38" spans="3:18" s="2905" customFormat="1" ht="19.5" customHeight="1" x14ac:dyDescent="0.25">
      <c r="C38" s="4365"/>
      <c r="D38" s="3212" t="s">
        <v>206</v>
      </c>
      <c r="E38" s="2942">
        <v>106201807</v>
      </c>
      <c r="F38" s="3549" t="s">
        <v>1951</v>
      </c>
      <c r="G38" s="2935" t="s">
        <v>576</v>
      </c>
      <c r="H38" s="2978"/>
      <c r="I38" s="2731">
        <v>1</v>
      </c>
      <c r="J38" s="2909"/>
      <c r="L38" s="2905">
        <v>101.95</v>
      </c>
      <c r="M38" s="2905">
        <v>152.92499999999998</v>
      </c>
      <c r="N38" s="2905">
        <v>67.52</v>
      </c>
      <c r="O38" s="2731">
        <v>1</v>
      </c>
      <c r="P38" s="3124">
        <f t="shared" si="2"/>
        <v>1</v>
      </c>
    </row>
    <row r="39" spans="3:18" s="2905" customFormat="1" ht="19.5" customHeight="1" thickBot="1" x14ac:dyDescent="0.3">
      <c r="C39" s="4365"/>
      <c r="D39" s="3212" t="s">
        <v>460</v>
      </c>
      <c r="E39" s="2942">
        <v>106202476</v>
      </c>
      <c r="F39" s="3550" t="s">
        <v>1953</v>
      </c>
      <c r="G39" s="2966" t="s">
        <v>1954</v>
      </c>
      <c r="H39" s="2978"/>
      <c r="I39" s="2731">
        <v>1</v>
      </c>
      <c r="J39" s="2909"/>
      <c r="L39" s="2905">
        <v>16.974999999999998</v>
      </c>
      <c r="M39" s="2905">
        <v>22.633333333333333</v>
      </c>
      <c r="N39" s="2905">
        <v>13.58</v>
      </c>
      <c r="O39" s="2731">
        <v>1</v>
      </c>
      <c r="P39" s="3124">
        <f t="shared" si="2"/>
        <v>1</v>
      </c>
    </row>
    <row r="40" spans="3:18" s="2905" customFormat="1" ht="19.5" customHeight="1" x14ac:dyDescent="0.25">
      <c r="C40" s="4229" t="s">
        <v>2989</v>
      </c>
      <c r="D40" s="2921"/>
      <c r="E40" s="3214">
        <v>106112878</v>
      </c>
      <c r="F40" s="3551" t="s">
        <v>1558</v>
      </c>
      <c r="G40" s="2939" t="s">
        <v>1559</v>
      </c>
      <c r="H40" s="2973">
        <v>5</v>
      </c>
      <c r="I40" s="2397"/>
      <c r="J40" s="2907"/>
      <c r="L40" s="2905">
        <v>1.1263157894736844</v>
      </c>
      <c r="M40" s="2905">
        <v>1.3374999999999999</v>
      </c>
      <c r="N40" s="2905">
        <v>1.07</v>
      </c>
      <c r="O40" s="2397">
        <v>5</v>
      </c>
      <c r="P40" s="3124">
        <f t="shared" si="2"/>
        <v>15</v>
      </c>
    </row>
    <row r="41" spans="3:18" s="2905" customFormat="1" ht="19.5" customHeight="1" thickBot="1" x14ac:dyDescent="0.3">
      <c r="C41" s="4231"/>
      <c r="D41" s="3210"/>
      <c r="E41" s="2945">
        <v>106107580</v>
      </c>
      <c r="F41" s="3552" t="s">
        <v>1277</v>
      </c>
      <c r="G41" s="3259" t="s">
        <v>1278</v>
      </c>
      <c r="H41" s="3260">
        <v>3</v>
      </c>
      <c r="I41" s="2404"/>
      <c r="J41" s="3207"/>
      <c r="L41" s="2905">
        <v>0.72631578947368414</v>
      </c>
      <c r="M41" s="2905">
        <v>0.86249999999999993</v>
      </c>
      <c r="N41" s="2905">
        <v>0.69</v>
      </c>
      <c r="O41" s="2453">
        <v>3</v>
      </c>
      <c r="P41" s="3124">
        <f t="shared" si="2"/>
        <v>9</v>
      </c>
    </row>
    <row r="42" spans="3:18" s="2905" customFormat="1" ht="19.5" customHeight="1" x14ac:dyDescent="0.25">
      <c r="C42" s="3498"/>
      <c r="D42" s="3263" t="s">
        <v>1126</v>
      </c>
      <c r="E42" s="2934">
        <v>106204518</v>
      </c>
      <c r="F42" s="3510" t="s">
        <v>2780</v>
      </c>
      <c r="G42" s="2991" t="s">
        <v>3746</v>
      </c>
      <c r="H42" s="2934">
        <v>1</v>
      </c>
      <c r="I42" s="2731"/>
      <c r="J42" s="2452">
        <v>3.7</v>
      </c>
      <c r="L42" s="2905">
        <v>5412.15</v>
      </c>
      <c r="M42" s="2905">
        <v>9495.01</v>
      </c>
      <c r="N42" s="2905">
        <v>2232.23</v>
      </c>
      <c r="O42" s="2731">
        <f>IF(AND($M$2=$R$8,$O$2=$Q$5),1,0)</f>
        <v>0</v>
      </c>
      <c r="P42" s="3124">
        <f>$P$2*O42</f>
        <v>0</v>
      </c>
    </row>
    <row r="43" spans="3:18" s="1580" customFormat="1" ht="19.5" customHeight="1" x14ac:dyDescent="0.2">
      <c r="G43" s="2923"/>
      <c r="I43" s="2546"/>
      <c r="J43" s="2546"/>
    </row>
    <row r="44" spans="3:18" s="1580" customFormat="1" ht="19.5" customHeight="1" thickBot="1" x14ac:dyDescent="0.25">
      <c r="C44" s="2924" t="s">
        <v>2991</v>
      </c>
      <c r="D44" s="2924"/>
      <c r="E44" s="2924"/>
      <c r="G44" s="2925"/>
      <c r="H44" s="2924"/>
      <c r="I44" s="2926"/>
      <c r="J44" s="2924"/>
    </row>
    <row r="45" spans="3:18" s="2927" customFormat="1" ht="19.5" customHeight="1" x14ac:dyDescent="0.2">
      <c r="C45" s="4378" t="s">
        <v>2862</v>
      </c>
      <c r="D45" s="4379"/>
      <c r="E45" s="4379"/>
      <c r="F45" s="4379"/>
      <c r="G45" s="4379"/>
      <c r="H45" s="4379"/>
      <c r="I45" s="4379"/>
      <c r="J45" s="4380"/>
    </row>
    <row r="46" spans="3:18" s="2927" customFormat="1" ht="25.5" customHeight="1" x14ac:dyDescent="0.2">
      <c r="C46" s="4326" t="s">
        <v>2863</v>
      </c>
      <c r="D46" s="4327"/>
      <c r="E46" s="4327"/>
      <c r="F46" s="4327"/>
      <c r="G46" s="4327"/>
      <c r="H46" s="4327"/>
      <c r="I46" s="4327"/>
      <c r="J46" s="4328"/>
    </row>
    <row r="47" spans="3:18" s="2927" customFormat="1" ht="19.5" customHeight="1" x14ac:dyDescent="0.2">
      <c r="C47" s="4326" t="s">
        <v>2864</v>
      </c>
      <c r="D47" s="4327"/>
      <c r="E47" s="4327"/>
      <c r="F47" s="4327"/>
      <c r="G47" s="4327"/>
      <c r="H47" s="4327"/>
      <c r="I47" s="4327"/>
      <c r="J47" s="4328"/>
    </row>
    <row r="48" spans="3:18" s="2927" customFormat="1" ht="24" customHeight="1" x14ac:dyDescent="0.2">
      <c r="C48" s="4326" t="s">
        <v>2865</v>
      </c>
      <c r="D48" s="4327"/>
      <c r="E48" s="4327"/>
      <c r="F48" s="4327"/>
      <c r="G48" s="4327"/>
      <c r="H48" s="4327"/>
      <c r="I48" s="4327"/>
      <c r="J48" s="4328"/>
    </row>
    <row r="49" spans="1:17" s="2927" customFormat="1" ht="19.5" customHeight="1" x14ac:dyDescent="0.2">
      <c r="C49" s="4326" t="s">
        <v>2866</v>
      </c>
      <c r="D49" s="4327"/>
      <c r="E49" s="4327"/>
      <c r="F49" s="4327"/>
      <c r="G49" s="4327"/>
      <c r="H49" s="4327"/>
      <c r="I49" s="4327"/>
      <c r="J49" s="4328"/>
    </row>
    <row r="50" spans="1:17" s="2927" customFormat="1" ht="19.5" customHeight="1" x14ac:dyDescent="0.2">
      <c r="C50" s="4326" t="s">
        <v>2870</v>
      </c>
      <c r="D50" s="4327"/>
      <c r="E50" s="4327"/>
      <c r="F50" s="4327"/>
      <c r="G50" s="4327"/>
      <c r="H50" s="4327"/>
      <c r="I50" s="4327"/>
      <c r="J50" s="4328"/>
    </row>
    <row r="51" spans="1:17" s="2927" customFormat="1" ht="19.5" customHeight="1" x14ac:dyDescent="0.2">
      <c r="C51" s="4326" t="s">
        <v>2871</v>
      </c>
      <c r="D51" s="4327"/>
      <c r="E51" s="4327"/>
      <c r="F51" s="4327"/>
      <c r="G51" s="4327"/>
      <c r="H51" s="4327"/>
      <c r="I51" s="4327"/>
      <c r="J51" s="4328"/>
    </row>
    <row r="52" spans="1:17" s="2927" customFormat="1" ht="19.5" customHeight="1" x14ac:dyDescent="0.2">
      <c r="C52" s="4326" t="s">
        <v>2869</v>
      </c>
      <c r="D52" s="4327"/>
      <c r="E52" s="4327"/>
      <c r="F52" s="4327"/>
      <c r="G52" s="4327"/>
      <c r="H52" s="4327"/>
      <c r="I52" s="4327"/>
      <c r="J52" s="4328"/>
    </row>
    <row r="53" spans="1:17" s="2927" customFormat="1" ht="19.5" customHeight="1" x14ac:dyDescent="0.2">
      <c r="C53" s="4326" t="s">
        <v>2872</v>
      </c>
      <c r="D53" s="4327"/>
      <c r="E53" s="4327"/>
      <c r="F53" s="4327"/>
      <c r="G53" s="4327"/>
      <c r="H53" s="4327"/>
      <c r="I53" s="4327"/>
      <c r="J53" s="4328"/>
    </row>
    <row r="54" spans="1:17" s="2927" customFormat="1" ht="19.5" customHeight="1" x14ac:dyDescent="0.2">
      <c r="C54" s="4326" t="s">
        <v>2867</v>
      </c>
      <c r="D54" s="4327"/>
      <c r="E54" s="4327"/>
      <c r="F54" s="4327"/>
      <c r="G54" s="4327"/>
      <c r="H54" s="4327"/>
      <c r="I54" s="4327"/>
      <c r="J54" s="4328"/>
    </row>
    <row r="55" spans="1:17" s="2927" customFormat="1" ht="33" customHeight="1" thickBot="1" x14ac:dyDescent="0.25">
      <c r="C55" s="4358" t="s">
        <v>2868</v>
      </c>
      <c r="D55" s="4359"/>
      <c r="E55" s="4359"/>
      <c r="F55" s="4359"/>
      <c r="G55" s="4359"/>
      <c r="H55" s="4359"/>
      <c r="I55" s="4359"/>
      <c r="J55" s="4360"/>
    </row>
    <row r="56" spans="1:17" s="2927" customFormat="1" ht="19.5" customHeight="1" x14ac:dyDescent="0.2">
      <c r="A56" s="3497"/>
      <c r="B56" s="3497"/>
      <c r="C56" s="3497"/>
      <c r="D56" s="3497"/>
      <c r="E56" s="3497"/>
      <c r="F56" s="3497"/>
      <c r="G56" s="3497"/>
      <c r="H56" s="3497"/>
    </row>
    <row r="57" spans="1:17" x14ac:dyDescent="0.25">
      <c r="B57" s="75" t="s">
        <v>650</v>
      </c>
    </row>
    <row r="60" spans="1:17" x14ac:dyDescent="0.25">
      <c r="G60" s="411"/>
      <c r="P60" s="1383"/>
      <c r="Q60" s="2633"/>
    </row>
    <row r="61" spans="1:17" x14ac:dyDescent="0.25">
      <c r="F61" s="1383"/>
      <c r="G61" s="411"/>
      <c r="P61" s="1383"/>
      <c r="Q61" s="2633"/>
    </row>
  </sheetData>
  <mergeCells count="21">
    <mergeCell ref="C55:J55"/>
    <mergeCell ref="C49:J49"/>
    <mergeCell ref="C50:J50"/>
    <mergeCell ref="C51:J51"/>
    <mergeCell ref="C52:J52"/>
    <mergeCell ref="C53:J53"/>
    <mergeCell ref="C54:J54"/>
    <mergeCell ref="C2:J2"/>
    <mergeCell ref="F3:G3"/>
    <mergeCell ref="C4:C23"/>
    <mergeCell ref="D11:D12"/>
    <mergeCell ref="C35:C39"/>
    <mergeCell ref="K16:K17"/>
    <mergeCell ref="C24:C33"/>
    <mergeCell ref="D24:D30"/>
    <mergeCell ref="D32:D33"/>
    <mergeCell ref="C48:J48"/>
    <mergeCell ref="C40:C41"/>
    <mergeCell ref="C45:J45"/>
    <mergeCell ref="C46:J46"/>
    <mergeCell ref="C47:J47"/>
  </mergeCells>
  <dataValidations count="4">
    <dataValidation type="list" allowBlank="1" showInputMessage="1" showErrorMessage="1" sqref="M2">
      <formula1>$R$4:$R$8</formula1>
    </dataValidation>
    <dataValidation type="list" allowBlank="1" showInputMessage="1" showErrorMessage="1" sqref="O2">
      <formula1>$Q$4:$Q$5</formula1>
    </dataValidation>
    <dataValidation type="list" allowBlank="1" showInputMessage="1" showErrorMessage="1" sqref="R2 L2">
      <formula1>$Q$7:$Q$8</formula1>
    </dataValidation>
    <dataValidation type="whole" allowBlank="1" showInputMessage="1" showErrorMessage="1" promptTitle="Nº de módulos" prompt="Introduzca un valor entre 2 y 4" sqref="P2">
      <formula1>2</formula1>
      <formula2>4</formula2>
    </dataValidation>
  </dataValidations>
  <pageMargins left="0.70866141732283472" right="0.70866141732283472" top="0.74803149606299213" bottom="0.74803149606299213" header="0.31496062992125984" footer="0.31496062992125984"/>
  <pageSetup paperSize="9" scale="27" orientation="portrait" horizontalDpi="96" verticalDpi="96" r:id="rId1"/>
  <ignoredErrors>
    <ignoredError sqref="P23 P34" formula="1"/>
  </ignoredErrors>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topLeftCell="A18" workbookViewId="0">
      <selection activeCell="B51" sqref="B51"/>
    </sheetView>
  </sheetViews>
  <sheetFormatPr baseColWidth="10" defaultRowHeight="15" x14ac:dyDescent="0.25"/>
  <cols>
    <col min="1" max="1" width="11.42578125" style="1383"/>
    <col min="3" max="3" width="40.85546875" bestFit="1" customWidth="1"/>
    <col min="4" max="4" width="8.7109375" style="2633" customWidth="1"/>
    <col min="5" max="5" width="14" style="2633" customWidth="1"/>
    <col min="6" max="6" width="15.85546875" customWidth="1"/>
    <col min="7" max="7" width="14.7109375" customWidth="1"/>
    <col min="8" max="8" width="17" customWidth="1"/>
    <col min="10" max="10" width="7.85546875" customWidth="1"/>
    <col min="12" max="13" width="14.140625" customWidth="1"/>
  </cols>
  <sheetData>
    <row r="1" spans="1:14" s="3218" customFormat="1" ht="30" customHeight="1" x14ac:dyDescent="0.25">
      <c r="A1" s="3334"/>
      <c r="B1" s="3335" t="s">
        <v>936</v>
      </c>
      <c r="C1" s="3336" t="s">
        <v>1</v>
      </c>
      <c r="D1" s="3337" t="s">
        <v>3041</v>
      </c>
      <c r="E1" s="3338" t="s">
        <v>3794</v>
      </c>
      <c r="F1" s="3338" t="s">
        <v>3315</v>
      </c>
      <c r="G1" s="3339" t="s">
        <v>1676</v>
      </c>
      <c r="H1" s="3339" t="s">
        <v>1677</v>
      </c>
      <c r="I1" s="3340" t="s">
        <v>2606</v>
      </c>
      <c r="J1" s="3334" t="s">
        <v>1678</v>
      </c>
      <c r="K1" s="3334" t="s">
        <v>2605</v>
      </c>
      <c r="L1" s="3341" t="s">
        <v>252</v>
      </c>
      <c r="M1" s="3342" t="s">
        <v>265</v>
      </c>
      <c r="N1" s="3334" t="s">
        <v>3042</v>
      </c>
    </row>
    <row r="2" spans="1:14" s="144" customFormat="1" x14ac:dyDescent="0.25">
      <c r="A2" s="74" t="s">
        <v>4</v>
      </c>
      <c r="B2" s="3312">
        <v>106200866</v>
      </c>
      <c r="C2" s="3343" t="s">
        <v>504</v>
      </c>
      <c r="D2" s="74">
        <v>11</v>
      </c>
      <c r="E2" s="2505">
        <f>'Lista global'!I195</f>
        <v>749.33333333333326</v>
      </c>
      <c r="F2" s="1281">
        <f>'Lista global'!J195</f>
        <v>752.8</v>
      </c>
      <c r="G2" s="3313"/>
      <c r="H2" s="3314">
        <v>742.94</v>
      </c>
      <c r="I2" s="3315">
        <v>742.94</v>
      </c>
      <c r="K2" s="3331">
        <f t="shared" ref="K2:K17" si="0">(E2-F2)/F2</f>
        <v>-4.6050301098122968E-3</v>
      </c>
      <c r="L2" s="3313">
        <v>1857.3500000000001</v>
      </c>
      <c r="M2" s="3313">
        <v>1238.2333333333336</v>
      </c>
      <c r="N2" s="2702">
        <f t="shared" ref="N2:N17" si="1">L2/D2</f>
        <v>168.85000000000002</v>
      </c>
    </row>
    <row r="3" spans="1:14" s="2689" customFormat="1" x14ac:dyDescent="0.25">
      <c r="A3" s="3316" t="s">
        <v>7</v>
      </c>
      <c r="B3" s="3317">
        <v>106200865</v>
      </c>
      <c r="C3" s="3344" t="s">
        <v>505</v>
      </c>
      <c r="D3" s="3316"/>
      <c r="E3" s="2505">
        <f>'Lista global'!I194</f>
        <v>749.33333333333326</v>
      </c>
      <c r="F3" s="1281">
        <f>'Lista global'!J194</f>
        <v>752.8</v>
      </c>
      <c r="G3" s="3318"/>
      <c r="H3" s="3319">
        <v>742.94</v>
      </c>
      <c r="I3" s="3315">
        <v>742.94</v>
      </c>
      <c r="K3" s="3331">
        <f t="shared" si="0"/>
        <v>-4.6050301098122968E-3</v>
      </c>
      <c r="L3" s="3318">
        <v>2063.7222222222199</v>
      </c>
      <c r="M3" s="3318">
        <v>1375.8148148148152</v>
      </c>
      <c r="N3" s="2702"/>
    </row>
    <row r="4" spans="1:14" s="144" customFormat="1" x14ac:dyDescent="0.25">
      <c r="A4" s="74" t="s">
        <v>10</v>
      </c>
      <c r="B4" s="3312">
        <v>106200867</v>
      </c>
      <c r="C4" s="3343" t="s">
        <v>506</v>
      </c>
      <c r="D4" s="74">
        <v>13</v>
      </c>
      <c r="E4" s="2505">
        <f>'Lista global'!I196</f>
        <v>749.33333333333326</v>
      </c>
      <c r="F4" s="1281">
        <f>'Lista global'!J196</f>
        <v>752.8</v>
      </c>
      <c r="G4" s="3313"/>
      <c r="H4" s="3314">
        <v>742.94</v>
      </c>
      <c r="I4" s="3315">
        <v>742.94</v>
      </c>
      <c r="K4" s="3331">
        <f t="shared" si="0"/>
        <v>-4.6050301098122968E-3</v>
      </c>
      <c r="L4" s="3313">
        <v>2293.0246913580249</v>
      </c>
      <c r="M4" s="3313">
        <v>1528.6831275720167</v>
      </c>
      <c r="N4" s="2702">
        <f t="shared" si="1"/>
        <v>176.38651471984807</v>
      </c>
    </row>
    <row r="5" spans="1:14" s="144" customFormat="1" x14ac:dyDescent="0.25">
      <c r="A5" s="3320" t="s">
        <v>30</v>
      </c>
      <c r="B5" s="3312">
        <v>106202562</v>
      </c>
      <c r="C5" s="3343" t="s">
        <v>507</v>
      </c>
      <c r="D5" s="74">
        <v>16</v>
      </c>
      <c r="E5" s="2505">
        <f>'Lista global'!I206</f>
        <v>749.33333333333326</v>
      </c>
      <c r="F5" s="1281">
        <f>'Lista global'!J206</f>
        <v>752.8</v>
      </c>
      <c r="G5" s="3313"/>
      <c r="H5" s="3314">
        <v>742.94</v>
      </c>
      <c r="I5" s="3315">
        <v>742.94</v>
      </c>
      <c r="K5" s="3331">
        <f t="shared" si="0"/>
        <v>-4.6050301098122968E-3</v>
      </c>
      <c r="L5" s="3313">
        <v>2476.4666666666672</v>
      </c>
      <c r="M5" s="3313">
        <v>1650.9777777777783</v>
      </c>
      <c r="N5" s="2702">
        <f t="shared" si="1"/>
        <v>154.7791666666667</v>
      </c>
    </row>
    <row r="6" spans="1:14" s="144" customFormat="1" x14ac:dyDescent="0.25">
      <c r="A6" s="3320" t="s">
        <v>258</v>
      </c>
      <c r="B6" s="3312">
        <v>106202650</v>
      </c>
      <c r="C6" s="183" t="s">
        <v>508</v>
      </c>
      <c r="D6" s="74">
        <v>22</v>
      </c>
      <c r="E6" s="2505">
        <f>'Lista global'!I209</f>
        <v>1093.6111111111111</v>
      </c>
      <c r="F6" s="1281">
        <f>'Lista global'!J209</f>
        <v>1097.23</v>
      </c>
      <c r="G6" s="3313"/>
      <c r="H6" s="3321">
        <v>1222.32</v>
      </c>
      <c r="I6" s="3322">
        <v>1222.32</v>
      </c>
      <c r="K6" s="3331">
        <f t="shared" si="0"/>
        <v>-3.2982044684240607E-3</v>
      </c>
      <c r="L6" s="3313">
        <v>3055.7999999999997</v>
      </c>
      <c r="M6" s="3313">
        <v>2037.2</v>
      </c>
      <c r="N6" s="2702">
        <f t="shared" si="1"/>
        <v>138.89999999999998</v>
      </c>
    </row>
    <row r="7" spans="1:14" s="144" customFormat="1" x14ac:dyDescent="0.25">
      <c r="A7" s="40" t="s">
        <v>509</v>
      </c>
      <c r="B7" s="3312">
        <v>106203424</v>
      </c>
      <c r="C7" s="183" t="s">
        <v>510</v>
      </c>
      <c r="D7" s="74">
        <v>22</v>
      </c>
      <c r="E7" s="2505">
        <f>'Lista global'!I227</f>
        <v>1161.911111111111</v>
      </c>
      <c r="F7" s="1281">
        <f>'Lista global'!J227</f>
        <v>1166.82</v>
      </c>
      <c r="G7" s="3313"/>
      <c r="H7" s="3321">
        <v>1158.6199999999999</v>
      </c>
      <c r="I7" s="3322">
        <v>1158.6199999999999</v>
      </c>
      <c r="K7" s="3331">
        <f t="shared" si="0"/>
        <v>-4.2070661189291371E-3</v>
      </c>
      <c r="L7" s="3313">
        <v>3055.7999999999997</v>
      </c>
      <c r="M7" s="3313"/>
      <c r="N7" s="2702">
        <f t="shared" si="1"/>
        <v>138.89999999999998</v>
      </c>
    </row>
    <row r="8" spans="1:14" s="144" customFormat="1" x14ac:dyDescent="0.25">
      <c r="A8" s="40" t="s">
        <v>47</v>
      </c>
      <c r="B8" s="3312">
        <v>106200859</v>
      </c>
      <c r="C8" s="183" t="s">
        <v>511</v>
      </c>
      <c r="D8" s="3324">
        <v>27.5</v>
      </c>
      <c r="E8" s="2505">
        <f>'Lista global'!I192</f>
        <v>1161.911111111111</v>
      </c>
      <c r="F8" s="1281">
        <f>'Lista global'!J192</f>
        <v>1166.82</v>
      </c>
      <c r="G8" s="3313"/>
      <c r="H8" s="3321">
        <v>1158.6199999999999</v>
      </c>
      <c r="I8" s="3322">
        <v>1158.6199999999999</v>
      </c>
      <c r="K8" s="3331">
        <f t="shared" si="0"/>
        <v>-4.2070661189291371E-3</v>
      </c>
      <c r="L8" s="3313">
        <v>3304</v>
      </c>
      <c r="M8" s="3313"/>
      <c r="N8" s="2702">
        <f t="shared" si="1"/>
        <v>120.14545454545454</v>
      </c>
    </row>
    <row r="9" spans="1:14" s="144" customFormat="1" x14ac:dyDescent="0.25">
      <c r="A9" s="40" t="s">
        <v>266</v>
      </c>
      <c r="B9" s="3312">
        <v>106201685</v>
      </c>
      <c r="C9" s="183" t="s">
        <v>512</v>
      </c>
      <c r="D9" s="3324">
        <v>27.5</v>
      </c>
      <c r="E9" s="2505">
        <f>'Lista global'!I202</f>
        <v>1093.6111111111111</v>
      </c>
      <c r="F9" s="1281">
        <f>'Lista global'!J202</f>
        <v>1097.23</v>
      </c>
      <c r="G9" s="3313"/>
      <c r="H9" s="3321">
        <v>1222.32</v>
      </c>
      <c r="I9" s="3322">
        <v>1222.32</v>
      </c>
      <c r="K9" s="3331">
        <f t="shared" si="0"/>
        <v>-3.2982044684240607E-3</v>
      </c>
      <c r="L9" s="3313">
        <v>3304</v>
      </c>
      <c r="M9" s="3318">
        <v>2202.3783761760001</v>
      </c>
      <c r="N9" s="2702">
        <f t="shared" si="1"/>
        <v>120.14545454545454</v>
      </c>
    </row>
    <row r="10" spans="1:14" s="1115" customFormat="1" x14ac:dyDescent="0.25">
      <c r="A10" s="3792" t="s">
        <v>3731</v>
      </c>
      <c r="B10" s="3312">
        <v>106202555</v>
      </c>
      <c r="C10" s="3793" t="s">
        <v>3733</v>
      </c>
      <c r="D10" s="3794"/>
      <c r="E10" s="3795">
        <v>1224.4000000000001</v>
      </c>
      <c r="F10" s="2356"/>
      <c r="G10" s="3313"/>
      <c r="H10" s="3321"/>
      <c r="I10" s="3321"/>
      <c r="K10" s="3331"/>
      <c r="L10" s="3313">
        <f>L9</f>
        <v>3304</v>
      </c>
      <c r="M10" s="3313">
        <f>M9</f>
        <v>2202.3783761760001</v>
      </c>
      <c r="N10" s="3796" t="e">
        <f t="shared" si="1"/>
        <v>#DIV/0!</v>
      </c>
    </row>
    <row r="11" spans="1:14" s="1115" customFormat="1" x14ac:dyDescent="0.25">
      <c r="A11" s="3792" t="s">
        <v>3732</v>
      </c>
      <c r="B11" s="3312">
        <v>106202557</v>
      </c>
      <c r="C11" s="3793" t="s">
        <v>3734</v>
      </c>
      <c r="D11" s="3794"/>
      <c r="E11" s="3795">
        <v>1224.4000000000001</v>
      </c>
      <c r="F11" s="2356"/>
      <c r="G11" s="3313"/>
      <c r="H11" s="3321"/>
      <c r="I11" s="3321"/>
      <c r="K11" s="3331"/>
      <c r="L11" s="3313">
        <f>L9</f>
        <v>3304</v>
      </c>
      <c r="M11" s="3313">
        <f>M9</f>
        <v>2202.3783761760001</v>
      </c>
      <c r="N11" s="3796" t="e">
        <f t="shared" si="1"/>
        <v>#DIV/0!</v>
      </c>
    </row>
    <row r="12" spans="1:14" s="144" customFormat="1" x14ac:dyDescent="0.25">
      <c r="A12" s="143" t="s">
        <v>249</v>
      </c>
      <c r="B12" s="3323">
        <v>106202651</v>
      </c>
      <c r="C12" s="3345" t="s">
        <v>513</v>
      </c>
      <c r="D12" s="3324">
        <v>33</v>
      </c>
      <c r="E12" s="2505">
        <f>'Lista global'!I210</f>
        <v>1093.6111111111111</v>
      </c>
      <c r="F12" s="1281">
        <f>'Lista global'!J210</f>
        <v>1097.23</v>
      </c>
      <c r="G12" s="3313"/>
      <c r="H12" s="3321">
        <v>1222.32</v>
      </c>
      <c r="I12" s="3322">
        <v>1222.32</v>
      </c>
      <c r="K12" s="3331">
        <f t="shared" si="0"/>
        <v>-3.2982044684240607E-3</v>
      </c>
      <c r="L12" s="3313">
        <v>3478</v>
      </c>
      <c r="M12" s="3313">
        <v>2318.2930275536846</v>
      </c>
      <c r="N12" s="2702">
        <f t="shared" si="1"/>
        <v>105.39393939393939</v>
      </c>
    </row>
    <row r="13" spans="1:14" s="144" customFormat="1" x14ac:dyDescent="0.25">
      <c r="A13" s="3320" t="s">
        <v>46</v>
      </c>
      <c r="B13" s="3312">
        <v>106203418</v>
      </c>
      <c r="C13" s="183" t="s">
        <v>514</v>
      </c>
      <c r="D13" s="74">
        <v>55</v>
      </c>
      <c r="E13" s="2505">
        <f>'Lista global'!I224</f>
        <v>1702.0444444444443</v>
      </c>
      <c r="F13" s="1281">
        <f>'Lista global'!J224</f>
        <v>1763.72</v>
      </c>
      <c r="G13" s="3313"/>
      <c r="H13" s="3321">
        <v>1565.59</v>
      </c>
      <c r="I13" s="3322">
        <v>1565.59</v>
      </c>
      <c r="K13" s="3331">
        <f t="shared" si="0"/>
        <v>-3.4969017505928249E-2</v>
      </c>
      <c r="L13" s="3313">
        <v>4758.8887756799995</v>
      </c>
      <c r="M13" s="3313">
        <v>3170</v>
      </c>
      <c r="N13" s="2702">
        <f t="shared" si="1"/>
        <v>86.525250466909085</v>
      </c>
    </row>
    <row r="14" spans="1:14" s="144" customFormat="1" x14ac:dyDescent="0.25">
      <c r="A14" s="40" t="s">
        <v>31</v>
      </c>
      <c r="B14" s="3312">
        <v>106200856</v>
      </c>
      <c r="C14" s="183" t="s">
        <v>515</v>
      </c>
      <c r="D14" s="74">
        <v>66</v>
      </c>
      <c r="E14" s="2505">
        <f>'Lista global'!I190</f>
        <v>1702.0444444444443</v>
      </c>
      <c r="F14" s="1281">
        <f>'Lista global'!J190</f>
        <v>1763.72</v>
      </c>
      <c r="G14" s="3313"/>
      <c r="H14" s="3321">
        <v>1565.59</v>
      </c>
      <c r="I14" s="3322">
        <v>1565.59</v>
      </c>
      <c r="K14" s="3331">
        <f t="shared" si="0"/>
        <v>-3.4969017505928249E-2</v>
      </c>
      <c r="L14" s="3313">
        <v>4957.175808</v>
      </c>
      <c r="M14" s="3313">
        <v>3170</v>
      </c>
      <c r="N14" s="2702">
        <f t="shared" si="1"/>
        <v>75.10872436363637</v>
      </c>
    </row>
    <row r="15" spans="1:14" s="144" customFormat="1" x14ac:dyDescent="0.25">
      <c r="A15" s="3320" t="s">
        <v>516</v>
      </c>
      <c r="B15" s="3325">
        <v>106203422</v>
      </c>
      <c r="C15" s="3346" t="s">
        <v>517</v>
      </c>
      <c r="D15" s="74">
        <v>77</v>
      </c>
      <c r="E15" s="2505">
        <f>'Lista global'!I226</f>
        <v>1794.5444444444443</v>
      </c>
      <c r="F15" s="1281">
        <f>'Lista global'!J226</f>
        <v>1859.99</v>
      </c>
      <c r="G15" s="3313"/>
      <c r="H15" s="3327">
        <v>1752.44</v>
      </c>
      <c r="I15" s="3328">
        <v>1752.44</v>
      </c>
      <c r="K15" s="3331">
        <f t="shared" si="0"/>
        <v>-3.5185971728641421E-2</v>
      </c>
      <c r="L15" s="3313">
        <v>5163.7248</v>
      </c>
      <c r="M15" s="3313">
        <v>3456</v>
      </c>
      <c r="N15" s="2702">
        <f t="shared" si="1"/>
        <v>67.061361038961039</v>
      </c>
    </row>
    <row r="16" spans="1:14" s="144" customFormat="1" x14ac:dyDescent="0.25">
      <c r="A16" s="3320" t="s">
        <v>518</v>
      </c>
      <c r="B16" s="3329">
        <v>106200854</v>
      </c>
      <c r="C16" s="183" t="s">
        <v>519</v>
      </c>
      <c r="D16" s="74">
        <v>88</v>
      </c>
      <c r="E16" s="2505">
        <f>'Lista global'!I188</f>
        <v>1794.5444444444443</v>
      </c>
      <c r="F16" s="1281">
        <f>'Lista global'!J188</f>
        <v>1859.99</v>
      </c>
      <c r="G16" s="3313"/>
      <c r="H16" s="3327">
        <v>1752.44</v>
      </c>
      <c r="I16" s="3328">
        <v>1752.44</v>
      </c>
      <c r="K16" s="3331">
        <f t="shared" si="0"/>
        <v>-3.5185971728641421E-2</v>
      </c>
      <c r="L16" s="3313">
        <v>5378.88</v>
      </c>
      <c r="M16" s="3313">
        <v>3456</v>
      </c>
      <c r="N16" s="2702">
        <f t="shared" si="1"/>
        <v>61.123636363636365</v>
      </c>
    </row>
    <row r="17" spans="1:14" s="144" customFormat="1" x14ac:dyDescent="0.25">
      <c r="A17" s="3320" t="s">
        <v>437</v>
      </c>
      <c r="B17" s="3312">
        <v>106203421</v>
      </c>
      <c r="C17" s="3346" t="s">
        <v>520</v>
      </c>
      <c r="D17" s="3326">
        <v>99</v>
      </c>
      <c r="E17" s="2505">
        <f>'Lista global'!I225</f>
        <v>2036.088888888889</v>
      </c>
      <c r="F17" s="1281">
        <f>'Lista global'!J225</f>
        <v>2046.32</v>
      </c>
      <c r="G17" s="3313"/>
      <c r="H17" s="1271">
        <v>1984.48</v>
      </c>
      <c r="I17" s="3330">
        <v>1984.48</v>
      </c>
      <c r="K17" s="3331">
        <f t="shared" si="0"/>
        <v>-4.9997610887402644E-3</v>
      </c>
      <c r="L17" s="3313">
        <v>5603</v>
      </c>
      <c r="M17" s="3318">
        <v>3600</v>
      </c>
      <c r="N17" s="2702">
        <f t="shared" si="1"/>
        <v>56.595959595959599</v>
      </c>
    </row>
    <row r="18" spans="1:14" s="144" customFormat="1" x14ac:dyDescent="0.25">
      <c r="A18" s="156" t="s">
        <v>438</v>
      </c>
      <c r="B18" s="1848">
        <v>106200855</v>
      </c>
      <c r="C18" s="2361" t="s">
        <v>521</v>
      </c>
      <c r="D18" s="1280">
        <v>110</v>
      </c>
      <c r="E18" s="2505">
        <f>'Lista global'!I189</f>
        <v>2036.088888888889</v>
      </c>
      <c r="F18" s="1281">
        <f>'Lista global'!J189</f>
        <v>2046.32</v>
      </c>
      <c r="G18" s="1281">
        <v>1996.33</v>
      </c>
      <c r="H18" s="1281">
        <v>1984.48</v>
      </c>
      <c r="I18" s="1570">
        <v>1984.48</v>
      </c>
      <c r="J18" s="3331">
        <f t="shared" ref="J18:J23" si="2">(G18-H18)/H18</f>
        <v>5.9713375796177888E-3</v>
      </c>
      <c r="K18" s="3331">
        <f>(E18-F18)/F18</f>
        <v>-4.9997610887402644E-3</v>
      </c>
      <c r="L18" s="1281">
        <v>5836.7058823529396</v>
      </c>
      <c r="M18" s="1281">
        <v>3600</v>
      </c>
      <c r="N18" s="2702">
        <f>L18/D18</f>
        <v>53.060962566844907</v>
      </c>
    </row>
    <row r="19" spans="1:14" s="144" customFormat="1" x14ac:dyDescent="0.25">
      <c r="A19" s="156" t="s">
        <v>270</v>
      </c>
      <c r="B19" s="1848">
        <v>106200858</v>
      </c>
      <c r="C19" s="1348" t="s">
        <v>1931</v>
      </c>
      <c r="D19" s="1280">
        <v>110</v>
      </c>
      <c r="E19" s="2505">
        <f>'Lista global'!I291</f>
        <v>1621.2222222222222</v>
      </c>
      <c r="F19" s="1281">
        <f>'Lista global'!J291</f>
        <v>1621.22</v>
      </c>
      <c r="G19" s="1281">
        <v>2005.09</v>
      </c>
      <c r="H19" s="1281">
        <v>1984.48</v>
      </c>
      <c r="I19" s="1570">
        <v>1984.48</v>
      </c>
      <c r="J19" s="3331">
        <f t="shared" si="2"/>
        <v>1.0385592195436538E-2</v>
      </c>
      <c r="K19" s="3331">
        <f t="shared" ref="K19:K51" si="3">(E19-F19)/F19</f>
        <v>1.3707098494617694E-6</v>
      </c>
      <c r="L19" s="1281">
        <v>5836.7058823529405</v>
      </c>
      <c r="M19" s="1281">
        <v>3600</v>
      </c>
      <c r="N19" s="2702">
        <f t="shared" ref="N19:N51" si="4">L19/D19</f>
        <v>53.060962566844914</v>
      </c>
    </row>
    <row r="20" spans="1:14" s="144" customFormat="1" x14ac:dyDescent="0.25">
      <c r="A20" s="156" t="s">
        <v>1201</v>
      </c>
      <c r="B20" s="1848">
        <v>106204701</v>
      </c>
      <c r="C20" s="1348" t="s">
        <v>3748</v>
      </c>
      <c r="D20" s="1280">
        <v>110</v>
      </c>
      <c r="E20" s="2505">
        <f>'Lista global'!I239</f>
        <v>2070.6222222222223</v>
      </c>
      <c r="F20" s="1281">
        <f>'Lista global'!J239</f>
        <v>2219.83</v>
      </c>
      <c r="G20" s="1281">
        <v>2005.09</v>
      </c>
      <c r="H20" s="1281">
        <v>1984.48</v>
      </c>
      <c r="I20" s="1570">
        <v>1984.48</v>
      </c>
      <c r="J20" s="3331">
        <f t="shared" si="2"/>
        <v>1.0385592195436538E-2</v>
      </c>
      <c r="K20" s="3331">
        <f t="shared" si="3"/>
        <v>-6.7215857870998083E-2</v>
      </c>
      <c r="L20" s="1281">
        <v>5836.7058823529405</v>
      </c>
      <c r="M20" s="1281">
        <v>3600</v>
      </c>
      <c r="N20" s="2702">
        <f t="shared" si="4"/>
        <v>53.060962566844914</v>
      </c>
    </row>
    <row r="21" spans="1:14" s="144" customFormat="1" x14ac:dyDescent="0.25">
      <c r="A21" s="156" t="s">
        <v>187</v>
      </c>
      <c r="B21" s="1848">
        <v>106201457</v>
      </c>
      <c r="C21" s="2361" t="s">
        <v>2775</v>
      </c>
      <c r="D21" s="1280">
        <v>137</v>
      </c>
      <c r="E21" s="2505">
        <f>'Lista global'!I201</f>
        <v>2070.6222222222223</v>
      </c>
      <c r="F21" s="1281">
        <f>'Lista global'!J201</f>
        <v>2219.83</v>
      </c>
      <c r="G21" s="1281">
        <v>2143.7399999999998</v>
      </c>
      <c r="H21" s="1281">
        <v>2089.67</v>
      </c>
      <c r="I21" s="1570">
        <v>2089.67</v>
      </c>
      <c r="J21" s="3331">
        <f t="shared" si="2"/>
        <v>2.587489890748286E-2</v>
      </c>
      <c r="K21" s="3331">
        <f t="shared" si="3"/>
        <v>-6.7215857870998083E-2</v>
      </c>
      <c r="L21" s="1281">
        <v>6373.6</v>
      </c>
      <c r="M21" s="1281">
        <v>3649.4500000000003</v>
      </c>
      <c r="N21" s="2702">
        <f t="shared" si="4"/>
        <v>46.52262773722628</v>
      </c>
    </row>
    <row r="22" spans="1:14" s="144" customFormat="1" x14ac:dyDescent="0.25">
      <c r="A22" s="156" t="s">
        <v>440</v>
      </c>
      <c r="B22" s="1848">
        <v>106111457</v>
      </c>
      <c r="C22" s="2361" t="s">
        <v>3136</v>
      </c>
      <c r="D22" s="1280">
        <v>137</v>
      </c>
      <c r="E22" s="2505">
        <f>'Lista global'!I297</f>
        <v>2070.6222222222223</v>
      </c>
      <c r="F22" s="1281">
        <f>'Lista global'!J297</f>
        <v>2219.83</v>
      </c>
      <c r="G22" s="1281">
        <v>2143.7399999999998</v>
      </c>
      <c r="H22" s="1281">
        <v>2089.67</v>
      </c>
      <c r="I22" s="1570">
        <v>2089.67</v>
      </c>
      <c r="J22" s="3331">
        <f t="shared" si="2"/>
        <v>2.587489890748286E-2</v>
      </c>
      <c r="K22" s="3331">
        <f t="shared" si="3"/>
        <v>-6.7215857870998083E-2</v>
      </c>
      <c r="L22" s="1281">
        <v>6373.6</v>
      </c>
      <c r="M22" s="1281">
        <v>3649.4500000000003</v>
      </c>
      <c r="N22" s="2702">
        <f t="shared" si="4"/>
        <v>46.52262773722628</v>
      </c>
    </row>
    <row r="23" spans="1:14" s="144" customFormat="1" x14ac:dyDescent="0.25">
      <c r="A23" s="156" t="s">
        <v>111</v>
      </c>
      <c r="B23" s="1848">
        <v>106200873</v>
      </c>
      <c r="C23" s="3332" t="s">
        <v>2767</v>
      </c>
      <c r="D23" s="3333">
        <v>137</v>
      </c>
      <c r="E23" s="2505">
        <f>'Lista global'!I197</f>
        <v>1907.3444444444442</v>
      </c>
      <c r="F23" s="1281">
        <f>'Lista global'!J197</f>
        <v>2215.34</v>
      </c>
      <c r="G23" s="1281">
        <v>2099.89</v>
      </c>
      <c r="H23" s="1281">
        <v>2089.67</v>
      </c>
      <c r="I23" s="1570">
        <v>2089.67</v>
      </c>
      <c r="J23" s="3331">
        <f t="shared" si="2"/>
        <v>4.8907243727477545E-3</v>
      </c>
      <c r="K23" s="3331">
        <f t="shared" si="3"/>
        <v>-0.13902857148589198</v>
      </c>
      <c r="L23" s="1281">
        <v>6373.6</v>
      </c>
      <c r="M23" s="1281">
        <v>3649.4500000000003</v>
      </c>
      <c r="N23" s="2702">
        <f t="shared" si="4"/>
        <v>46.52262773722628</v>
      </c>
    </row>
    <row r="24" spans="1:14" s="144" customFormat="1" x14ac:dyDescent="0.25">
      <c r="B24" s="1848">
        <v>106204720</v>
      </c>
      <c r="C24" s="2361" t="s">
        <v>2331</v>
      </c>
      <c r="D24" s="1280">
        <v>137</v>
      </c>
      <c r="E24" s="2505">
        <f>'Lista global'!I241</f>
        <v>2085.3111111111111</v>
      </c>
      <c r="F24" s="1281">
        <f>'Lista global'!J241</f>
        <v>0</v>
      </c>
      <c r="G24" s="1281">
        <v>2132.4</v>
      </c>
      <c r="H24" s="1281"/>
      <c r="I24" s="1570">
        <v>2132.4</v>
      </c>
      <c r="J24" s="3331"/>
      <c r="K24" s="3331" t="e">
        <f t="shared" si="3"/>
        <v>#DIV/0!</v>
      </c>
      <c r="L24" s="1281">
        <v>6373.6</v>
      </c>
      <c r="M24" s="1281">
        <v>3649.45</v>
      </c>
      <c r="N24" s="2702">
        <f t="shared" si="4"/>
        <v>46.52262773722628</v>
      </c>
    </row>
    <row r="25" spans="1:14" s="144" customFormat="1" x14ac:dyDescent="0.25">
      <c r="A25" s="156"/>
      <c r="B25" s="1848">
        <v>106204729</v>
      </c>
      <c r="C25" s="2361" t="s">
        <v>2391</v>
      </c>
      <c r="D25" s="1280">
        <v>137</v>
      </c>
      <c r="E25" s="2505">
        <f>'Lista global'!I245</f>
        <v>2085.3111111111111</v>
      </c>
      <c r="F25" s="1281">
        <f>'Lista global'!J245</f>
        <v>2132.37</v>
      </c>
      <c r="G25" s="1281">
        <v>2132.37</v>
      </c>
      <c r="H25" s="1281"/>
      <c r="I25" s="1570">
        <v>2132.37</v>
      </c>
      <c r="J25" s="3331"/>
      <c r="K25" s="3331">
        <f t="shared" si="3"/>
        <v>-2.206881961802537E-2</v>
      </c>
      <c r="L25" s="1281">
        <v>6373.6</v>
      </c>
      <c r="M25" s="1281">
        <v>3649.45</v>
      </c>
      <c r="N25" s="2702">
        <f t="shared" si="4"/>
        <v>46.52262773722628</v>
      </c>
    </row>
    <row r="26" spans="1:14" s="144" customFormat="1" x14ac:dyDescent="0.25">
      <c r="A26" s="156" t="s">
        <v>3063</v>
      </c>
      <c r="B26" s="1848">
        <v>106206422</v>
      </c>
      <c r="C26" s="2361" t="s">
        <v>3073</v>
      </c>
      <c r="D26" s="1280"/>
      <c r="E26" s="2505">
        <f>'Lista global'!I325</f>
        <v>2085.3111111111111</v>
      </c>
      <c r="F26" s="1281">
        <f>'Lista global'!J325</f>
        <v>0</v>
      </c>
      <c r="G26" s="1281"/>
      <c r="H26" s="1281"/>
      <c r="I26" s="1570"/>
      <c r="J26" s="3331"/>
      <c r="K26" s="3331" t="e">
        <f t="shared" si="3"/>
        <v>#DIV/0!</v>
      </c>
      <c r="L26" s="1281"/>
      <c r="M26" s="1281"/>
      <c r="N26" s="2702"/>
    </row>
    <row r="27" spans="1:14" s="144" customFormat="1" x14ac:dyDescent="0.25">
      <c r="A27" s="156"/>
      <c r="B27" s="1848">
        <v>106204718</v>
      </c>
      <c r="C27" s="2361" t="s">
        <v>2389</v>
      </c>
      <c r="D27" s="1280">
        <v>137</v>
      </c>
      <c r="E27" s="2505">
        <f>'Lista global'!I240</f>
        <v>2138.8444444444444</v>
      </c>
      <c r="F27" s="1281">
        <f>'Lista global'!J240</f>
        <v>2153.2199999999998</v>
      </c>
      <c r="G27" s="1281">
        <v>2153.2199999999998</v>
      </c>
      <c r="H27" s="1281"/>
      <c r="I27" s="1570">
        <v>2153.2199999999998</v>
      </c>
      <c r="J27" s="3331"/>
      <c r="K27" s="3331">
        <f t="shared" si="3"/>
        <v>-6.676305976888273E-3</v>
      </c>
      <c r="L27" s="1281">
        <v>6373.6</v>
      </c>
      <c r="M27" s="1281">
        <v>3649.45</v>
      </c>
      <c r="N27" s="2702">
        <f t="shared" si="4"/>
        <v>46.52262773722628</v>
      </c>
    </row>
    <row r="28" spans="1:14" s="144" customFormat="1" x14ac:dyDescent="0.25">
      <c r="A28" s="156" t="s">
        <v>3067</v>
      </c>
      <c r="B28" s="1848">
        <v>106206421</v>
      </c>
      <c r="C28" s="2361" t="s">
        <v>3077</v>
      </c>
      <c r="D28" s="1280"/>
      <c r="E28" s="2505">
        <f>'Lista global'!I329</f>
        <v>2061.8444444444444</v>
      </c>
      <c r="F28" s="1281">
        <f>'Lista global'!J329</f>
        <v>2319.4699999999998</v>
      </c>
      <c r="G28" s="1281"/>
      <c r="H28" s="1281"/>
      <c r="I28" s="1570"/>
      <c r="J28" s="3331"/>
      <c r="K28" s="3331">
        <f t="shared" si="3"/>
        <v>-0.11107087203350567</v>
      </c>
      <c r="L28" s="1281"/>
      <c r="M28" s="1281"/>
      <c r="N28" s="2702"/>
    </row>
    <row r="29" spans="1:14" s="144" customFormat="1" x14ac:dyDescent="0.25">
      <c r="A29" s="156" t="s">
        <v>240</v>
      </c>
      <c r="B29" s="1848">
        <v>106202625</v>
      </c>
      <c r="C29" s="2361" t="s">
        <v>2776</v>
      </c>
      <c r="D29" s="1280">
        <v>173</v>
      </c>
      <c r="E29" s="2505">
        <f>'Lista global'!I207</f>
        <v>2070.6222222222223</v>
      </c>
      <c r="F29" s="1281">
        <f>'Lista global'!J207</f>
        <v>2219.83</v>
      </c>
      <c r="G29" s="1281">
        <v>2143.7399999999998</v>
      </c>
      <c r="H29" s="1281">
        <v>2089.67</v>
      </c>
      <c r="I29" s="1570">
        <v>2089.67</v>
      </c>
      <c r="J29" s="3331">
        <f>(G29-H29)/H29</f>
        <v>2.587489890748286E-2</v>
      </c>
      <c r="K29" s="3331">
        <f t="shared" si="3"/>
        <v>-6.7215857870998083E-2</v>
      </c>
      <c r="L29" s="1281">
        <v>7712.0560000000005</v>
      </c>
      <c r="M29" s="1281">
        <v>4415.8344999999999</v>
      </c>
      <c r="N29" s="2702">
        <f t="shared" si="4"/>
        <v>44.578358381502895</v>
      </c>
    </row>
    <row r="30" spans="1:14" s="144" customFormat="1" x14ac:dyDescent="0.25">
      <c r="A30" s="156" t="s">
        <v>239</v>
      </c>
      <c r="B30" s="1848">
        <v>106202628</v>
      </c>
      <c r="C30" s="2361" t="s">
        <v>3139</v>
      </c>
      <c r="D30" s="1280">
        <v>173</v>
      </c>
      <c r="E30" s="2505">
        <f>'Lista global'!I208</f>
        <v>2070.6222222222223</v>
      </c>
      <c r="F30" s="1281">
        <f>'Lista global'!J208</f>
        <v>2219.83</v>
      </c>
      <c r="G30" s="1281">
        <v>2143.7399999999998</v>
      </c>
      <c r="H30" s="1281">
        <v>2089.67</v>
      </c>
      <c r="I30" s="1570">
        <v>2089.67</v>
      </c>
      <c r="J30" s="3331">
        <f>(G30-H30)/H30</f>
        <v>2.587489890748286E-2</v>
      </c>
      <c r="K30" s="3331">
        <f t="shared" si="3"/>
        <v>-6.7215857870998083E-2</v>
      </c>
      <c r="L30" s="1281">
        <v>7712.0560000000005</v>
      </c>
      <c r="M30" s="1281">
        <v>4415.8344999999999</v>
      </c>
      <c r="N30" s="2702">
        <f t="shared" si="4"/>
        <v>44.578358381502895</v>
      </c>
    </row>
    <row r="31" spans="1:14" s="144" customFormat="1" x14ac:dyDescent="0.25">
      <c r="A31" s="156"/>
      <c r="B31" s="1848">
        <v>106204721</v>
      </c>
      <c r="C31" s="2361" t="s">
        <v>2333</v>
      </c>
      <c r="D31" s="1280">
        <v>165</v>
      </c>
      <c r="E31" s="2505">
        <f>'Lista global'!I242</f>
        <v>2085.3111111111111</v>
      </c>
      <c r="F31" s="1281">
        <f>'Lista global'!J242</f>
        <v>2132.4</v>
      </c>
      <c r="G31" s="1281">
        <v>2132.4</v>
      </c>
      <c r="H31" s="1281"/>
      <c r="I31" s="1570">
        <v>2132.4</v>
      </c>
      <c r="J31" s="3331"/>
      <c r="K31" s="3331">
        <f t="shared" si="3"/>
        <v>-2.2082577794451771E-2</v>
      </c>
      <c r="L31" s="1281">
        <v>6759.2</v>
      </c>
      <c r="M31" s="1281">
        <v>3750.56</v>
      </c>
      <c r="N31" s="2702">
        <f t="shared" si="4"/>
        <v>40.964848484848481</v>
      </c>
    </row>
    <row r="32" spans="1:14" s="144" customFormat="1" x14ac:dyDescent="0.25">
      <c r="A32" s="156" t="s">
        <v>3064</v>
      </c>
      <c r="B32" s="1848">
        <v>106206423</v>
      </c>
      <c r="C32" s="2361" t="s">
        <v>3074</v>
      </c>
      <c r="D32" s="1280"/>
      <c r="E32" s="2505">
        <f>'Lista global'!I326</f>
        <v>2085.3111111111111</v>
      </c>
      <c r="F32" s="1281">
        <f>'Lista global'!J326</f>
        <v>2310.77</v>
      </c>
      <c r="G32" s="1281"/>
      <c r="H32" s="1281"/>
      <c r="I32" s="1570"/>
      <c r="J32" s="3331"/>
      <c r="K32" s="3331">
        <f t="shared" si="3"/>
        <v>-9.7568727692019908E-2</v>
      </c>
      <c r="L32" s="1281">
        <v>7712.0560000000005</v>
      </c>
      <c r="M32" s="1281">
        <v>4415.8344999999999</v>
      </c>
      <c r="N32" s="2702"/>
    </row>
    <row r="33" spans="1:14" s="144" customFormat="1" x14ac:dyDescent="0.25">
      <c r="A33" s="156" t="s">
        <v>2827</v>
      </c>
      <c r="B33" s="1848">
        <v>106206534</v>
      </c>
      <c r="C33" s="2361" t="s">
        <v>3053</v>
      </c>
      <c r="D33" s="1280">
        <v>190</v>
      </c>
      <c r="E33" s="2505">
        <f>'Lista global'!I297</f>
        <v>2070.6222222222223</v>
      </c>
      <c r="F33" s="1281">
        <f>'Lista global'!J297</f>
        <v>2219.83</v>
      </c>
      <c r="G33" s="1281"/>
      <c r="H33" s="1281"/>
      <c r="I33" s="1570">
        <v>2089.67</v>
      </c>
      <c r="J33" s="3331"/>
      <c r="K33" s="3331">
        <f t="shared" si="3"/>
        <v>-6.7215857870998083E-2</v>
      </c>
      <c r="L33" s="1281">
        <v>8374.0499999999993</v>
      </c>
      <c r="M33" s="1281">
        <v>4794.91</v>
      </c>
      <c r="N33" s="2702">
        <f t="shared" si="4"/>
        <v>44.073947368421052</v>
      </c>
    </row>
    <row r="34" spans="1:14" s="144" customFormat="1" x14ac:dyDescent="0.25">
      <c r="A34" s="156" t="s">
        <v>2824</v>
      </c>
      <c r="B34" s="1848">
        <v>106206535</v>
      </c>
      <c r="C34" s="2361" t="s">
        <v>3142</v>
      </c>
      <c r="D34" s="1280">
        <v>190</v>
      </c>
      <c r="E34" s="2505">
        <f>'Lista global'!I298</f>
        <v>2070.6222222222223</v>
      </c>
      <c r="F34" s="1281">
        <f>'Lista global'!J298</f>
        <v>2219.83</v>
      </c>
      <c r="G34" s="1281"/>
      <c r="H34" s="1281"/>
      <c r="I34" s="1570">
        <v>2089.67</v>
      </c>
      <c r="J34" s="3331"/>
      <c r="K34" s="3331">
        <f t="shared" si="3"/>
        <v>-6.7215857870998083E-2</v>
      </c>
      <c r="L34" s="1281">
        <v>8374.0499999999993</v>
      </c>
      <c r="M34" s="1281">
        <v>4794.91</v>
      </c>
      <c r="N34" s="2702">
        <f t="shared" si="4"/>
        <v>44.073947368421052</v>
      </c>
    </row>
    <row r="35" spans="1:14" s="144" customFormat="1" x14ac:dyDescent="0.25">
      <c r="A35" s="156" t="s">
        <v>1122</v>
      </c>
      <c r="B35" s="1848">
        <v>106204514</v>
      </c>
      <c r="C35" s="2361" t="s">
        <v>2778</v>
      </c>
      <c r="D35" s="1280">
        <v>201</v>
      </c>
      <c r="E35" s="2505">
        <f>'Lista global'!I233</f>
        <v>2070.6222222222223</v>
      </c>
      <c r="F35" s="1281">
        <f>'Lista global'!J233</f>
        <v>2219.83</v>
      </c>
      <c r="G35" s="1281">
        <v>2143.7399999999998</v>
      </c>
      <c r="H35" s="1281">
        <v>2089.67</v>
      </c>
      <c r="I35" s="1570">
        <v>2089.67</v>
      </c>
      <c r="J35" s="3331">
        <f>(G35-H35)/H35</f>
        <v>2.587489890748286E-2</v>
      </c>
      <c r="K35" s="3331">
        <f t="shared" si="3"/>
        <v>-6.7215857870998083E-2</v>
      </c>
      <c r="L35" s="1281">
        <v>8868.86</v>
      </c>
      <c r="M35" s="1281">
        <v>5055.25</v>
      </c>
      <c r="N35" s="2702">
        <f t="shared" si="4"/>
        <v>44.123681592039802</v>
      </c>
    </row>
    <row r="36" spans="1:14" s="144" customFormat="1" x14ac:dyDescent="0.25">
      <c r="A36" s="156" t="s">
        <v>1123</v>
      </c>
      <c r="B36" s="1848">
        <v>106204515</v>
      </c>
      <c r="C36" s="2361" t="s">
        <v>3145</v>
      </c>
      <c r="D36" s="1280">
        <v>201</v>
      </c>
      <c r="E36" s="2505">
        <f>'Lista global'!I234</f>
        <v>2070.6222222222223</v>
      </c>
      <c r="F36" s="1281">
        <f>'Lista global'!J234</f>
        <v>2219.83</v>
      </c>
      <c r="G36" s="1281">
        <v>2143.7399999999998</v>
      </c>
      <c r="H36" s="1281">
        <v>2089.67</v>
      </c>
      <c r="I36" s="1570">
        <v>2089.67</v>
      </c>
      <c r="J36" s="3331">
        <f>(G36-H36)/H36</f>
        <v>2.587489890748286E-2</v>
      </c>
      <c r="K36" s="3331">
        <f t="shared" si="3"/>
        <v>-6.7215857870998083E-2</v>
      </c>
      <c r="L36" s="1281">
        <v>8868.86</v>
      </c>
      <c r="M36" s="1281">
        <v>5055.25</v>
      </c>
      <c r="N36" s="2702">
        <f t="shared" si="4"/>
        <v>44.123681592039802</v>
      </c>
    </row>
    <row r="37" spans="1:14" s="144" customFormat="1" x14ac:dyDescent="0.25">
      <c r="A37" s="156" t="s">
        <v>3065</v>
      </c>
      <c r="B37" s="1848">
        <v>106206424</v>
      </c>
      <c r="C37" s="2361" t="s">
        <v>3075</v>
      </c>
      <c r="D37" s="1280"/>
      <c r="E37" s="2505">
        <f>'Lista global'!I327</f>
        <v>2085.3111111111111</v>
      </c>
      <c r="F37" s="1281">
        <f>'Lista global'!J327</f>
        <v>0</v>
      </c>
      <c r="G37" s="1281"/>
      <c r="H37" s="1281"/>
      <c r="I37" s="1570"/>
      <c r="J37" s="3331"/>
      <c r="K37" s="3331" t="e">
        <f t="shared" si="3"/>
        <v>#DIV/0!</v>
      </c>
      <c r="L37" s="1281"/>
      <c r="M37" s="1281"/>
      <c r="N37" s="2702"/>
    </row>
    <row r="38" spans="1:14" s="144" customFormat="1" x14ac:dyDescent="0.25">
      <c r="A38" s="156" t="s">
        <v>1124</v>
      </c>
      <c r="B38" s="1848">
        <v>106204516</v>
      </c>
      <c r="C38" s="2361" t="s">
        <v>2779</v>
      </c>
      <c r="D38" s="1280">
        <v>220</v>
      </c>
      <c r="E38" s="2505">
        <f>'Lista global'!I235</f>
        <v>2070.6222222222223</v>
      </c>
      <c r="F38" s="1281">
        <f>'Lista global'!J235</f>
        <v>2219.83</v>
      </c>
      <c r="G38" s="1281">
        <v>2143.7399999999998</v>
      </c>
      <c r="H38" s="1281">
        <v>2089.67</v>
      </c>
      <c r="I38" s="1570">
        <v>2089.67</v>
      </c>
      <c r="J38" s="3331">
        <f>(G38-H38)/H38</f>
        <v>2.587489890748286E-2</v>
      </c>
      <c r="K38" s="3331">
        <f t="shared" si="3"/>
        <v>-6.7215857870998083E-2</v>
      </c>
      <c r="L38" s="1281">
        <v>9401</v>
      </c>
      <c r="M38" s="1281">
        <v>5358.57</v>
      </c>
      <c r="N38" s="2702">
        <f t="shared" si="4"/>
        <v>42.731818181818184</v>
      </c>
    </row>
    <row r="39" spans="1:14" s="144" customFormat="1" x14ac:dyDescent="0.25">
      <c r="A39" s="156" t="s">
        <v>1125</v>
      </c>
      <c r="B39" s="1848">
        <v>106204517</v>
      </c>
      <c r="C39" s="2361" t="s">
        <v>3148</v>
      </c>
      <c r="D39" s="1280">
        <v>220</v>
      </c>
      <c r="E39" s="2505">
        <f>'Lista global'!I236</f>
        <v>2070.6222222222223</v>
      </c>
      <c r="F39" s="1281">
        <f>'Lista global'!J236</f>
        <v>2219.83</v>
      </c>
      <c r="G39" s="1281">
        <v>2143.7399999999998</v>
      </c>
      <c r="H39" s="1281">
        <v>2089.67</v>
      </c>
      <c r="I39" s="1570">
        <v>2089.67</v>
      </c>
      <c r="J39" s="3331">
        <f>(G39-H39)/H39</f>
        <v>2.587489890748286E-2</v>
      </c>
      <c r="K39" s="3331">
        <f t="shared" si="3"/>
        <v>-6.7215857870998083E-2</v>
      </c>
      <c r="L39" s="1281">
        <v>9401</v>
      </c>
      <c r="M39" s="1281">
        <v>5358.57</v>
      </c>
      <c r="N39" s="2702">
        <f t="shared" si="4"/>
        <v>42.731818181818184</v>
      </c>
    </row>
    <row r="40" spans="1:14" s="144" customFormat="1" x14ac:dyDescent="0.25">
      <c r="A40" s="156"/>
      <c r="B40" s="1848">
        <v>106204722</v>
      </c>
      <c r="C40" s="2361" t="s">
        <v>2335</v>
      </c>
      <c r="D40" s="1280">
        <v>200</v>
      </c>
      <c r="E40" s="2505">
        <f>'Lista global'!I243</f>
        <v>2085.3111111111111</v>
      </c>
      <c r="F40" s="1281">
        <f>'Lista global'!J243</f>
        <v>2132.4</v>
      </c>
      <c r="G40" s="1281">
        <v>2132.4</v>
      </c>
      <c r="H40" s="1281"/>
      <c r="I40" s="1570">
        <v>2132.4</v>
      </c>
      <c r="J40" s="3331"/>
      <c r="K40" s="3331">
        <f t="shared" si="3"/>
        <v>-2.2082577794451771E-2</v>
      </c>
      <c r="L40" s="1281">
        <v>9401</v>
      </c>
      <c r="M40" s="1281">
        <v>5358.57</v>
      </c>
      <c r="N40" s="2702">
        <f t="shared" si="4"/>
        <v>47.005000000000003</v>
      </c>
    </row>
    <row r="41" spans="1:14" s="144" customFormat="1" x14ac:dyDescent="0.25">
      <c r="A41" s="156" t="s">
        <v>1126</v>
      </c>
      <c r="B41" s="1848">
        <v>106204518</v>
      </c>
      <c r="C41" s="2361" t="s">
        <v>2780</v>
      </c>
      <c r="D41" s="1280">
        <v>229</v>
      </c>
      <c r="E41" s="2505">
        <f>'Lista global'!I237</f>
        <v>2070.6222222222223</v>
      </c>
      <c r="F41" s="1281">
        <f>'Lista global'!J237</f>
        <v>2219.83</v>
      </c>
      <c r="G41" s="1281">
        <v>2143.7399999999998</v>
      </c>
      <c r="H41" s="1281">
        <v>2089.67</v>
      </c>
      <c r="I41" s="1570">
        <v>2089.67</v>
      </c>
      <c r="J41" s="3331">
        <f>(G41-H41)/H41</f>
        <v>2.587489890748286E-2</v>
      </c>
      <c r="K41" s="3331">
        <f t="shared" si="3"/>
        <v>-6.7215857870998083E-2</v>
      </c>
      <c r="L41" s="1281">
        <v>9495.01</v>
      </c>
      <c r="M41" s="1281">
        <v>5412.15</v>
      </c>
      <c r="N41" s="2702">
        <f t="shared" si="4"/>
        <v>41.462925764192143</v>
      </c>
    </row>
    <row r="42" spans="1:14" s="144" customFormat="1" x14ac:dyDescent="0.25">
      <c r="A42" s="156" t="s">
        <v>1127</v>
      </c>
      <c r="B42" s="1848">
        <v>106204519</v>
      </c>
      <c r="C42" s="2361" t="s">
        <v>3151</v>
      </c>
      <c r="D42" s="1280">
        <v>229</v>
      </c>
      <c r="E42" s="2505">
        <f>'Lista global'!I238</f>
        <v>2070.6222222222223</v>
      </c>
      <c r="F42" s="1281">
        <f>'Lista global'!J238</f>
        <v>2219.83</v>
      </c>
      <c r="G42" s="1281">
        <v>2143.7399999999998</v>
      </c>
      <c r="H42" s="1281">
        <v>2089.67</v>
      </c>
      <c r="I42" s="1570">
        <v>2089.67</v>
      </c>
      <c r="J42" s="3331">
        <f>(G42-H42)/H42</f>
        <v>2.587489890748286E-2</v>
      </c>
      <c r="K42" s="3331">
        <f t="shared" si="3"/>
        <v>-6.7215857870998083E-2</v>
      </c>
      <c r="L42" s="1281">
        <v>9495.01</v>
      </c>
      <c r="M42" s="1281">
        <v>5412.15</v>
      </c>
      <c r="N42" s="2702">
        <f t="shared" si="4"/>
        <v>41.462925764192143</v>
      </c>
    </row>
    <row r="43" spans="1:14" s="144" customFormat="1" x14ac:dyDescent="0.25">
      <c r="A43" s="156" t="s">
        <v>3066</v>
      </c>
      <c r="B43" s="1848">
        <v>106206425</v>
      </c>
      <c r="C43" s="2361" t="s">
        <v>3076</v>
      </c>
      <c r="D43" s="1280"/>
      <c r="E43" s="2505">
        <f>'Lista global'!I328</f>
        <v>2085.3111111111111</v>
      </c>
      <c r="F43" s="1281">
        <f>'Lista global'!J328</f>
        <v>0</v>
      </c>
      <c r="G43" s="1281"/>
      <c r="H43" s="1281"/>
      <c r="I43" s="1570"/>
      <c r="J43" s="3331"/>
      <c r="K43" s="3331" t="e">
        <f t="shared" si="3"/>
        <v>#DIV/0!</v>
      </c>
      <c r="L43" s="1281"/>
      <c r="M43" s="1281"/>
      <c r="N43" s="2702"/>
    </row>
    <row r="44" spans="1:14" s="144" customFormat="1" x14ac:dyDescent="0.25">
      <c r="A44" s="156"/>
      <c r="B44" s="1848">
        <v>106204727</v>
      </c>
      <c r="C44" s="2361" t="s">
        <v>2337</v>
      </c>
      <c r="D44" s="1280">
        <v>220</v>
      </c>
      <c r="E44" s="2505">
        <f>'Lista global'!I244</f>
        <v>2085.3111111111111</v>
      </c>
      <c r="F44" s="1281">
        <f>'Lista global'!J244</f>
        <v>2132.4</v>
      </c>
      <c r="G44" s="1281">
        <v>2132.4</v>
      </c>
      <c r="H44" s="1281"/>
      <c r="I44" s="1570">
        <v>2132.4</v>
      </c>
      <c r="J44" s="3331"/>
      <c r="K44" s="3331">
        <f t="shared" si="3"/>
        <v>-2.2082577794451771E-2</v>
      </c>
      <c r="L44" s="1281">
        <v>9589.02</v>
      </c>
      <c r="M44" s="1281">
        <v>5465.73</v>
      </c>
      <c r="N44" s="2702">
        <f t="shared" si="4"/>
        <v>43.586454545454551</v>
      </c>
    </row>
    <row r="45" spans="1:14" s="144" customFormat="1" x14ac:dyDescent="0.25">
      <c r="A45" s="156"/>
      <c r="B45" s="1848">
        <v>106205966</v>
      </c>
      <c r="C45" s="2361" t="s">
        <v>2775</v>
      </c>
      <c r="D45" s="1280">
        <v>137</v>
      </c>
      <c r="E45" s="2505">
        <f>'Lista global'!I295</f>
        <v>2072.2111111111112</v>
      </c>
      <c r="F45" s="1281">
        <f>'Lista global'!J295</f>
        <v>2217.88</v>
      </c>
      <c r="G45" s="1281"/>
      <c r="H45" s="1281"/>
      <c r="I45" s="1570">
        <v>2540.6</v>
      </c>
      <c r="J45" s="3331"/>
      <c r="K45" s="3331">
        <f t="shared" si="3"/>
        <v>-6.5679337425329096E-2</v>
      </c>
      <c r="L45" s="1281">
        <v>6373.6</v>
      </c>
      <c r="M45" s="1281">
        <v>3649.4500000000003</v>
      </c>
      <c r="N45" s="2702">
        <f t="shared" si="4"/>
        <v>46.52262773722628</v>
      </c>
    </row>
    <row r="46" spans="1:14" s="144" customFormat="1" x14ac:dyDescent="0.25">
      <c r="A46" s="156"/>
      <c r="B46" s="1848">
        <v>106205968</v>
      </c>
      <c r="C46" s="2361" t="s">
        <v>2776</v>
      </c>
      <c r="D46" s="1280">
        <v>173</v>
      </c>
      <c r="E46" s="2505">
        <f>'Lista global'!I296</f>
        <v>2072.2111111111112</v>
      </c>
      <c r="F46" s="1281">
        <f>'Lista global'!J296</f>
        <v>2217.88</v>
      </c>
      <c r="G46" s="1281"/>
      <c r="H46" s="1281"/>
      <c r="I46" s="1570">
        <v>2540.6</v>
      </c>
      <c r="J46" s="3331"/>
      <c r="K46" s="3331">
        <f t="shared" si="3"/>
        <v>-6.5679337425329096E-2</v>
      </c>
      <c r="L46" s="1281">
        <v>7712.0560000000005</v>
      </c>
      <c r="M46" s="1281">
        <v>4415.8344999999999</v>
      </c>
      <c r="N46" s="2702">
        <f t="shared" si="4"/>
        <v>44.578358381502895</v>
      </c>
    </row>
    <row r="47" spans="1:14" s="144" customFormat="1" x14ac:dyDescent="0.25">
      <c r="A47" s="156"/>
      <c r="B47" s="1848">
        <v>106206534</v>
      </c>
      <c r="C47" s="2361" t="s">
        <v>2825</v>
      </c>
      <c r="D47" s="1280">
        <v>190</v>
      </c>
      <c r="E47" s="2505">
        <f>'Lista global'!I297</f>
        <v>2070.6222222222223</v>
      </c>
      <c r="F47" s="1281">
        <f>'Lista global'!J297</f>
        <v>2219.83</v>
      </c>
      <c r="G47" s="1281"/>
      <c r="H47" s="1281"/>
      <c r="I47" s="1570">
        <v>2540.6</v>
      </c>
      <c r="J47" s="3331"/>
      <c r="K47" s="3331">
        <f t="shared" si="3"/>
        <v>-6.7215857870998083E-2</v>
      </c>
      <c r="L47" s="1281">
        <v>8374.0499999999993</v>
      </c>
      <c r="M47" s="1281">
        <v>4794.91</v>
      </c>
      <c r="N47" s="2702">
        <f t="shared" si="4"/>
        <v>44.073947368421052</v>
      </c>
    </row>
    <row r="48" spans="1:14" s="144" customFormat="1" x14ac:dyDescent="0.25">
      <c r="A48" s="156"/>
      <c r="B48" s="1848">
        <v>106205970</v>
      </c>
      <c r="C48" s="2361" t="s">
        <v>2778</v>
      </c>
      <c r="D48" s="1280">
        <v>201</v>
      </c>
      <c r="E48" s="2505">
        <f>'Lista global'!I299</f>
        <v>2072.2111111111112</v>
      </c>
      <c r="F48" s="1281">
        <f>'Lista global'!J299</f>
        <v>2217.88</v>
      </c>
      <c r="G48" s="1281"/>
      <c r="H48" s="1281"/>
      <c r="I48" s="1570">
        <v>2540.6</v>
      </c>
      <c r="J48" s="3331"/>
      <c r="K48" s="3331">
        <f t="shared" si="3"/>
        <v>-6.5679337425329096E-2</v>
      </c>
      <c r="L48" s="1281">
        <v>8808.8644000000004</v>
      </c>
      <c r="M48" s="1281">
        <v>5043.88</v>
      </c>
      <c r="N48" s="2702">
        <f t="shared" si="4"/>
        <v>43.825196019900503</v>
      </c>
    </row>
    <row r="49" spans="1:14" s="144" customFormat="1" x14ac:dyDescent="0.25">
      <c r="A49" s="156"/>
      <c r="B49" s="1848">
        <v>106205972</v>
      </c>
      <c r="C49" s="2361" t="s">
        <v>2779</v>
      </c>
      <c r="D49" s="1280">
        <v>220</v>
      </c>
      <c r="E49" s="2505">
        <f>'Lista global'!I300</f>
        <v>2072.2111111111112</v>
      </c>
      <c r="F49" s="1281">
        <f>'Lista global'!J300</f>
        <v>2217.88</v>
      </c>
      <c r="G49" s="1281"/>
      <c r="H49" s="1281"/>
      <c r="I49" s="1570">
        <v>2540.6</v>
      </c>
      <c r="J49" s="3331"/>
      <c r="K49" s="3331">
        <f t="shared" si="3"/>
        <v>-6.5679337425329096E-2</v>
      </c>
      <c r="L49" s="1281">
        <v>9401</v>
      </c>
      <c r="M49" s="1281">
        <v>5358.57</v>
      </c>
      <c r="N49" s="2702">
        <f t="shared" si="4"/>
        <v>42.731818181818184</v>
      </c>
    </row>
    <row r="50" spans="1:14" s="144" customFormat="1" x14ac:dyDescent="0.25">
      <c r="A50" s="156"/>
      <c r="B50" s="1848">
        <v>106205974</v>
      </c>
      <c r="C50" s="2361" t="s">
        <v>2780</v>
      </c>
      <c r="D50" s="1280">
        <v>229</v>
      </c>
      <c r="E50" s="2505">
        <f>'Lista global'!I301</f>
        <v>2072.2111111111112</v>
      </c>
      <c r="F50" s="1281">
        <f>'Lista global'!J301</f>
        <v>2217.88</v>
      </c>
      <c r="G50" s="1281"/>
      <c r="H50" s="1281"/>
      <c r="I50" s="1570">
        <v>2540.6</v>
      </c>
      <c r="J50" s="3331"/>
      <c r="K50" s="3331">
        <f t="shared" si="3"/>
        <v>-6.5679337425329096E-2</v>
      </c>
      <c r="L50" s="1281">
        <v>9495.01</v>
      </c>
      <c r="M50" s="1281">
        <v>5412.15</v>
      </c>
      <c r="N50" s="2702">
        <f t="shared" si="4"/>
        <v>41.462925764192143</v>
      </c>
    </row>
    <row r="51" spans="1:14" s="144" customFormat="1" x14ac:dyDescent="0.25">
      <c r="A51" s="156"/>
      <c r="B51" s="1848">
        <v>106205976</v>
      </c>
      <c r="C51" s="2361" t="s">
        <v>2781</v>
      </c>
      <c r="D51" s="1280">
        <v>255</v>
      </c>
      <c r="E51" s="2505">
        <f>'Lista global'!I302</f>
        <v>2072.2111111111112</v>
      </c>
      <c r="F51" s="1281">
        <f>'Lista global'!J302</f>
        <v>2217.88</v>
      </c>
      <c r="G51" s="1281"/>
      <c r="H51" s="1281"/>
      <c r="I51" s="1570">
        <v>2540.6</v>
      </c>
      <c r="J51" s="3331"/>
      <c r="K51" s="3331">
        <f t="shared" si="3"/>
        <v>-6.5679337425329096E-2</v>
      </c>
      <c r="L51" s="1281">
        <v>9495.01</v>
      </c>
      <c r="M51" s="1281">
        <v>5412.15</v>
      </c>
      <c r="N51" s="2702">
        <f t="shared" si="4"/>
        <v>37.235333333333337</v>
      </c>
    </row>
    <row r="54" spans="1:14" s="378" customFormat="1" x14ac:dyDescent="0.25">
      <c r="A54" s="1383" t="s">
        <v>1624</v>
      </c>
      <c r="B54" s="1383" t="s">
        <v>1626</v>
      </c>
      <c r="C54" s="1269" t="s">
        <v>1628</v>
      </c>
      <c r="D54" s="1269"/>
      <c r="E54" s="1269"/>
      <c r="F54" s="1270"/>
      <c r="G54" s="1271"/>
      <c r="H54" s="376"/>
      <c r="I54" s="568"/>
      <c r="J54" s="1272"/>
      <c r="K54" s="377"/>
      <c r="N54" s="1383"/>
    </row>
    <row r="55" spans="1:14" s="378" customFormat="1" x14ac:dyDescent="0.25">
      <c r="A55" s="1383" t="s">
        <v>1625</v>
      </c>
      <c r="B55" s="1383" t="s">
        <v>1627</v>
      </c>
      <c r="C55" s="1269" t="s">
        <v>1629</v>
      </c>
      <c r="D55" s="1269"/>
      <c r="E55" s="1269"/>
      <c r="F55" s="1270"/>
      <c r="G55" s="1271"/>
      <c r="H55" s="376"/>
      <c r="I55" s="568"/>
      <c r="J55" s="1272"/>
      <c r="K55" s="377"/>
      <c r="N55" s="1383"/>
    </row>
    <row r="57" spans="1:14" x14ac:dyDescent="0.25">
      <c r="D57" s="1383" t="s">
        <v>1373</v>
      </c>
      <c r="E57" s="1383"/>
      <c r="J57" s="1383" t="s">
        <v>3098</v>
      </c>
      <c r="L57" s="1383" t="s">
        <v>3100</v>
      </c>
    </row>
    <row r="58" spans="1:14" x14ac:dyDescent="0.25">
      <c r="D58" s="305" t="s">
        <v>1374</v>
      </c>
      <c r="E58" s="305"/>
      <c r="J58" s="1383" t="s">
        <v>3099</v>
      </c>
      <c r="L58" s="1383" t="s">
        <v>3100</v>
      </c>
    </row>
    <row r="59" spans="1:14" x14ac:dyDescent="0.25">
      <c r="D59" s="305" t="s">
        <v>1375</v>
      </c>
      <c r="E59" s="305"/>
    </row>
    <row r="60" spans="1:14" x14ac:dyDescent="0.25">
      <c r="D60" s="305" t="s">
        <v>1376</v>
      </c>
      <c r="E60" s="305"/>
    </row>
    <row r="61" spans="1:14" x14ac:dyDescent="0.25">
      <c r="D61" s="305" t="s">
        <v>1371</v>
      </c>
      <c r="E61" s="305"/>
    </row>
    <row r="62" spans="1:14" x14ac:dyDescent="0.25">
      <c r="D62" s="305" t="s">
        <v>1377</v>
      </c>
      <c r="E62" s="305"/>
    </row>
    <row r="63" spans="1:14" x14ac:dyDescent="0.25">
      <c r="D63" s="305" t="s">
        <v>1372</v>
      </c>
      <c r="E63" s="305"/>
    </row>
    <row r="64" spans="1:14" x14ac:dyDescent="0.25">
      <c r="D64" s="305" t="s">
        <v>1378</v>
      </c>
      <c r="E64" s="305"/>
    </row>
  </sheetData>
  <sortState ref="A2:L329">
    <sortCondition ref="B2:B32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topLeftCell="A28" workbookViewId="0">
      <selection activeCell="D44" sqref="D44"/>
    </sheetView>
  </sheetViews>
  <sheetFormatPr baseColWidth="10" defaultRowHeight="15" x14ac:dyDescent="0.25"/>
  <cols>
    <col min="1" max="1" width="38.7109375" style="1383" customWidth="1"/>
    <col min="2" max="2" width="11.42578125" style="1383"/>
    <col min="3" max="3" width="12.5703125" style="1383" customWidth="1"/>
    <col min="4" max="4" width="10.85546875" style="1383" bestFit="1" customWidth="1"/>
    <col min="5" max="5" width="56.42578125" style="1383" customWidth="1"/>
    <col min="6" max="6" width="11.42578125" style="1383" customWidth="1"/>
    <col min="7" max="7" width="11" customWidth="1"/>
    <col min="8" max="8" width="9.28515625" customWidth="1"/>
    <col min="9" max="10" width="11.42578125" style="175"/>
    <col min="11" max="11" width="12.7109375" customWidth="1"/>
    <col min="13" max="13" width="11.42578125" style="438"/>
    <col min="14" max="14" width="15.42578125" customWidth="1"/>
    <col min="20" max="20" width="58.42578125" bestFit="1" customWidth="1"/>
    <col min="21" max="21" width="54.140625" customWidth="1"/>
    <col min="22" max="22" width="12.5703125" bestFit="1" customWidth="1"/>
  </cols>
  <sheetData>
    <row r="1" spans="1:13" ht="15.75" thickBot="1" x14ac:dyDescent="0.3">
      <c r="B1" s="4124" t="s">
        <v>2020</v>
      </c>
      <c r="C1" s="4125"/>
      <c r="D1" s="4125"/>
      <c r="E1" s="1787" t="s">
        <v>1670</v>
      </c>
      <c r="F1" s="1603" t="s">
        <v>2202</v>
      </c>
      <c r="G1" s="175"/>
      <c r="H1" s="175"/>
      <c r="I1"/>
      <c r="J1"/>
      <c r="K1" s="438"/>
      <c r="M1"/>
    </row>
    <row r="2" spans="1:13" s="125" customFormat="1" ht="28.5" customHeight="1" thickBot="1" x14ac:dyDescent="0.3">
      <c r="A2" s="1807"/>
      <c r="B2" s="4126" t="s">
        <v>79</v>
      </c>
      <c r="C2" s="4127"/>
      <c r="D2" s="1789" t="s">
        <v>936</v>
      </c>
      <c r="E2" s="1789" t="s">
        <v>1</v>
      </c>
      <c r="F2" s="126" t="s">
        <v>960</v>
      </c>
    </row>
    <row r="3" spans="1:13" ht="15.75" thickBot="1" x14ac:dyDescent="0.3">
      <c r="A3" s="1360" t="s">
        <v>591</v>
      </c>
      <c r="B3" s="308" t="s">
        <v>21</v>
      </c>
      <c r="C3" s="127" t="s">
        <v>21</v>
      </c>
      <c r="D3" s="1880">
        <v>106114215</v>
      </c>
      <c r="E3" s="487" t="s">
        <v>223</v>
      </c>
      <c r="F3" s="1881">
        <v>1</v>
      </c>
      <c r="I3"/>
      <c r="J3"/>
      <c r="M3"/>
    </row>
    <row r="4" spans="1:13" x14ac:dyDescent="0.25">
      <c r="B4" s="4121" t="s">
        <v>210</v>
      </c>
      <c r="C4" s="478" t="s">
        <v>210</v>
      </c>
      <c r="D4" s="479">
        <v>106105751</v>
      </c>
      <c r="E4" s="480" t="s">
        <v>224</v>
      </c>
      <c r="F4" s="490">
        <v>1</v>
      </c>
      <c r="I4"/>
      <c r="J4"/>
      <c r="M4"/>
    </row>
    <row r="5" spans="1:13" ht="15.75" thickBot="1" x14ac:dyDescent="0.3">
      <c r="B5" s="4123"/>
      <c r="C5" s="283" t="s">
        <v>211</v>
      </c>
      <c r="D5" s="90">
        <v>106105883</v>
      </c>
      <c r="E5" s="89" t="s">
        <v>225</v>
      </c>
      <c r="F5" s="491">
        <v>1</v>
      </c>
      <c r="I5"/>
      <c r="J5"/>
      <c r="M5"/>
    </row>
    <row r="6" spans="1:13" ht="24" x14ac:dyDescent="0.25">
      <c r="B6" s="4121" t="s">
        <v>16</v>
      </c>
      <c r="C6" s="128" t="s">
        <v>212</v>
      </c>
      <c r="D6" s="88">
        <v>106105887</v>
      </c>
      <c r="E6" s="124" t="s">
        <v>238</v>
      </c>
      <c r="F6" s="492">
        <v>4</v>
      </c>
      <c r="I6"/>
      <c r="J6"/>
      <c r="M6"/>
    </row>
    <row r="7" spans="1:13" x14ac:dyDescent="0.25">
      <c r="B7" s="4122"/>
      <c r="C7" s="128" t="s">
        <v>15</v>
      </c>
      <c r="D7" s="88">
        <v>106105404</v>
      </c>
      <c r="E7" s="124" t="s">
        <v>242</v>
      </c>
      <c r="F7" s="492">
        <v>3</v>
      </c>
      <c r="I7"/>
      <c r="J7"/>
      <c r="M7"/>
    </row>
    <row r="8" spans="1:13" ht="15.75" thickBot="1" x14ac:dyDescent="0.3">
      <c r="B8" s="4123"/>
      <c r="C8" s="128" t="s">
        <v>213</v>
      </c>
      <c r="D8" s="88">
        <v>106104088</v>
      </c>
      <c r="E8" s="124" t="s">
        <v>227</v>
      </c>
      <c r="F8" s="492">
        <v>1</v>
      </c>
      <c r="I8"/>
      <c r="J8"/>
      <c r="M8"/>
    </row>
    <row r="9" spans="1:13" ht="29.25" customHeight="1" x14ac:dyDescent="0.25">
      <c r="B9" s="4121" t="s">
        <v>214</v>
      </c>
      <c r="C9" s="478" t="s">
        <v>268</v>
      </c>
      <c r="D9" s="481">
        <v>106105439</v>
      </c>
      <c r="E9" s="480" t="s">
        <v>228</v>
      </c>
      <c r="F9" s="490">
        <v>6</v>
      </c>
      <c r="I9"/>
      <c r="J9"/>
      <c r="M9"/>
    </row>
    <row r="10" spans="1:13" x14ac:dyDescent="0.25">
      <c r="B10" s="4122"/>
      <c r="C10" s="128" t="s">
        <v>20</v>
      </c>
      <c r="D10" s="120">
        <v>106105901</v>
      </c>
      <c r="E10" s="124" t="s">
        <v>3909</v>
      </c>
      <c r="F10" s="492">
        <v>3</v>
      </c>
      <c r="I10"/>
      <c r="J10"/>
      <c r="M10"/>
    </row>
    <row r="11" spans="1:13" ht="15.75" thickBot="1" x14ac:dyDescent="0.3">
      <c r="B11" s="4123"/>
      <c r="C11" s="283" t="s">
        <v>216</v>
      </c>
      <c r="D11" s="482">
        <v>106105902</v>
      </c>
      <c r="E11" s="89" t="s">
        <v>230</v>
      </c>
      <c r="F11" s="491">
        <v>3</v>
      </c>
      <c r="I11"/>
      <c r="J11"/>
      <c r="M11"/>
    </row>
    <row r="12" spans="1:13" ht="15" customHeight="1" x14ac:dyDescent="0.25">
      <c r="B12" s="4121" t="s">
        <v>217</v>
      </c>
      <c r="C12" s="128" t="s">
        <v>217</v>
      </c>
      <c r="D12" s="88">
        <v>106105140</v>
      </c>
      <c r="E12" s="124" t="s">
        <v>231</v>
      </c>
      <c r="F12" s="492">
        <v>8</v>
      </c>
      <c r="I12"/>
      <c r="J12"/>
      <c r="M12"/>
    </row>
    <row r="13" spans="1:13" ht="15.75" thickBot="1" x14ac:dyDescent="0.3">
      <c r="B13" s="4123"/>
      <c r="C13" s="128" t="s">
        <v>218</v>
      </c>
      <c r="D13" s="88">
        <v>106105150</v>
      </c>
      <c r="E13" s="124" t="s">
        <v>232</v>
      </c>
      <c r="F13" s="492">
        <v>8</v>
      </c>
      <c r="I13"/>
      <c r="J13"/>
      <c r="M13"/>
    </row>
    <row r="14" spans="1:13" ht="15" customHeight="1" x14ac:dyDescent="0.25">
      <c r="B14" s="4121" t="s">
        <v>219</v>
      </c>
      <c r="C14" s="478" t="s">
        <v>219</v>
      </c>
      <c r="D14" s="479">
        <v>106105141</v>
      </c>
      <c r="E14" s="480" t="s">
        <v>233</v>
      </c>
      <c r="F14" s="490">
        <v>8</v>
      </c>
      <c r="I14"/>
      <c r="J14"/>
      <c r="M14"/>
    </row>
    <row r="15" spans="1:13" ht="15.75" thickBot="1" x14ac:dyDescent="0.3">
      <c r="B15" s="4123"/>
      <c r="C15" s="283" t="s">
        <v>220</v>
      </c>
      <c r="D15" s="90">
        <v>106105151</v>
      </c>
      <c r="E15" s="89" t="s">
        <v>234</v>
      </c>
      <c r="F15" s="491">
        <v>8</v>
      </c>
      <c r="I15"/>
      <c r="J15"/>
      <c r="M15"/>
    </row>
    <row r="16" spans="1:13" s="794" customFormat="1" ht="16.5" customHeight="1" x14ac:dyDescent="0.25">
      <c r="B16" s="795"/>
      <c r="C16" s="796" t="s">
        <v>23</v>
      </c>
      <c r="D16" s="797">
        <v>106110281</v>
      </c>
      <c r="E16" s="798" t="s">
        <v>2021</v>
      </c>
      <c r="F16" s="799">
        <v>2</v>
      </c>
    </row>
    <row r="17" spans="1:13" x14ac:dyDescent="0.25">
      <c r="B17" s="309"/>
      <c r="C17" s="128" t="s">
        <v>14</v>
      </c>
      <c r="D17" s="88">
        <v>106200787</v>
      </c>
      <c r="E17" s="124" t="s">
        <v>235</v>
      </c>
      <c r="F17" s="492">
        <v>1</v>
      </c>
      <c r="I17"/>
      <c r="J17"/>
      <c r="M17"/>
    </row>
    <row r="18" spans="1:13" x14ac:dyDescent="0.25">
      <c r="B18" s="309"/>
      <c r="C18" s="128" t="s">
        <v>196</v>
      </c>
      <c r="D18" s="88">
        <v>106201346</v>
      </c>
      <c r="E18" s="124" t="s">
        <v>2022</v>
      </c>
      <c r="F18" s="492">
        <v>1</v>
      </c>
      <c r="I18"/>
      <c r="J18"/>
      <c r="M18"/>
    </row>
    <row r="19" spans="1:13" x14ac:dyDescent="0.25">
      <c r="B19" s="309"/>
      <c r="C19" s="128" t="s">
        <v>221</v>
      </c>
      <c r="D19" s="88">
        <v>106200823</v>
      </c>
      <c r="E19" s="124" t="s">
        <v>236</v>
      </c>
      <c r="F19" s="492">
        <v>1</v>
      </c>
      <c r="I19"/>
      <c r="J19"/>
      <c r="M19"/>
    </row>
    <row r="20" spans="1:13" ht="15.75" thickBot="1" x14ac:dyDescent="0.3">
      <c r="B20" s="309"/>
      <c r="C20" s="128" t="s">
        <v>222</v>
      </c>
      <c r="D20" s="88">
        <v>106112565</v>
      </c>
      <c r="E20" s="124" t="s">
        <v>237</v>
      </c>
      <c r="F20" s="492">
        <v>1</v>
      </c>
      <c r="I20"/>
      <c r="J20"/>
      <c r="M20"/>
    </row>
    <row r="21" spans="1:13" ht="15.75" thickBot="1" x14ac:dyDescent="0.3">
      <c r="A21" s="103"/>
      <c r="B21" s="310"/>
      <c r="C21" s="280" t="s">
        <v>30</v>
      </c>
      <c r="D21" s="281">
        <v>106202562</v>
      </c>
      <c r="E21" s="282" t="s">
        <v>2058</v>
      </c>
      <c r="F21" s="493">
        <v>1</v>
      </c>
      <c r="I21"/>
      <c r="J21"/>
      <c r="M21"/>
    </row>
    <row r="22" spans="1:13" s="99" customFormat="1" ht="15.75" customHeight="1" x14ac:dyDescent="0.25">
      <c r="A22" s="103"/>
      <c r="B22" s="4103" t="s">
        <v>2023</v>
      </c>
      <c r="C22" s="484" t="s">
        <v>341</v>
      </c>
      <c r="D22" s="483">
        <v>106110170</v>
      </c>
      <c r="E22" s="488" t="s">
        <v>260</v>
      </c>
      <c r="F22" s="118">
        <v>1</v>
      </c>
    </row>
    <row r="23" spans="1:13" s="99" customFormat="1" ht="15.75" customHeight="1" x14ac:dyDescent="0.25">
      <c r="A23" s="373" t="s">
        <v>2024</v>
      </c>
      <c r="B23" s="4104"/>
      <c r="C23" s="485" t="s">
        <v>645</v>
      </c>
      <c r="D23" s="130">
        <v>106110278</v>
      </c>
      <c r="E23" s="489" t="s">
        <v>262</v>
      </c>
      <c r="F23" s="119">
        <v>1</v>
      </c>
    </row>
    <row r="24" spans="1:13" s="99" customFormat="1" ht="15.75" customHeight="1" thickBot="1" x14ac:dyDescent="0.3">
      <c r="A24" s="373" t="s">
        <v>2025</v>
      </c>
      <c r="B24" s="4105"/>
      <c r="C24" s="486" t="s">
        <v>263</v>
      </c>
      <c r="D24" s="290">
        <v>106112685</v>
      </c>
      <c r="E24" s="289" t="s">
        <v>445</v>
      </c>
      <c r="F24" s="23">
        <v>1</v>
      </c>
    </row>
    <row r="25" spans="1:13" s="11" customFormat="1" x14ac:dyDescent="0.25">
      <c r="A25" s="373" t="s">
        <v>2026</v>
      </c>
      <c r="B25" s="1383"/>
      <c r="C25" s="1383"/>
      <c r="D25" s="1383"/>
      <c r="E25" s="1383"/>
      <c r="F25" s="1383"/>
      <c r="I25" s="175"/>
      <c r="J25" s="175"/>
      <c r="M25" s="438"/>
    </row>
    <row r="26" spans="1:13" ht="15.75" x14ac:dyDescent="0.25">
      <c r="A26" s="373" t="s">
        <v>500</v>
      </c>
      <c r="B26" s="284"/>
    </row>
    <row r="27" spans="1:13" ht="15.75" thickBot="1" x14ac:dyDescent="0.3"/>
    <row r="28" spans="1:13" ht="15.75" thickBot="1" x14ac:dyDescent="0.3">
      <c r="B28" s="4128" t="s">
        <v>2059</v>
      </c>
      <c r="C28" s="4129"/>
      <c r="D28" s="4129"/>
      <c r="E28" s="4129"/>
      <c r="F28" s="1603" t="s">
        <v>2202</v>
      </c>
    </row>
    <row r="29" spans="1:13" ht="15.75" thickBot="1" x14ac:dyDescent="0.3">
      <c r="B29" s="4131" t="s">
        <v>79</v>
      </c>
      <c r="C29" s="4132"/>
      <c r="D29" s="2095" t="s">
        <v>9</v>
      </c>
      <c r="E29" s="2096" t="s">
        <v>1</v>
      </c>
      <c r="F29" s="2095" t="s">
        <v>349</v>
      </c>
      <c r="H29" s="175"/>
      <c r="J29"/>
      <c r="L29" s="438"/>
      <c r="M29"/>
    </row>
    <row r="30" spans="1:13" x14ac:dyDescent="0.25">
      <c r="B30" s="4113" t="s">
        <v>21</v>
      </c>
      <c r="C30" s="860" t="s">
        <v>21</v>
      </c>
      <c r="D30" s="481">
        <v>106104113</v>
      </c>
      <c r="E30" s="480" t="s">
        <v>883</v>
      </c>
      <c r="F30" s="479">
        <v>1</v>
      </c>
      <c r="H30" s="175"/>
      <c r="J30"/>
      <c r="L30" s="438"/>
      <c r="M30"/>
    </row>
    <row r="31" spans="1:13" ht="15.75" thickBot="1" x14ac:dyDescent="0.3">
      <c r="B31" s="4114"/>
      <c r="C31" s="862" t="s">
        <v>22</v>
      </c>
      <c r="D31" s="120">
        <v>106104130</v>
      </c>
      <c r="E31" s="124" t="s">
        <v>2032</v>
      </c>
      <c r="F31" s="88">
        <v>1</v>
      </c>
      <c r="H31" s="175"/>
      <c r="J31"/>
      <c r="L31" s="438"/>
      <c r="M31"/>
    </row>
    <row r="32" spans="1:13" x14ac:dyDescent="0.25">
      <c r="B32" s="4113" t="s">
        <v>210</v>
      </c>
      <c r="C32" s="862" t="s">
        <v>210</v>
      </c>
      <c r="D32" s="88">
        <v>106105751</v>
      </c>
      <c r="E32" s="124" t="s">
        <v>224</v>
      </c>
      <c r="F32" s="88">
        <v>1</v>
      </c>
      <c r="H32" s="175"/>
      <c r="J32"/>
      <c r="L32" s="438"/>
      <c r="M32"/>
    </row>
    <row r="33" spans="2:13" ht="15.75" thickBot="1" x14ac:dyDescent="0.3">
      <c r="B33" s="4114"/>
      <c r="C33" s="862" t="s">
        <v>211</v>
      </c>
      <c r="D33" s="88">
        <v>106105883</v>
      </c>
      <c r="E33" s="124" t="s">
        <v>225</v>
      </c>
      <c r="F33" s="88">
        <v>1</v>
      </c>
      <c r="H33" s="175"/>
      <c r="J33"/>
      <c r="L33" s="438"/>
      <c r="M33"/>
    </row>
    <row r="34" spans="2:13" ht="24" x14ac:dyDescent="0.25">
      <c r="B34" s="4113" t="s">
        <v>16</v>
      </c>
      <c r="C34" s="862" t="s">
        <v>212</v>
      </c>
      <c r="D34" s="88">
        <v>106105887</v>
      </c>
      <c r="E34" s="124" t="s">
        <v>2033</v>
      </c>
      <c r="F34" s="88">
        <v>4</v>
      </c>
      <c r="H34" s="175"/>
      <c r="J34"/>
      <c r="L34" s="438"/>
      <c r="M34"/>
    </row>
    <row r="35" spans="2:13" x14ac:dyDescent="0.25">
      <c r="B35" s="4120"/>
      <c r="C35" s="862" t="s">
        <v>15</v>
      </c>
      <c r="D35" s="88">
        <v>106105404</v>
      </c>
      <c r="E35" s="124" t="s">
        <v>242</v>
      </c>
      <c r="F35" s="88">
        <v>3</v>
      </c>
      <c r="H35" s="175"/>
      <c r="J35"/>
      <c r="L35" s="438"/>
      <c r="M35"/>
    </row>
    <row r="36" spans="2:13" ht="15.75" thickBot="1" x14ac:dyDescent="0.3">
      <c r="B36" s="4114"/>
      <c r="C36" s="862" t="s">
        <v>213</v>
      </c>
      <c r="D36" s="88">
        <v>106104088</v>
      </c>
      <c r="E36" s="124" t="s">
        <v>227</v>
      </c>
      <c r="F36" s="88">
        <v>1</v>
      </c>
      <c r="H36" s="175"/>
      <c r="J36"/>
      <c r="L36" s="438"/>
      <c r="M36"/>
    </row>
    <row r="37" spans="2:13" ht="36" x14ac:dyDescent="0.25">
      <c r="B37" s="4113" t="s">
        <v>214</v>
      </c>
      <c r="C37" s="862" t="s">
        <v>215</v>
      </c>
      <c r="D37" s="120">
        <v>106105439</v>
      </c>
      <c r="E37" s="124" t="s">
        <v>228</v>
      </c>
      <c r="F37" s="88">
        <v>6</v>
      </c>
      <c r="H37" s="175"/>
      <c r="J37"/>
      <c r="L37" s="438"/>
      <c r="M37"/>
    </row>
    <row r="38" spans="2:13" x14ac:dyDescent="0.25">
      <c r="B38" s="4120"/>
      <c r="C38" s="862" t="s">
        <v>20</v>
      </c>
      <c r="D38" s="120">
        <v>106105901</v>
      </c>
      <c r="E38" s="124" t="s">
        <v>3909</v>
      </c>
      <c r="F38" s="88">
        <v>3</v>
      </c>
      <c r="H38" s="175"/>
      <c r="J38"/>
      <c r="L38" s="438"/>
      <c r="M38"/>
    </row>
    <row r="39" spans="2:13" ht="15.75" thickBot="1" x14ac:dyDescent="0.3">
      <c r="B39" s="4114"/>
      <c r="C39" s="862" t="s">
        <v>216</v>
      </c>
      <c r="D39" s="120">
        <v>106105902</v>
      </c>
      <c r="E39" s="124" t="s">
        <v>230</v>
      </c>
      <c r="F39" s="88">
        <v>3</v>
      </c>
      <c r="H39" s="175"/>
      <c r="J39"/>
      <c r="L39" s="438"/>
      <c r="M39"/>
    </row>
    <row r="40" spans="2:13" ht="15" customHeight="1" x14ac:dyDescent="0.25">
      <c r="B40" s="4113" t="s">
        <v>217</v>
      </c>
      <c r="C40" s="862" t="s">
        <v>217</v>
      </c>
      <c r="D40" s="88">
        <v>106105140</v>
      </c>
      <c r="E40" s="124" t="s">
        <v>231</v>
      </c>
      <c r="F40" s="88">
        <v>8</v>
      </c>
      <c r="H40" s="175"/>
      <c r="J40"/>
      <c r="L40" s="438"/>
      <c r="M40"/>
    </row>
    <row r="41" spans="2:13" ht="15.75" thickBot="1" x14ac:dyDescent="0.3">
      <c r="B41" s="4114"/>
      <c r="C41" s="862" t="s">
        <v>218</v>
      </c>
      <c r="D41" s="88">
        <v>106105150</v>
      </c>
      <c r="E41" s="124" t="s">
        <v>232</v>
      </c>
      <c r="F41" s="88">
        <v>8</v>
      </c>
      <c r="H41" s="175"/>
      <c r="J41"/>
      <c r="L41" s="438"/>
      <c r="M41"/>
    </row>
    <row r="42" spans="2:13" ht="15" customHeight="1" x14ac:dyDescent="0.25">
      <c r="B42" s="4113" t="s">
        <v>219</v>
      </c>
      <c r="C42" s="862" t="s">
        <v>219</v>
      </c>
      <c r="D42" s="88">
        <v>106105141</v>
      </c>
      <c r="E42" s="124" t="s">
        <v>233</v>
      </c>
      <c r="F42" s="88">
        <v>8</v>
      </c>
      <c r="H42" s="175"/>
      <c r="J42"/>
      <c r="L42" s="438"/>
      <c r="M42"/>
    </row>
    <row r="43" spans="2:13" ht="15.75" thickBot="1" x14ac:dyDescent="0.3">
      <c r="B43" s="4114"/>
      <c r="C43" s="862" t="s">
        <v>220</v>
      </c>
      <c r="D43" s="88">
        <v>106105151</v>
      </c>
      <c r="E43" s="124" t="s">
        <v>234</v>
      </c>
      <c r="F43" s="88">
        <v>8</v>
      </c>
      <c r="H43" s="175"/>
      <c r="J43"/>
      <c r="L43" s="438"/>
      <c r="M43"/>
    </row>
    <row r="44" spans="2:13" ht="24" x14ac:dyDescent="0.25">
      <c r="B44" s="4115"/>
      <c r="C44" s="862" t="s">
        <v>23</v>
      </c>
      <c r="D44" s="88">
        <v>106110281</v>
      </c>
      <c r="E44" s="124" t="s">
        <v>2021</v>
      </c>
      <c r="F44" s="88">
        <v>2</v>
      </c>
      <c r="H44" s="175"/>
      <c r="J44"/>
      <c r="L44" s="438"/>
      <c r="M44"/>
    </row>
    <row r="45" spans="2:13" x14ac:dyDescent="0.25">
      <c r="B45" s="4116"/>
      <c r="C45" s="862" t="s">
        <v>14</v>
      </c>
      <c r="D45" s="88">
        <v>106200787</v>
      </c>
      <c r="E45" s="124" t="s">
        <v>235</v>
      </c>
      <c r="F45" s="88">
        <v>1</v>
      </c>
      <c r="H45" s="175"/>
      <c r="J45"/>
      <c r="L45" s="438"/>
      <c r="M45"/>
    </row>
    <row r="46" spans="2:13" x14ac:dyDescent="0.25">
      <c r="B46" s="4116"/>
      <c r="C46" s="862" t="s">
        <v>196</v>
      </c>
      <c r="D46" s="88">
        <v>106201346</v>
      </c>
      <c r="E46" s="124" t="s">
        <v>2022</v>
      </c>
      <c r="F46" s="88">
        <v>1</v>
      </c>
      <c r="H46" s="175"/>
      <c r="J46"/>
      <c r="L46" s="438"/>
      <c r="M46"/>
    </row>
    <row r="47" spans="2:13" x14ac:dyDescent="0.25">
      <c r="B47" s="4116"/>
      <c r="C47" s="862" t="s">
        <v>221</v>
      </c>
      <c r="D47" s="88">
        <v>106200823</v>
      </c>
      <c r="E47" s="124" t="s">
        <v>236</v>
      </c>
      <c r="F47" s="88">
        <v>1</v>
      </c>
      <c r="H47" s="175"/>
      <c r="J47"/>
      <c r="L47" s="438"/>
      <c r="M47"/>
    </row>
    <row r="48" spans="2:13" x14ac:dyDescent="0.25">
      <c r="B48" s="4116"/>
      <c r="C48" s="862" t="s">
        <v>884</v>
      </c>
      <c r="D48" s="88">
        <v>106110284</v>
      </c>
      <c r="E48" s="124" t="s">
        <v>885</v>
      </c>
      <c r="F48" s="88">
        <v>3</v>
      </c>
      <c r="H48" s="175"/>
      <c r="J48"/>
      <c r="L48" s="438"/>
      <c r="M48"/>
    </row>
    <row r="49" spans="2:13" x14ac:dyDescent="0.25">
      <c r="B49" s="4116"/>
      <c r="C49" s="862" t="s">
        <v>7</v>
      </c>
      <c r="D49" s="88">
        <v>106200865</v>
      </c>
      <c r="E49" s="124" t="s">
        <v>2034</v>
      </c>
      <c r="F49" s="88">
        <v>1</v>
      </c>
      <c r="H49" s="175"/>
      <c r="J49"/>
      <c r="L49" s="438"/>
      <c r="M49"/>
    </row>
    <row r="50" spans="2:13" x14ac:dyDescent="0.25">
      <c r="B50" s="4116"/>
      <c r="C50" s="862" t="s">
        <v>222</v>
      </c>
      <c r="D50" s="88">
        <v>106112565</v>
      </c>
      <c r="E50" s="124" t="s">
        <v>237</v>
      </c>
      <c r="F50" s="88">
        <v>1</v>
      </c>
      <c r="H50" s="175"/>
      <c r="J50"/>
      <c r="L50" s="438"/>
      <c r="M50"/>
    </row>
    <row r="51" spans="2:13" ht="15.75" thickBot="1" x14ac:dyDescent="0.3">
      <c r="B51" s="863"/>
      <c r="C51" s="861" t="s">
        <v>30</v>
      </c>
      <c r="D51" s="90">
        <v>106202562</v>
      </c>
      <c r="E51" s="89" t="s">
        <v>2058</v>
      </c>
      <c r="F51" s="90">
        <v>1</v>
      </c>
      <c r="H51" s="175"/>
      <c r="J51"/>
      <c r="L51" s="438"/>
      <c r="M51"/>
    </row>
    <row r="52" spans="2:13" ht="15.75" thickBot="1" x14ac:dyDescent="0.3"/>
    <row r="53" spans="2:13" ht="15.75" thickBot="1" x14ac:dyDescent="0.3">
      <c r="C53" s="4128" t="s">
        <v>2060</v>
      </c>
      <c r="D53" s="4129"/>
      <c r="E53" s="4129"/>
      <c r="F53" s="4130"/>
    </row>
    <row r="54" spans="2:13" ht="15.75" thickBot="1" x14ac:dyDescent="0.3">
      <c r="C54" s="864" t="s">
        <v>79</v>
      </c>
      <c r="D54" s="832" t="s">
        <v>2061</v>
      </c>
      <c r="E54" s="865" t="s">
        <v>1</v>
      </c>
    </row>
    <row r="55" spans="2:13" ht="15.75" thickBot="1" x14ac:dyDescent="0.3">
      <c r="C55" s="623" t="s">
        <v>30</v>
      </c>
      <c r="D55" s="234">
        <v>1</v>
      </c>
      <c r="E55" s="866" t="s">
        <v>2037</v>
      </c>
    </row>
    <row r="56" spans="2:13" ht="15.75" thickBot="1" x14ac:dyDescent="0.3">
      <c r="C56" s="623" t="s">
        <v>14</v>
      </c>
      <c r="D56" s="234">
        <v>1</v>
      </c>
      <c r="E56" s="866" t="s">
        <v>2062</v>
      </c>
    </row>
    <row r="57" spans="2:13" ht="15.75" thickBot="1" x14ac:dyDescent="0.3">
      <c r="C57" s="623" t="s">
        <v>15</v>
      </c>
      <c r="D57" s="234">
        <v>3</v>
      </c>
      <c r="E57" s="866" t="s">
        <v>2063</v>
      </c>
    </row>
    <row r="58" spans="2:13" ht="15.75" thickBot="1" x14ac:dyDescent="0.3">
      <c r="C58" s="623" t="s">
        <v>16</v>
      </c>
      <c r="D58" s="234">
        <v>3</v>
      </c>
      <c r="E58" s="866" t="s">
        <v>2033</v>
      </c>
    </row>
    <row r="59" spans="2:13" ht="52.5" thickBot="1" x14ac:dyDescent="0.3">
      <c r="C59" s="867" t="s">
        <v>19</v>
      </c>
      <c r="D59" s="234">
        <v>9</v>
      </c>
      <c r="E59" s="868" t="s">
        <v>2064</v>
      </c>
    </row>
    <row r="60" spans="2:13" ht="15.75" thickBot="1" x14ac:dyDescent="0.3">
      <c r="C60" s="867" t="s">
        <v>20</v>
      </c>
      <c r="D60" s="234">
        <v>3</v>
      </c>
      <c r="E60" s="868" t="s">
        <v>229</v>
      </c>
    </row>
    <row r="61" spans="2:13" ht="39.75" thickBot="1" x14ac:dyDescent="0.3">
      <c r="C61" s="867" t="s">
        <v>886</v>
      </c>
      <c r="D61" s="234">
        <v>6</v>
      </c>
      <c r="E61" s="868" t="s">
        <v>230</v>
      </c>
    </row>
    <row r="62" spans="2:13" ht="15.75" thickBot="1" x14ac:dyDescent="0.3">
      <c r="C62" s="867" t="s">
        <v>21</v>
      </c>
      <c r="D62" s="234">
        <v>1</v>
      </c>
      <c r="E62" s="868" t="s">
        <v>883</v>
      </c>
    </row>
    <row r="63" spans="2:13" ht="15.75" thickBot="1" x14ac:dyDescent="0.3">
      <c r="C63" s="867" t="s">
        <v>887</v>
      </c>
      <c r="D63" s="234">
        <v>1</v>
      </c>
      <c r="E63" s="868" t="s">
        <v>2032</v>
      </c>
    </row>
    <row r="64" spans="2:13" ht="27" thickBot="1" x14ac:dyDescent="0.3">
      <c r="C64" s="867" t="s">
        <v>23</v>
      </c>
      <c r="D64" s="234">
        <v>2</v>
      </c>
      <c r="E64" s="868" t="s">
        <v>2065</v>
      </c>
    </row>
    <row r="65" spans="3:5" ht="15.75" thickBot="1" x14ac:dyDescent="0.3">
      <c r="C65" s="867" t="s">
        <v>24</v>
      </c>
      <c r="D65" s="234">
        <v>1</v>
      </c>
      <c r="E65" s="868" t="s">
        <v>225</v>
      </c>
    </row>
    <row r="66" spans="3:5" ht="15.75" thickBot="1" x14ac:dyDescent="0.3">
      <c r="C66" s="867" t="s">
        <v>27</v>
      </c>
      <c r="D66" s="234">
        <v>1</v>
      </c>
      <c r="E66" s="868" t="s">
        <v>224</v>
      </c>
    </row>
    <row r="67" spans="3:5" ht="15.75" thickBot="1" x14ac:dyDescent="0.3">
      <c r="C67" s="869" t="s">
        <v>17</v>
      </c>
      <c r="D67" s="234">
        <v>1</v>
      </c>
      <c r="E67" s="870" t="s">
        <v>227</v>
      </c>
    </row>
    <row r="68" spans="3:5" ht="27" thickBot="1" x14ac:dyDescent="0.3">
      <c r="C68" s="869" t="s">
        <v>3</v>
      </c>
      <c r="D68" s="234"/>
      <c r="E68" s="870" t="s">
        <v>2051</v>
      </c>
    </row>
    <row r="69" spans="3:5" ht="27" thickBot="1" x14ac:dyDescent="0.3">
      <c r="C69" s="867" t="s">
        <v>221</v>
      </c>
      <c r="D69" s="234">
        <v>1</v>
      </c>
      <c r="E69" s="868" t="s">
        <v>2052</v>
      </c>
    </row>
    <row r="70" spans="3:5" ht="27" thickBot="1" x14ac:dyDescent="0.3">
      <c r="C70" s="867" t="s">
        <v>2</v>
      </c>
      <c r="D70" s="234">
        <v>1</v>
      </c>
      <c r="E70" s="868" t="s">
        <v>2053</v>
      </c>
    </row>
    <row r="71" spans="3:5" ht="15.75" thickBot="1" x14ac:dyDescent="0.3">
      <c r="C71" s="867" t="s">
        <v>28</v>
      </c>
      <c r="D71" s="234">
        <v>1</v>
      </c>
      <c r="E71" s="868" t="s">
        <v>2066</v>
      </c>
    </row>
    <row r="72" spans="3:5" ht="15.75" thickBot="1" x14ac:dyDescent="0.3">
      <c r="C72" s="867" t="s">
        <v>29</v>
      </c>
      <c r="D72" s="234">
        <v>1</v>
      </c>
      <c r="E72" s="868" t="s">
        <v>2067</v>
      </c>
    </row>
  </sheetData>
  <mergeCells count="18">
    <mergeCell ref="B22:B24"/>
    <mergeCell ref="C53:F53"/>
    <mergeCell ref="B40:B41"/>
    <mergeCell ref="B42:B43"/>
    <mergeCell ref="B44:B50"/>
    <mergeCell ref="B28:E28"/>
    <mergeCell ref="B29:C29"/>
    <mergeCell ref="B30:B31"/>
    <mergeCell ref="B32:B33"/>
    <mergeCell ref="B34:B36"/>
    <mergeCell ref="B37:B39"/>
    <mergeCell ref="B9:B11"/>
    <mergeCell ref="B12:B13"/>
    <mergeCell ref="B14:B15"/>
    <mergeCell ref="B1:D1"/>
    <mergeCell ref="B2:C2"/>
    <mergeCell ref="B4:B5"/>
    <mergeCell ref="B6:B8"/>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1"/>
  <sheetViews>
    <sheetView topLeftCell="A28" workbookViewId="0">
      <selection activeCell="C53" sqref="C53"/>
    </sheetView>
  </sheetViews>
  <sheetFormatPr baseColWidth="10" defaultRowHeight="15" x14ac:dyDescent="0.25"/>
  <cols>
    <col min="1" max="1" width="8.85546875" style="1383" customWidth="1"/>
    <col min="2" max="2" width="14" style="1383" customWidth="1"/>
    <col min="3" max="3" width="12.5703125" style="1383" bestFit="1" customWidth="1"/>
    <col min="4" max="4" width="57.5703125" style="1383" bestFit="1" customWidth="1"/>
    <col min="5" max="6" width="11.42578125" style="1383"/>
    <col min="7" max="7" width="11.42578125" style="11"/>
    <col min="8" max="8" width="12.5703125" style="11" bestFit="1" customWidth="1"/>
    <col min="9" max="9" width="12.7109375" style="11" customWidth="1"/>
    <col min="10" max="10" width="11.85546875" style="11" bestFit="1" customWidth="1"/>
    <col min="11" max="16384" width="11.42578125" style="11"/>
  </cols>
  <sheetData>
    <row r="1" spans="1:6" ht="15.75" thickBot="1" x14ac:dyDescent="0.3"/>
    <row r="2" spans="1:6" ht="18.75" customHeight="1" thickBot="1" x14ac:dyDescent="0.3">
      <c r="A2" s="4133" t="s">
        <v>45</v>
      </c>
      <c r="B2" s="4134"/>
      <c r="C2" s="4134"/>
      <c r="D2" s="4134"/>
      <c r="E2" s="1790" t="s">
        <v>2107</v>
      </c>
      <c r="F2" s="1383" t="s">
        <v>44</v>
      </c>
    </row>
    <row r="3" spans="1:6" ht="26.25" thickBot="1" x14ac:dyDescent="0.3">
      <c r="A3" s="10" t="s">
        <v>2035</v>
      </c>
      <c r="B3" s="1882" t="s">
        <v>526</v>
      </c>
      <c r="C3" s="1882" t="s">
        <v>936</v>
      </c>
      <c r="D3" s="1883" t="s">
        <v>1</v>
      </c>
      <c r="E3" s="4" t="s">
        <v>2036</v>
      </c>
      <c r="F3" s="11"/>
    </row>
    <row r="4" spans="1:6" x14ac:dyDescent="0.25">
      <c r="A4" s="876">
        <v>2</v>
      </c>
      <c r="B4" s="877" t="s">
        <v>48</v>
      </c>
      <c r="C4" s="878"/>
      <c r="D4" s="879" t="s">
        <v>2068</v>
      </c>
      <c r="E4" s="880"/>
      <c r="F4" s="11"/>
    </row>
    <row r="5" spans="1:6" x14ac:dyDescent="0.25">
      <c r="A5" s="1884" t="s">
        <v>49</v>
      </c>
      <c r="B5" s="1885" t="s">
        <v>50</v>
      </c>
      <c r="C5" s="1886"/>
      <c r="D5" s="1885" t="s">
        <v>2069</v>
      </c>
      <c r="E5" s="1887">
        <v>1</v>
      </c>
      <c r="F5" s="11"/>
    </row>
    <row r="6" spans="1:6" x14ac:dyDescent="0.25">
      <c r="A6" s="1884" t="s">
        <v>51</v>
      </c>
      <c r="B6" s="1885" t="s">
        <v>52</v>
      </c>
      <c r="C6" s="1885"/>
      <c r="D6" s="1885" t="s">
        <v>2070</v>
      </c>
      <c r="E6" s="1887">
        <v>1</v>
      </c>
      <c r="F6" s="11"/>
    </row>
    <row r="7" spans="1:6" ht="15.75" thickBot="1" x14ac:dyDescent="0.3">
      <c r="A7" s="1888" t="s">
        <v>53</v>
      </c>
      <c r="B7" s="882" t="s">
        <v>2071</v>
      </c>
      <c r="C7" s="882"/>
      <c r="D7" s="882" t="s">
        <v>2072</v>
      </c>
      <c r="E7" s="883">
        <v>1</v>
      </c>
      <c r="F7" s="11"/>
    </row>
    <row r="8" spans="1:6" x14ac:dyDescent="0.25">
      <c r="A8" s="876">
        <v>3</v>
      </c>
      <c r="B8" s="877"/>
      <c r="C8" s="877"/>
      <c r="D8" s="877" t="s">
        <v>2073</v>
      </c>
      <c r="E8" s="880"/>
      <c r="F8" s="11"/>
    </row>
    <row r="9" spans="1:6" x14ac:dyDescent="0.25">
      <c r="A9" s="1884" t="s">
        <v>54</v>
      </c>
      <c r="B9" s="1885" t="s">
        <v>38</v>
      </c>
      <c r="C9" s="1889">
        <v>106104219</v>
      </c>
      <c r="D9" s="1890" t="s">
        <v>2074</v>
      </c>
      <c r="E9" s="1887">
        <v>1</v>
      </c>
      <c r="F9" s="11"/>
    </row>
    <row r="10" spans="1:6" ht="15.75" thickBot="1" x14ac:dyDescent="0.3">
      <c r="A10" s="1888" t="s">
        <v>55</v>
      </c>
      <c r="B10" s="882" t="s">
        <v>56</v>
      </c>
      <c r="C10" s="888">
        <v>106104221</v>
      </c>
      <c r="D10" s="881" t="s">
        <v>2075</v>
      </c>
      <c r="E10" s="883">
        <v>3</v>
      </c>
      <c r="F10" s="11"/>
    </row>
    <row r="11" spans="1:6" x14ac:dyDescent="0.25">
      <c r="A11" s="884">
        <v>4</v>
      </c>
      <c r="B11" s="885" t="s">
        <v>57</v>
      </c>
      <c r="C11" s="886">
        <v>106101116</v>
      </c>
      <c r="D11" s="885" t="s">
        <v>2076</v>
      </c>
      <c r="E11" s="887">
        <v>3</v>
      </c>
      <c r="F11" s="11"/>
    </row>
    <row r="12" spans="1:6" x14ac:dyDescent="0.25">
      <c r="A12" s="1884" t="s">
        <v>5</v>
      </c>
      <c r="B12" s="1890" t="s">
        <v>58</v>
      </c>
      <c r="C12" s="1891">
        <v>106109644</v>
      </c>
      <c r="D12" s="1885" t="s">
        <v>2077</v>
      </c>
      <c r="E12" s="1892">
        <v>1</v>
      </c>
      <c r="F12" s="11"/>
    </row>
    <row r="13" spans="1:6" x14ac:dyDescent="0.25">
      <c r="A13" s="1884">
        <v>5</v>
      </c>
      <c r="B13" s="1893" t="s">
        <v>891</v>
      </c>
      <c r="C13" s="1889"/>
      <c r="D13" s="1893" t="s">
        <v>60</v>
      </c>
      <c r="E13" s="1887">
        <v>1</v>
      </c>
      <c r="F13" s="11"/>
    </row>
    <row r="14" spans="1:6" x14ac:dyDescent="0.25">
      <c r="A14" s="1884">
        <v>6</v>
      </c>
      <c r="B14" s="1890" t="s">
        <v>2078</v>
      </c>
      <c r="C14" s="1891">
        <v>106104130</v>
      </c>
      <c r="D14" s="1885" t="s">
        <v>2079</v>
      </c>
      <c r="E14" s="1887">
        <v>1</v>
      </c>
      <c r="F14" s="11"/>
    </row>
    <row r="15" spans="1:6" x14ac:dyDescent="0.25">
      <c r="A15" s="1884" t="s">
        <v>37</v>
      </c>
      <c r="B15" s="1890" t="s">
        <v>61</v>
      </c>
      <c r="C15" s="1891">
        <v>106104116</v>
      </c>
      <c r="D15" s="1885" t="s">
        <v>831</v>
      </c>
      <c r="E15" s="1887">
        <v>1</v>
      </c>
      <c r="F15" s="11"/>
    </row>
    <row r="16" spans="1:6" x14ac:dyDescent="0.25">
      <c r="A16" s="1884">
        <v>7</v>
      </c>
      <c r="B16" s="1885" t="s">
        <v>1787</v>
      </c>
      <c r="C16" s="1889">
        <v>106105379</v>
      </c>
      <c r="D16" s="1885" t="s">
        <v>2080</v>
      </c>
      <c r="E16" s="1887">
        <v>1</v>
      </c>
      <c r="F16" s="11"/>
    </row>
    <row r="17" spans="1:6" x14ac:dyDescent="0.25">
      <c r="A17" s="1884">
        <v>8</v>
      </c>
      <c r="B17" s="1885" t="s">
        <v>3</v>
      </c>
      <c r="C17" s="1889">
        <v>106200731</v>
      </c>
      <c r="D17" s="1885" t="s">
        <v>2081</v>
      </c>
      <c r="E17" s="1887">
        <v>1</v>
      </c>
      <c r="F17" s="11"/>
    </row>
    <row r="18" spans="1:6" x14ac:dyDescent="0.25">
      <c r="A18" s="1884">
        <v>9</v>
      </c>
      <c r="B18" s="1890" t="s">
        <v>221</v>
      </c>
      <c r="C18" s="1889">
        <v>106200823</v>
      </c>
      <c r="D18" s="1885" t="s">
        <v>2082</v>
      </c>
      <c r="E18" s="1887">
        <v>1</v>
      </c>
      <c r="F18" s="11"/>
    </row>
    <row r="19" spans="1:6" x14ac:dyDescent="0.25">
      <c r="A19" s="1884">
        <v>10</v>
      </c>
      <c r="B19" s="1885" t="s">
        <v>6</v>
      </c>
      <c r="C19" s="1889">
        <v>106110281</v>
      </c>
      <c r="D19" s="1885" t="s">
        <v>2083</v>
      </c>
      <c r="E19" s="1887">
        <v>3</v>
      </c>
      <c r="F19" s="11"/>
    </row>
    <row r="20" spans="1:6" x14ac:dyDescent="0.25">
      <c r="A20" s="1884">
        <v>11</v>
      </c>
      <c r="B20" s="1890" t="s">
        <v>2</v>
      </c>
      <c r="C20" s="1891">
        <v>106200591</v>
      </c>
      <c r="D20" s="1885" t="s">
        <v>472</v>
      </c>
      <c r="E20" s="1887">
        <v>1</v>
      </c>
      <c r="F20" s="11"/>
    </row>
    <row r="21" spans="1:6" ht="15.75" thickBot="1" x14ac:dyDescent="0.3">
      <c r="A21" s="1894" t="s">
        <v>32</v>
      </c>
      <c r="B21" s="1895" t="s">
        <v>33</v>
      </c>
      <c r="C21" s="1896">
        <v>106107580</v>
      </c>
      <c r="D21" s="1885" t="s">
        <v>1277</v>
      </c>
      <c r="E21" s="1897">
        <v>3</v>
      </c>
      <c r="F21" s="11"/>
    </row>
    <row r="22" spans="1:6" ht="15.75" thickBot="1" x14ac:dyDescent="0.3">
      <c r="A22" s="889">
        <v>1</v>
      </c>
      <c r="B22" s="1898" t="str">
        <f>IF($E$2=$F$28,B28,IF($E$2=$F$29,B29,))</f>
        <v>AAS7120</v>
      </c>
      <c r="C22" s="1898">
        <f>IF($E$2=$F$28,C28,IF($E$2=$F$29,C29,))</f>
        <v>106200859</v>
      </c>
      <c r="D22" s="1898" t="str">
        <f>IF($E$2=$F$28,D28,IF($E$2=$F$29,D29,))</f>
        <v>VARIADOR Ingecon Sun 25</v>
      </c>
      <c r="E22" s="1899">
        <v>1</v>
      </c>
      <c r="F22" s="11"/>
    </row>
    <row r="24" spans="1:6" x14ac:dyDescent="0.25">
      <c r="A24" s="1383" t="s">
        <v>2084</v>
      </c>
    </row>
    <row r="25" spans="1:6" ht="15.75" thickBot="1" x14ac:dyDescent="0.3"/>
    <row r="26" spans="1:6" ht="15.75" thickBot="1" x14ac:dyDescent="0.3">
      <c r="A26" s="4135" t="s">
        <v>11</v>
      </c>
      <c r="B26" s="4136"/>
      <c r="C26" s="4136"/>
      <c r="D26" s="4136"/>
      <c r="E26" s="4136"/>
      <c r="F26" s="4137"/>
    </row>
    <row r="27" spans="1:6" ht="15.75" thickBot="1" x14ac:dyDescent="0.3">
      <c r="A27" s="6"/>
      <c r="B27" s="6"/>
      <c r="C27" s="6"/>
      <c r="D27" s="6" t="s">
        <v>1</v>
      </c>
      <c r="E27" s="7"/>
      <c r="F27" s="7" t="s">
        <v>8</v>
      </c>
    </row>
    <row r="28" spans="1:6" x14ac:dyDescent="0.25">
      <c r="A28" s="786">
        <v>4</v>
      </c>
      <c r="B28" s="787" t="s">
        <v>509</v>
      </c>
      <c r="C28" s="788">
        <v>106203424</v>
      </c>
      <c r="D28" s="253" t="s">
        <v>2085</v>
      </c>
      <c r="E28" s="789">
        <v>1</v>
      </c>
      <c r="F28" s="789" t="s">
        <v>2106</v>
      </c>
    </row>
    <row r="29" spans="1:6" ht="15.75" thickBot="1" x14ac:dyDescent="0.3">
      <c r="A29" s="1900">
        <v>4</v>
      </c>
      <c r="B29" s="790" t="s">
        <v>47</v>
      </c>
      <c r="C29" s="791">
        <v>106200859</v>
      </c>
      <c r="D29" s="792" t="s">
        <v>2086</v>
      </c>
      <c r="E29" s="793">
        <v>1</v>
      </c>
      <c r="F29" s="793" t="s">
        <v>2107</v>
      </c>
    </row>
    <row r="30" spans="1:6" ht="15.75" thickBot="1" x14ac:dyDescent="0.3"/>
    <row r="31" spans="1:6" ht="15.75" thickBot="1" x14ac:dyDescent="0.3">
      <c r="D31" s="1383" t="s">
        <v>2087</v>
      </c>
      <c r="F31" s="1901"/>
    </row>
    <row r="34" spans="2:6" x14ac:dyDescent="0.25">
      <c r="B34" s="1383" t="s">
        <v>2088</v>
      </c>
      <c r="D34" s="907" t="s">
        <v>940</v>
      </c>
    </row>
    <row r="35" spans="2:6" ht="15.75" thickBot="1" x14ac:dyDescent="0.3">
      <c r="D35" s="1383" t="s">
        <v>2089</v>
      </c>
    </row>
    <row r="36" spans="2:6" ht="15.75" thickBot="1" x14ac:dyDescent="0.3">
      <c r="B36" s="908" t="s">
        <v>244</v>
      </c>
      <c r="C36" s="909" t="s">
        <v>79</v>
      </c>
      <c r="D36" s="910" t="s">
        <v>2090</v>
      </c>
      <c r="E36" s="909" t="s">
        <v>326</v>
      </c>
      <c r="F36" s="910" t="s">
        <v>2091</v>
      </c>
    </row>
    <row r="37" spans="2:6" x14ac:dyDescent="0.25">
      <c r="B37" s="911" t="s">
        <v>47</v>
      </c>
      <c r="C37" s="253" t="s">
        <v>509</v>
      </c>
      <c r="D37" s="914" t="s">
        <v>510</v>
      </c>
      <c r="E37" s="912">
        <v>106203424</v>
      </c>
      <c r="F37" s="913">
        <v>1</v>
      </c>
    </row>
    <row r="38" spans="2:6" x14ac:dyDescent="0.25">
      <c r="B38" s="1902" t="s">
        <v>33</v>
      </c>
      <c r="C38" s="1903" t="s">
        <v>33</v>
      </c>
      <c r="D38" s="1349" t="s">
        <v>1277</v>
      </c>
      <c r="E38" s="1904">
        <v>106107580</v>
      </c>
      <c r="F38" s="1905">
        <v>9</v>
      </c>
    </row>
    <row r="39" spans="2:6" x14ac:dyDescent="0.25">
      <c r="B39" s="1906" t="s">
        <v>34</v>
      </c>
      <c r="C39" s="1907"/>
      <c r="D39" s="1907" t="s">
        <v>942</v>
      </c>
      <c r="E39" s="1908" t="s">
        <v>3272</v>
      </c>
      <c r="F39" s="1909">
        <v>2</v>
      </c>
    </row>
    <row r="40" spans="2:6" x14ac:dyDescent="0.25">
      <c r="B40" s="1906" t="s">
        <v>943</v>
      </c>
      <c r="C40" s="1907"/>
      <c r="D40" s="1907" t="s">
        <v>2070</v>
      </c>
      <c r="E40" s="1907"/>
      <c r="F40" s="1909">
        <v>2</v>
      </c>
    </row>
    <row r="41" spans="2:6" x14ac:dyDescent="0.25">
      <c r="B41" s="1906" t="s">
        <v>2092</v>
      </c>
      <c r="C41" s="1907"/>
      <c r="D41" s="1907" t="s">
        <v>2093</v>
      </c>
      <c r="E41" s="1907"/>
      <c r="F41" s="1909">
        <v>2</v>
      </c>
    </row>
    <row r="42" spans="2:6" x14ac:dyDescent="0.25">
      <c r="B42" s="1902" t="s">
        <v>38</v>
      </c>
      <c r="C42" s="1903" t="s">
        <v>38</v>
      </c>
      <c r="D42" s="1903" t="s">
        <v>2094</v>
      </c>
      <c r="E42" s="1904">
        <v>106104219</v>
      </c>
      <c r="F42" s="1905">
        <v>3</v>
      </c>
    </row>
    <row r="43" spans="2:6" x14ac:dyDescent="0.25">
      <c r="B43" s="1902" t="s">
        <v>56</v>
      </c>
      <c r="C43" s="1903" t="s">
        <v>56</v>
      </c>
      <c r="D43" s="1903" t="s">
        <v>2095</v>
      </c>
      <c r="E43" s="1904">
        <v>106104221</v>
      </c>
      <c r="F43" s="1905">
        <v>3</v>
      </c>
    </row>
    <row r="44" spans="2:6" x14ac:dyDescent="0.25">
      <c r="B44" s="1902" t="s">
        <v>944</v>
      </c>
      <c r="C44" s="1903" t="s">
        <v>944</v>
      </c>
      <c r="D44" s="1903" t="s">
        <v>2096</v>
      </c>
      <c r="E44" s="1904">
        <v>106101116</v>
      </c>
      <c r="F44" s="1905">
        <v>9</v>
      </c>
    </row>
    <row r="45" spans="2:6" x14ac:dyDescent="0.25">
      <c r="B45" s="1902" t="s">
        <v>945</v>
      </c>
      <c r="C45" s="1903" t="s">
        <v>945</v>
      </c>
      <c r="D45" s="1903" t="s">
        <v>2097</v>
      </c>
      <c r="E45" s="1904">
        <v>106109644</v>
      </c>
      <c r="F45" s="1905">
        <v>2</v>
      </c>
    </row>
    <row r="46" spans="2:6" ht="48.75" x14ac:dyDescent="0.25">
      <c r="B46" s="1910" t="s">
        <v>946</v>
      </c>
      <c r="C46" s="1911"/>
      <c r="D46" s="1911" t="s">
        <v>947</v>
      </c>
      <c r="E46" s="1911" t="s">
        <v>2098</v>
      </c>
      <c r="F46" s="1912">
        <v>1</v>
      </c>
    </row>
    <row r="47" spans="2:6" x14ac:dyDescent="0.25">
      <c r="B47" s="1902" t="s">
        <v>2099</v>
      </c>
      <c r="C47" s="1903" t="s">
        <v>2099</v>
      </c>
      <c r="D47" s="1903" t="s">
        <v>2079</v>
      </c>
      <c r="E47" s="1904">
        <v>106104130</v>
      </c>
      <c r="F47" s="1905">
        <v>3</v>
      </c>
    </row>
    <row r="48" spans="2:6" x14ac:dyDescent="0.25">
      <c r="B48" s="1902" t="s">
        <v>948</v>
      </c>
      <c r="C48" s="1903" t="s">
        <v>948</v>
      </c>
      <c r="D48" s="1903" t="s">
        <v>949</v>
      </c>
      <c r="E48" s="1904">
        <v>106104116</v>
      </c>
      <c r="F48" s="1905">
        <v>2</v>
      </c>
    </row>
    <row r="49" spans="2:6" x14ac:dyDescent="0.25">
      <c r="B49" s="1902" t="s">
        <v>2100</v>
      </c>
      <c r="C49" s="1903" t="s">
        <v>2100</v>
      </c>
      <c r="D49" s="1903" t="s">
        <v>2101</v>
      </c>
      <c r="E49" s="1904">
        <v>106105379</v>
      </c>
      <c r="F49" s="1905">
        <v>1</v>
      </c>
    </row>
    <row r="50" spans="2:6" x14ac:dyDescent="0.25">
      <c r="B50" s="1902" t="s">
        <v>950</v>
      </c>
      <c r="C50" s="1903" t="s">
        <v>3</v>
      </c>
      <c r="D50" s="1911" t="s">
        <v>2102</v>
      </c>
      <c r="E50" s="1904">
        <v>106200731</v>
      </c>
      <c r="F50" s="1905">
        <v>3</v>
      </c>
    </row>
    <row r="51" spans="2:6" x14ac:dyDescent="0.25">
      <c r="B51" s="1910"/>
      <c r="C51" s="1903" t="s">
        <v>2</v>
      </c>
      <c r="D51" s="1890" t="s">
        <v>472</v>
      </c>
      <c r="E51" s="1904">
        <v>106200591</v>
      </c>
      <c r="F51" s="1912">
        <v>3</v>
      </c>
    </row>
    <row r="52" spans="2:6" x14ac:dyDescent="0.25">
      <c r="B52" s="1906"/>
      <c r="C52" s="1908"/>
      <c r="D52" s="1907" t="s">
        <v>2103</v>
      </c>
      <c r="E52" s="1904"/>
      <c r="F52" s="1909">
        <v>2</v>
      </c>
    </row>
    <row r="53" spans="2:6" x14ac:dyDescent="0.25">
      <c r="B53" s="1902" t="s">
        <v>951</v>
      </c>
      <c r="C53" s="1903" t="s">
        <v>951</v>
      </c>
      <c r="D53" s="1903" t="s">
        <v>2104</v>
      </c>
      <c r="E53" s="1904">
        <v>106200626</v>
      </c>
      <c r="F53" s="1905">
        <v>2</v>
      </c>
    </row>
    <row r="54" spans="2:6" x14ac:dyDescent="0.25">
      <c r="B54" s="1906"/>
      <c r="C54" s="1907"/>
      <c r="D54" s="1913" t="s">
        <v>952</v>
      </c>
      <c r="E54" s="1914">
        <v>106112878</v>
      </c>
      <c r="F54" s="1909">
        <v>20</v>
      </c>
    </row>
    <row r="55" spans="2:6" x14ac:dyDescent="0.25">
      <c r="B55" s="1902"/>
      <c r="C55" s="1915" t="s">
        <v>677</v>
      </c>
      <c r="D55" s="1903" t="s">
        <v>953</v>
      </c>
      <c r="E55" s="1904">
        <v>106104075</v>
      </c>
      <c r="F55" s="1905">
        <v>3</v>
      </c>
    </row>
    <row r="56" spans="2:6" x14ac:dyDescent="0.25">
      <c r="B56" s="1906"/>
      <c r="C56" s="1907"/>
      <c r="D56" s="1907" t="s">
        <v>2105</v>
      </c>
      <c r="E56" s="1916"/>
      <c r="F56" s="1909">
        <v>1</v>
      </c>
    </row>
    <row r="57" spans="2:6" ht="15.75" thickBot="1" x14ac:dyDescent="0.3">
      <c r="B57" s="1917"/>
      <c r="C57" s="915"/>
      <c r="D57" s="915" t="s">
        <v>954</v>
      </c>
      <c r="E57" s="916"/>
      <c r="F57" s="917">
        <v>3</v>
      </c>
    </row>
    <row r="59" spans="2:6" x14ac:dyDescent="0.25">
      <c r="B59" s="122">
        <v>106104361</v>
      </c>
      <c r="C59" s="1383" t="s">
        <v>2612</v>
      </c>
      <c r="D59" s="1383" t="s">
        <v>2613</v>
      </c>
    </row>
    <row r="60" spans="2:6" x14ac:dyDescent="0.25">
      <c r="F60" s="1383" t="s">
        <v>344</v>
      </c>
    </row>
    <row r="61" spans="2:6" s="1383" customFormat="1" x14ac:dyDescent="0.25">
      <c r="B61" s="122">
        <v>106105843</v>
      </c>
      <c r="D61" s="1383" t="s">
        <v>3666</v>
      </c>
      <c r="E61" s="1383">
        <v>38.82</v>
      </c>
      <c r="F61" s="240">
        <f>E61/0.8</f>
        <v>48.524999999999999</v>
      </c>
    </row>
  </sheetData>
  <mergeCells count="2">
    <mergeCell ref="A2:D2"/>
    <mergeCell ref="A26:F26"/>
  </mergeCells>
  <dataValidations count="1">
    <dataValidation type="list" allowBlank="1" showInputMessage="1" showErrorMessage="1" sqref="E2">
      <formula1>$F$28:$F$29</formula1>
    </dataValidation>
  </dataValidations>
  <pageMargins left="0.7" right="0.7" top="0.75" bottom="0.75" header="0.3" footer="0.3"/>
  <pageSetup paperSize="8" orientation="portrait" horizontalDpi="96" verticalDpi="96"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workbookViewId="0">
      <selection activeCell="D11" sqref="D11"/>
    </sheetView>
  </sheetViews>
  <sheetFormatPr baseColWidth="10" defaultRowHeight="15" x14ac:dyDescent="0.25"/>
  <cols>
    <col min="1" max="1" width="8.85546875" style="99" customWidth="1"/>
    <col min="2" max="2" width="11.42578125" style="99"/>
    <col min="3" max="3" width="13.85546875" style="99" bestFit="1" customWidth="1"/>
    <col min="4" max="4" width="11.42578125" style="99"/>
    <col min="5" max="5" width="60.42578125" style="99" customWidth="1"/>
    <col min="6" max="6" width="10.85546875" style="99" bestFit="1" customWidth="1"/>
    <col min="7" max="7" width="11.42578125" style="99" customWidth="1"/>
    <col min="8" max="8" width="9.7109375" style="99" bestFit="1" customWidth="1"/>
    <col min="9" max="9" width="11.42578125" style="99"/>
    <col min="10" max="10" width="14.140625" style="99" customWidth="1"/>
    <col min="11" max="12" width="14" style="99" customWidth="1"/>
    <col min="13" max="13" width="11.85546875" style="99" bestFit="1" customWidth="1"/>
    <col min="14" max="19" width="11.42578125" style="99"/>
    <col min="20" max="20" width="60.42578125" style="99" bestFit="1" customWidth="1"/>
    <col min="21" max="21" width="43.140625" style="99" bestFit="1" customWidth="1"/>
    <col min="22" max="22" width="12.42578125" style="99" customWidth="1"/>
    <col min="23" max="16384" width="11.42578125" style="99"/>
  </cols>
  <sheetData>
    <row r="1" spans="1:13" ht="15.75" customHeight="1" thickBot="1" x14ac:dyDescent="0.3">
      <c r="A1" s="100"/>
      <c r="B1" s="4135" t="s">
        <v>2108</v>
      </c>
      <c r="C1" s="4138"/>
      <c r="D1" s="4138"/>
      <c r="E1" s="4139"/>
      <c r="F1" s="24"/>
      <c r="G1" s="24"/>
      <c r="H1" s="24"/>
      <c r="I1" s="24"/>
      <c r="J1" s="145"/>
      <c r="K1" s="145"/>
    </row>
    <row r="2" spans="1:13" ht="26.25" thickBot="1" x14ac:dyDescent="0.3">
      <c r="A2" s="101"/>
      <c r="B2" s="12"/>
      <c r="C2" s="13" t="s">
        <v>78</v>
      </c>
      <c r="D2" s="13" t="s">
        <v>936</v>
      </c>
      <c r="E2" s="12" t="s">
        <v>2109</v>
      </c>
      <c r="F2" s="1918" t="s">
        <v>960</v>
      </c>
      <c r="J2" s="48"/>
      <c r="K2" s="1080"/>
      <c r="L2" s="1080"/>
      <c r="M2" s="1081"/>
    </row>
    <row r="3" spans="1:13" ht="15.75" customHeight="1" thickBot="1" x14ac:dyDescent="0.3">
      <c r="A3" s="103"/>
      <c r="B3" s="15"/>
      <c r="C3" s="276" t="s">
        <v>62</v>
      </c>
      <c r="D3" s="129">
        <v>106110446</v>
      </c>
      <c r="E3" s="115" t="s">
        <v>245</v>
      </c>
      <c r="F3" s="18">
        <v>1</v>
      </c>
      <c r="J3" s="679"/>
      <c r="K3" s="60"/>
      <c r="M3" s="1083"/>
    </row>
    <row r="4" spans="1:13" s="11" customFormat="1" ht="15.75" thickBot="1" x14ac:dyDescent="0.3">
      <c r="A4" s="1360" t="s">
        <v>591</v>
      </c>
      <c r="B4" s="1791" t="s">
        <v>21</v>
      </c>
      <c r="C4" s="470" t="s">
        <v>21</v>
      </c>
      <c r="D4" s="471">
        <v>106114255</v>
      </c>
      <c r="E4" s="767" t="s">
        <v>983</v>
      </c>
      <c r="F4" s="46">
        <v>1</v>
      </c>
      <c r="J4" s="679"/>
      <c r="K4" s="932"/>
      <c r="L4" s="1077"/>
      <c r="M4" s="1083"/>
    </row>
    <row r="5" spans="1:13" ht="15.75" customHeight="1" thickBot="1" x14ac:dyDescent="0.3">
      <c r="A5" s="103"/>
      <c r="B5" s="4142" t="s">
        <v>65</v>
      </c>
      <c r="C5" s="16" t="s">
        <v>65</v>
      </c>
      <c r="D5" s="129">
        <v>106104219</v>
      </c>
      <c r="E5" s="17" t="s">
        <v>66</v>
      </c>
      <c r="F5" s="18">
        <v>1</v>
      </c>
      <c r="J5" s="679"/>
      <c r="K5" s="60"/>
      <c r="M5" s="1083"/>
    </row>
    <row r="6" spans="1:13" ht="15.75" customHeight="1" thickBot="1" x14ac:dyDescent="0.3">
      <c r="A6" s="103"/>
      <c r="B6" s="4143"/>
      <c r="C6" s="16" t="s">
        <v>67</v>
      </c>
      <c r="D6" s="129">
        <v>106104093</v>
      </c>
      <c r="E6" s="17" t="s">
        <v>68</v>
      </c>
      <c r="F6" s="18">
        <v>1</v>
      </c>
      <c r="J6" s="679"/>
      <c r="K6" s="60"/>
      <c r="M6" s="1083"/>
    </row>
    <row r="7" spans="1:13" ht="15.75" customHeight="1" thickBot="1" x14ac:dyDescent="0.3">
      <c r="A7" s="103"/>
      <c r="B7" s="4142" t="s">
        <v>69</v>
      </c>
      <c r="C7" s="16" t="s">
        <v>69</v>
      </c>
      <c r="D7" s="52">
        <v>106104221</v>
      </c>
      <c r="E7" s="461" t="s">
        <v>70</v>
      </c>
      <c r="F7" s="18">
        <v>2</v>
      </c>
      <c r="J7" s="679"/>
      <c r="K7" s="60"/>
      <c r="M7" s="1083"/>
    </row>
    <row r="8" spans="1:13" ht="15.75" customHeight="1" thickBot="1" x14ac:dyDescent="0.3">
      <c r="A8" s="107"/>
      <c r="B8" s="4143"/>
      <c r="C8" s="276" t="s">
        <v>2110</v>
      </c>
      <c r="D8" s="53">
        <v>106104093</v>
      </c>
      <c r="E8" s="17" t="s">
        <v>68</v>
      </c>
      <c r="F8" s="18">
        <v>2</v>
      </c>
      <c r="J8" s="679"/>
      <c r="K8" s="60"/>
      <c r="M8" s="1083"/>
    </row>
    <row r="9" spans="1:13" s="11" customFormat="1" x14ac:dyDescent="0.25">
      <c r="A9" s="1383"/>
      <c r="B9" s="4144"/>
      <c r="C9" s="777" t="s">
        <v>71</v>
      </c>
      <c r="D9" s="233">
        <v>106114829</v>
      </c>
      <c r="E9" s="947" t="s">
        <v>246</v>
      </c>
      <c r="F9" s="233">
        <v>1</v>
      </c>
      <c r="J9" s="679"/>
      <c r="K9" s="932"/>
      <c r="L9" s="48"/>
      <c r="M9" s="1083"/>
    </row>
    <row r="10" spans="1:13" ht="15.75" customHeight="1" x14ac:dyDescent="0.25">
      <c r="A10" s="103"/>
      <c r="B10" s="4145"/>
      <c r="C10" s="946" t="s">
        <v>15</v>
      </c>
      <c r="D10" s="679">
        <v>106110452</v>
      </c>
      <c r="E10" s="784" t="s">
        <v>257</v>
      </c>
      <c r="F10" s="130">
        <v>3</v>
      </c>
      <c r="J10" s="679"/>
      <c r="K10" s="60"/>
      <c r="M10" s="1083"/>
    </row>
    <row r="11" spans="1:13" ht="15.75" customHeight="1" x14ac:dyDescent="0.25">
      <c r="A11" s="103"/>
      <c r="B11" s="4145"/>
      <c r="C11" s="946" t="s">
        <v>23</v>
      </c>
      <c r="D11" s="679">
        <v>106110281</v>
      </c>
      <c r="E11" s="477" t="s">
        <v>248</v>
      </c>
      <c r="F11" s="130">
        <v>2</v>
      </c>
      <c r="J11" s="679"/>
      <c r="K11" s="932"/>
      <c r="M11" s="1083"/>
    </row>
    <row r="12" spans="1:13" ht="15.75" customHeight="1" x14ac:dyDescent="0.25">
      <c r="A12" s="103"/>
      <c r="B12" s="4145"/>
      <c r="C12" s="440" t="s">
        <v>196</v>
      </c>
      <c r="D12" s="679">
        <v>106201346</v>
      </c>
      <c r="E12" s="19" t="s">
        <v>72</v>
      </c>
      <c r="F12" s="130">
        <v>1</v>
      </c>
      <c r="J12" s="679"/>
      <c r="K12" s="932"/>
      <c r="M12" s="1083"/>
    </row>
    <row r="13" spans="1:13" ht="15.75" customHeight="1" x14ac:dyDescent="0.25">
      <c r="A13" s="103"/>
      <c r="B13" s="437"/>
      <c r="C13" s="946" t="s">
        <v>73</v>
      </c>
      <c r="D13" s="679">
        <v>106200824</v>
      </c>
      <c r="E13" s="17" t="s">
        <v>74</v>
      </c>
      <c r="F13" s="130">
        <v>1</v>
      </c>
      <c r="J13" s="679"/>
      <c r="K13" s="60"/>
      <c r="M13" s="1083"/>
    </row>
    <row r="14" spans="1:13" ht="15.75" customHeight="1" x14ac:dyDescent="0.25">
      <c r="A14" s="103"/>
      <c r="B14" s="944"/>
      <c r="C14" s="944" t="s">
        <v>884</v>
      </c>
      <c r="D14" s="88">
        <v>106110284</v>
      </c>
      <c r="E14" s="948" t="s">
        <v>885</v>
      </c>
      <c r="F14" s="130">
        <v>3</v>
      </c>
      <c r="J14" s="1091"/>
      <c r="K14" s="1092"/>
      <c r="M14" s="1083"/>
    </row>
    <row r="15" spans="1:13" s="11" customFormat="1" ht="15.75" thickBot="1" x14ac:dyDescent="0.3">
      <c r="A15" s="1383"/>
      <c r="B15" s="434"/>
      <c r="C15" s="730"/>
      <c r="D15" s="945">
        <v>106112712</v>
      </c>
      <c r="E15" s="2" t="s">
        <v>683</v>
      </c>
      <c r="F15" s="399">
        <v>1</v>
      </c>
      <c r="J15" s="1086"/>
      <c r="K15" s="48"/>
      <c r="L15" s="48"/>
      <c r="M15" s="1083"/>
    </row>
    <row r="16" spans="1:13" ht="15.75" customHeight="1" thickBot="1" x14ac:dyDescent="0.3">
      <c r="A16" s="103"/>
      <c r="B16" s="21"/>
      <c r="C16" s="277" t="s">
        <v>258</v>
      </c>
      <c r="D16" s="278">
        <v>106202650</v>
      </c>
      <c r="E16" s="279" t="s">
        <v>2085</v>
      </c>
      <c r="F16" s="1919">
        <v>1</v>
      </c>
      <c r="J16" s="679"/>
      <c r="K16" s="980"/>
      <c r="M16" s="1083"/>
    </row>
    <row r="17" spans="1:13" ht="15.75" customHeight="1" thickBot="1" x14ac:dyDescent="0.3">
      <c r="A17" s="103"/>
      <c r="B17" s="4103" t="s">
        <v>2023</v>
      </c>
      <c r="C17" s="116" t="s">
        <v>259</v>
      </c>
      <c r="D17" s="1791">
        <v>106110170</v>
      </c>
      <c r="E17" s="117" t="s">
        <v>260</v>
      </c>
      <c r="F17" s="118">
        <v>1</v>
      </c>
      <c r="J17" s="679"/>
      <c r="K17" s="980"/>
      <c r="M17" s="1083"/>
    </row>
    <row r="18" spans="1:13" ht="15.75" customHeight="1" thickBot="1" x14ac:dyDescent="0.3">
      <c r="A18" s="569" t="s">
        <v>2111</v>
      </c>
      <c r="B18" s="4104"/>
      <c r="C18" s="116" t="s">
        <v>261</v>
      </c>
      <c r="D18" s="18">
        <v>106114701</v>
      </c>
      <c r="E18" s="20" t="s">
        <v>262</v>
      </c>
      <c r="F18" s="119">
        <v>1</v>
      </c>
      <c r="J18" s="679"/>
      <c r="K18" s="980"/>
      <c r="M18" s="1083"/>
    </row>
    <row r="19" spans="1:13" ht="15.75" customHeight="1" thickBot="1" x14ac:dyDescent="0.3">
      <c r="A19" s="103"/>
      <c r="B19" s="4105"/>
      <c r="C19" s="116" t="s">
        <v>263</v>
      </c>
      <c r="D19" s="1792">
        <v>106110287</v>
      </c>
      <c r="E19" s="22" t="s">
        <v>264</v>
      </c>
      <c r="F19" s="23">
        <v>1</v>
      </c>
      <c r="J19" s="679"/>
      <c r="K19" s="980"/>
      <c r="M19" s="1083"/>
    </row>
    <row r="20" spans="1:13" ht="15.75" thickBot="1" x14ac:dyDescent="0.3"/>
    <row r="21" spans="1:13" ht="15.75" customHeight="1" thickBot="1" x14ac:dyDescent="0.3">
      <c r="A21" s="100"/>
      <c r="B21" s="4135" t="s">
        <v>2112</v>
      </c>
      <c r="C21" s="4138"/>
      <c r="D21" s="4138"/>
      <c r="E21" s="4139"/>
      <c r="F21" s="24"/>
      <c r="G21" s="24"/>
      <c r="H21" s="24"/>
      <c r="I21" s="24"/>
      <c r="J21" s="24"/>
      <c r="K21" s="24"/>
      <c r="L21" s="24"/>
    </row>
    <row r="22" spans="1:13" ht="26.25" thickBot="1" x14ac:dyDescent="0.3">
      <c r="A22" s="101"/>
      <c r="B22" s="12"/>
      <c r="C22" s="13" t="s">
        <v>78</v>
      </c>
      <c r="D22" s="13" t="s">
        <v>936</v>
      </c>
      <c r="E22" s="12" t="s">
        <v>2109</v>
      </c>
      <c r="F22" s="1918" t="s">
        <v>960</v>
      </c>
    </row>
    <row r="23" spans="1:13" ht="15.75" customHeight="1" thickBot="1" x14ac:dyDescent="0.3">
      <c r="A23" s="103"/>
      <c r="B23" s="15"/>
      <c r="C23" s="276" t="s">
        <v>62</v>
      </c>
      <c r="D23" s="129">
        <v>106110446</v>
      </c>
      <c r="E23" s="115" t="s">
        <v>245</v>
      </c>
      <c r="F23" s="1793">
        <v>1</v>
      </c>
      <c r="G23" s="75"/>
    </row>
    <row r="24" spans="1:13" ht="15.75" customHeight="1" x14ac:dyDescent="0.25">
      <c r="A24" s="1360" t="s">
        <v>591</v>
      </c>
      <c r="B24" s="4140" t="s">
        <v>21</v>
      </c>
      <c r="C24" s="460" t="s">
        <v>21</v>
      </c>
      <c r="D24" s="52">
        <v>106110160</v>
      </c>
      <c r="E24" s="458" t="s">
        <v>256</v>
      </c>
      <c r="F24" s="1920">
        <v>1</v>
      </c>
      <c r="G24" s="75"/>
    </row>
    <row r="25" spans="1:13" ht="15.75" customHeight="1" thickBot="1" x14ac:dyDescent="0.3">
      <c r="A25" s="1360" t="s">
        <v>591</v>
      </c>
      <c r="B25" s="4141"/>
      <c r="C25" s="15" t="s">
        <v>64</v>
      </c>
      <c r="D25" s="57">
        <v>106104130</v>
      </c>
      <c r="E25" s="459" t="s">
        <v>2113</v>
      </c>
      <c r="F25" s="1920">
        <v>1</v>
      </c>
      <c r="G25" s="75"/>
    </row>
    <row r="26" spans="1:13" ht="15.75" customHeight="1" thickBot="1" x14ac:dyDescent="0.3">
      <c r="A26" s="103"/>
      <c r="B26" s="4142" t="s">
        <v>65</v>
      </c>
      <c r="C26" s="16" t="s">
        <v>65</v>
      </c>
      <c r="D26" s="129">
        <v>106104219</v>
      </c>
      <c r="E26" s="17" t="s">
        <v>66</v>
      </c>
      <c r="F26" s="1920">
        <v>1</v>
      </c>
      <c r="G26" s="75"/>
    </row>
    <row r="27" spans="1:13" ht="15.75" customHeight="1" thickBot="1" x14ac:dyDescent="0.3">
      <c r="A27" s="103"/>
      <c r="B27" s="4143"/>
      <c r="C27" s="16" t="s">
        <v>67</v>
      </c>
      <c r="D27" s="129">
        <v>106104093</v>
      </c>
      <c r="E27" s="17" t="s">
        <v>68</v>
      </c>
      <c r="F27" s="1920">
        <v>1</v>
      </c>
      <c r="G27" s="75"/>
    </row>
    <row r="28" spans="1:13" ht="15.75" customHeight="1" thickBot="1" x14ac:dyDescent="0.3">
      <c r="A28" s="103"/>
      <c r="B28" s="4142" t="s">
        <v>69</v>
      </c>
      <c r="C28" s="16" t="s">
        <v>69</v>
      </c>
      <c r="D28" s="52">
        <v>106104221</v>
      </c>
      <c r="E28" s="461" t="s">
        <v>70</v>
      </c>
      <c r="F28" s="1920">
        <v>2</v>
      </c>
      <c r="G28" s="75"/>
    </row>
    <row r="29" spans="1:13" ht="15.75" customHeight="1" thickBot="1" x14ac:dyDescent="0.3">
      <c r="A29" s="107"/>
      <c r="B29" s="4143"/>
      <c r="C29" s="16" t="s">
        <v>2110</v>
      </c>
      <c r="D29" s="57">
        <v>106104093</v>
      </c>
      <c r="E29" s="462" t="s">
        <v>68</v>
      </c>
      <c r="F29" s="1920">
        <v>2</v>
      </c>
      <c r="G29" s="75"/>
    </row>
    <row r="30" spans="1:13" ht="15.75" customHeight="1" thickBot="1" x14ac:dyDescent="0.3">
      <c r="A30" s="103"/>
      <c r="B30" s="4144"/>
      <c r="C30" s="16" t="s">
        <v>71</v>
      </c>
      <c r="D30" s="129">
        <v>106110161</v>
      </c>
      <c r="E30" s="785" t="s">
        <v>2114</v>
      </c>
      <c r="F30" s="1920">
        <v>1</v>
      </c>
      <c r="G30" s="75"/>
    </row>
    <row r="31" spans="1:13" ht="15.75" customHeight="1" thickBot="1" x14ac:dyDescent="0.3">
      <c r="A31" s="103"/>
      <c r="B31" s="4145"/>
      <c r="C31" s="16" t="s">
        <v>15</v>
      </c>
      <c r="D31" s="129">
        <v>106110452</v>
      </c>
      <c r="E31" s="115" t="s">
        <v>257</v>
      </c>
      <c r="F31" s="1920">
        <v>3</v>
      </c>
      <c r="G31" s="75"/>
    </row>
    <row r="32" spans="1:13" ht="15.75" customHeight="1" thickBot="1" x14ac:dyDescent="0.3">
      <c r="A32" s="103"/>
      <c r="B32" s="4145"/>
      <c r="C32" s="16" t="s">
        <v>23</v>
      </c>
      <c r="D32" s="129">
        <v>106110281</v>
      </c>
      <c r="E32" s="94" t="s">
        <v>248</v>
      </c>
      <c r="F32" s="1920">
        <v>2</v>
      </c>
      <c r="G32" s="75"/>
    </row>
    <row r="33" spans="1:13" ht="15.75" customHeight="1" thickBot="1" x14ac:dyDescent="0.3">
      <c r="A33" s="103"/>
      <c r="B33" s="4145"/>
      <c r="C33" s="16"/>
      <c r="D33" s="129">
        <v>106201346</v>
      </c>
      <c r="E33" s="19" t="s">
        <v>72</v>
      </c>
      <c r="F33" s="1920">
        <v>1</v>
      </c>
      <c r="G33" s="75"/>
    </row>
    <row r="34" spans="1:13" ht="15.75" customHeight="1" thickBot="1" x14ac:dyDescent="0.3">
      <c r="A34" s="103"/>
      <c r="B34" s="437"/>
      <c r="C34" s="16" t="s">
        <v>73</v>
      </c>
      <c r="D34" s="129">
        <v>106200824</v>
      </c>
      <c r="E34" s="17" t="s">
        <v>74</v>
      </c>
      <c r="F34" s="1920">
        <v>1</v>
      </c>
      <c r="G34" s="75"/>
    </row>
    <row r="35" spans="1:13" s="11" customFormat="1" ht="15.75" thickBot="1" x14ac:dyDescent="0.3">
      <c r="A35" s="1383"/>
      <c r="B35" s="775"/>
      <c r="C35" s="780"/>
      <c r="D35" s="783">
        <v>106112712</v>
      </c>
      <c r="E35" s="2" t="s">
        <v>683</v>
      </c>
      <c r="F35" s="184">
        <v>1</v>
      </c>
    </row>
    <row r="36" spans="1:13" ht="15.75" customHeight="1" thickBot="1" x14ac:dyDescent="0.3">
      <c r="A36" s="103"/>
      <c r="B36" s="21"/>
      <c r="C36" s="277" t="s">
        <v>258</v>
      </c>
      <c r="D36" s="278">
        <v>106202650</v>
      </c>
      <c r="E36" s="279" t="s">
        <v>2085</v>
      </c>
      <c r="F36" s="1919">
        <v>1</v>
      </c>
    </row>
    <row r="37" spans="1:13" ht="15.75" customHeight="1" thickBot="1" x14ac:dyDescent="0.3">
      <c r="A37" s="103"/>
      <c r="B37" s="4103" t="s">
        <v>2023</v>
      </c>
      <c r="C37" s="116" t="s">
        <v>259</v>
      </c>
      <c r="D37" s="1791">
        <v>106110170</v>
      </c>
      <c r="E37" s="117" t="s">
        <v>260</v>
      </c>
      <c r="F37" s="1921">
        <v>1</v>
      </c>
    </row>
    <row r="38" spans="1:13" ht="15.75" customHeight="1" thickBot="1" x14ac:dyDescent="0.3">
      <c r="A38" s="103"/>
      <c r="B38" s="4104"/>
      <c r="C38" s="116" t="s">
        <v>261</v>
      </c>
      <c r="D38" s="18">
        <v>106110278</v>
      </c>
      <c r="E38" s="20" t="s">
        <v>262</v>
      </c>
      <c r="F38" s="1922">
        <v>1</v>
      </c>
    </row>
    <row r="39" spans="1:13" ht="15.75" customHeight="1" thickBot="1" x14ac:dyDescent="0.3">
      <c r="A39" s="103"/>
      <c r="B39" s="4105"/>
      <c r="C39" s="116" t="s">
        <v>263</v>
      </c>
      <c r="D39" s="1792">
        <v>106110287</v>
      </c>
      <c r="E39" s="22" t="s">
        <v>264</v>
      </c>
      <c r="F39" s="1919">
        <v>1</v>
      </c>
    </row>
    <row r="40" spans="1:13" ht="15.75" customHeight="1" x14ac:dyDescent="0.25">
      <c r="A40" s="103"/>
      <c r="B40" s="104"/>
      <c r="C40" s="104"/>
      <c r="D40" s="105"/>
      <c r="E40" s="106"/>
      <c r="F40" s="106"/>
      <c r="J40" s="106"/>
      <c r="K40" s="106"/>
      <c r="L40" s="106"/>
    </row>
    <row r="41" spans="1:13" x14ac:dyDescent="0.25">
      <c r="A41" s="103"/>
      <c r="B41" s="104"/>
      <c r="C41" s="104"/>
      <c r="D41" s="105"/>
      <c r="E41" s="105"/>
      <c r="F41" s="105"/>
      <c r="J41" s="105"/>
      <c r="K41" s="105"/>
      <c r="L41" s="105"/>
    </row>
    <row r="42" spans="1:13" x14ac:dyDescent="0.25">
      <c r="A42" s="103"/>
      <c r="B42" s="1347"/>
      <c r="C42" s="104"/>
      <c r="D42" s="105"/>
      <c r="E42" s="105"/>
      <c r="F42" s="105"/>
      <c r="J42" s="105"/>
      <c r="K42" s="105"/>
      <c r="L42" s="105"/>
    </row>
    <row r="43" spans="1:13" x14ac:dyDescent="0.25">
      <c r="G43" s="98"/>
      <c r="H43" s="98"/>
      <c r="I43" s="98"/>
    </row>
    <row r="44" spans="1:13" x14ac:dyDescent="0.25">
      <c r="G44" s="109"/>
      <c r="H44" s="109"/>
      <c r="I44" s="109"/>
    </row>
    <row r="45" spans="1:13" x14ac:dyDescent="0.25">
      <c r="G45" s="112"/>
      <c r="H45" s="112"/>
      <c r="I45" s="112"/>
    </row>
    <row r="46" spans="1:13" x14ac:dyDescent="0.25">
      <c r="A46" s="98"/>
      <c r="B46" s="98"/>
      <c r="C46" s="98"/>
      <c r="D46" s="98"/>
      <c r="E46" s="98"/>
      <c r="F46" s="98"/>
      <c r="G46" s="112"/>
      <c r="H46" s="112"/>
      <c r="I46" s="112"/>
    </row>
    <row r="47" spans="1:13" x14ac:dyDescent="0.25">
      <c r="A47" s="108"/>
      <c r="B47" s="108"/>
      <c r="C47" s="108"/>
      <c r="D47" s="109"/>
      <c r="E47" s="109"/>
      <c r="F47" s="109"/>
      <c r="J47" s="110"/>
      <c r="K47" s="110"/>
      <c r="L47" s="110"/>
      <c r="M47" s="110"/>
    </row>
    <row r="48" spans="1:13" x14ac:dyDescent="0.25">
      <c r="A48" s="111"/>
      <c r="B48" s="41"/>
      <c r="C48" s="40"/>
      <c r="D48" s="112"/>
      <c r="E48" s="112"/>
      <c r="F48" s="112"/>
      <c r="J48" s="113"/>
      <c r="K48" s="114"/>
      <c r="L48" s="114"/>
      <c r="M48" s="102"/>
    </row>
    <row r="49" spans="1:13" x14ac:dyDescent="0.25">
      <c r="A49" s="111"/>
      <c r="B49" s="41"/>
      <c r="C49" s="40"/>
      <c r="D49" s="112"/>
      <c r="E49" s="112"/>
      <c r="F49" s="112"/>
      <c r="J49" s="113"/>
      <c r="K49" s="114"/>
      <c r="L49" s="114"/>
      <c r="M49" s="102"/>
    </row>
    <row r="51" spans="1:13" x14ac:dyDescent="0.25">
      <c r="E51" s="106"/>
    </row>
  </sheetData>
  <mergeCells count="11">
    <mergeCell ref="B1:E1"/>
    <mergeCell ref="B5:B6"/>
    <mergeCell ref="B7:B8"/>
    <mergeCell ref="B9:B12"/>
    <mergeCell ref="B17:B19"/>
    <mergeCell ref="B37:B39"/>
    <mergeCell ref="B21:E21"/>
    <mergeCell ref="B24:B25"/>
    <mergeCell ref="B26:B27"/>
    <mergeCell ref="B28:B29"/>
    <mergeCell ref="B30:B33"/>
  </mergeCells>
  <dataValidations disablePrompts="1" count="2">
    <dataValidation type="list" allowBlank="1" showInputMessage="1" showErrorMessage="1" sqref="D21">
      <formula1>$F$48:$F$49</formula1>
    </dataValidation>
    <dataValidation type="list" allowBlank="1" showInputMessage="1" showErrorMessage="1" sqref="D1">
      <formula1>$F$27:$F$28</formula1>
    </dataValidation>
  </dataValidations>
  <pageMargins left="0.7" right="0.7" top="0.75" bottom="0.75" header="0.3" footer="0.3"/>
  <pageSetup paperSize="8" orientation="portrait" horizontalDpi="96" verticalDpi="96"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topLeftCell="A19" workbookViewId="0">
      <selection activeCell="D33" sqref="D33"/>
    </sheetView>
  </sheetViews>
  <sheetFormatPr baseColWidth="10" defaultRowHeight="15" x14ac:dyDescent="0.25"/>
  <cols>
    <col min="1" max="1" width="11.7109375" style="99" customWidth="1"/>
    <col min="2" max="2" width="11.42578125" style="99"/>
    <col min="3" max="3" width="13.85546875" style="99" bestFit="1" customWidth="1"/>
    <col min="4" max="4" width="11.42578125" style="99"/>
    <col min="5" max="5" width="60.42578125" style="99" bestFit="1" customWidth="1"/>
    <col min="6" max="6" width="12.5703125" style="99" customWidth="1"/>
    <col min="7" max="8" width="9.7109375" style="99" bestFit="1" customWidth="1"/>
    <col min="9" max="9" width="11.42578125" style="99"/>
    <col min="10" max="10" width="14.140625" style="96" customWidth="1"/>
    <col min="11" max="11" width="14.42578125" style="96" customWidth="1"/>
    <col min="12" max="12" width="12.7109375" style="99" customWidth="1"/>
    <col min="13" max="19" width="11.42578125" style="99"/>
    <col min="20" max="20" width="60.42578125" style="99" bestFit="1" customWidth="1"/>
    <col min="21" max="21" width="48.7109375" style="99" customWidth="1"/>
    <col min="22" max="22" width="13.28515625" style="99" customWidth="1"/>
    <col min="23" max="16384" width="11.42578125" style="99"/>
  </cols>
  <sheetData>
    <row r="1" spans="1:11" ht="15.75" customHeight="1" thickBot="1" x14ac:dyDescent="0.3">
      <c r="A1" s="100"/>
      <c r="B1" s="4135" t="s">
        <v>2115</v>
      </c>
      <c r="C1" s="4138"/>
      <c r="D1" s="4138"/>
      <c r="E1" s="4139"/>
      <c r="F1" s="1603" t="s">
        <v>2201</v>
      </c>
      <c r="G1" s="24"/>
      <c r="H1" s="24"/>
      <c r="I1" s="24"/>
      <c r="J1" s="145"/>
      <c r="K1" s="145"/>
    </row>
    <row r="2" spans="1:11" ht="26.25" thickBot="1" x14ac:dyDescent="0.3">
      <c r="A2" s="101"/>
      <c r="B2" s="12"/>
      <c r="C2" s="13" t="s">
        <v>78</v>
      </c>
      <c r="D2" s="13" t="s">
        <v>936</v>
      </c>
      <c r="E2" s="12" t="s">
        <v>2109</v>
      </c>
      <c r="F2" s="2094" t="s">
        <v>960</v>
      </c>
      <c r="J2" s="99"/>
      <c r="K2" s="99"/>
    </row>
    <row r="3" spans="1:11" ht="15.75" customHeight="1" thickBot="1" x14ac:dyDescent="0.3">
      <c r="A3" s="103"/>
      <c r="B3" s="15"/>
      <c r="C3" s="276" t="s">
        <v>62</v>
      </c>
      <c r="D3" s="129">
        <v>106110446</v>
      </c>
      <c r="E3" s="115" t="s">
        <v>245</v>
      </c>
      <c r="F3" s="18">
        <v>1</v>
      </c>
      <c r="J3" s="99"/>
      <c r="K3" s="99"/>
    </row>
    <row r="4" spans="1:11" s="11" customFormat="1" ht="15.75" thickBot="1" x14ac:dyDescent="0.3">
      <c r="A4" s="1360" t="s">
        <v>591</v>
      </c>
      <c r="B4" s="1791" t="s">
        <v>21</v>
      </c>
      <c r="C4" s="470" t="s">
        <v>21</v>
      </c>
      <c r="D4" s="471">
        <v>106114255</v>
      </c>
      <c r="E4" s="767" t="s">
        <v>983</v>
      </c>
      <c r="F4" s="46">
        <v>1</v>
      </c>
    </row>
    <row r="5" spans="1:11" ht="15.75" customHeight="1" thickBot="1" x14ac:dyDescent="0.3">
      <c r="A5" s="103"/>
      <c r="B5" s="4142" t="s">
        <v>65</v>
      </c>
      <c r="C5" s="16" t="s">
        <v>65</v>
      </c>
      <c r="D5" s="129">
        <v>106104219</v>
      </c>
      <c r="E5" s="17" t="s">
        <v>66</v>
      </c>
      <c r="F5" s="18">
        <v>1</v>
      </c>
      <c r="J5" s="99"/>
      <c r="K5" s="99"/>
    </row>
    <row r="6" spans="1:11" ht="15.75" customHeight="1" thickBot="1" x14ac:dyDescent="0.3">
      <c r="A6" s="103"/>
      <c r="B6" s="4143"/>
      <c r="C6" s="16" t="s">
        <v>67</v>
      </c>
      <c r="D6" s="129">
        <v>106104093</v>
      </c>
      <c r="E6" s="17" t="s">
        <v>68</v>
      </c>
      <c r="F6" s="18">
        <v>1</v>
      </c>
      <c r="J6" s="99"/>
      <c r="K6" s="99"/>
    </row>
    <row r="7" spans="1:11" ht="15.75" customHeight="1" thickBot="1" x14ac:dyDescent="0.3">
      <c r="A7" s="103"/>
      <c r="B7" s="4142" t="s">
        <v>69</v>
      </c>
      <c r="C7" s="16" t="s">
        <v>69</v>
      </c>
      <c r="D7" s="52">
        <v>106104221</v>
      </c>
      <c r="E7" s="461" t="s">
        <v>70</v>
      </c>
      <c r="F7" s="18">
        <v>2</v>
      </c>
      <c r="J7" s="99"/>
      <c r="K7" s="99"/>
    </row>
    <row r="8" spans="1:11" ht="15.75" customHeight="1" thickBot="1" x14ac:dyDescent="0.3">
      <c r="A8" s="107"/>
      <c r="B8" s="4143"/>
      <c r="C8" s="276" t="s">
        <v>2110</v>
      </c>
      <c r="D8" s="53">
        <v>106104093</v>
      </c>
      <c r="E8" s="17" t="s">
        <v>68</v>
      </c>
      <c r="F8" s="18">
        <v>2</v>
      </c>
      <c r="J8" s="99"/>
      <c r="K8" s="99"/>
    </row>
    <row r="9" spans="1:11" s="11" customFormat="1" x14ac:dyDescent="0.25">
      <c r="A9" s="1383"/>
      <c r="B9" s="4144"/>
      <c r="C9" s="777" t="s">
        <v>71</v>
      </c>
      <c r="D9" s="233">
        <v>106114829</v>
      </c>
      <c r="E9" s="947" t="s">
        <v>246</v>
      </c>
      <c r="F9" s="233">
        <v>1</v>
      </c>
    </row>
    <row r="10" spans="1:11" ht="15.75" customHeight="1" x14ac:dyDescent="0.25">
      <c r="A10" s="103"/>
      <c r="B10" s="4145"/>
      <c r="C10" s="946" t="s">
        <v>15</v>
      </c>
      <c r="D10" s="679">
        <v>106110452</v>
      </c>
      <c r="E10" s="784" t="s">
        <v>257</v>
      </c>
      <c r="F10" s="130">
        <v>3</v>
      </c>
      <c r="J10" s="99"/>
      <c r="K10" s="99"/>
    </row>
    <row r="11" spans="1:11" ht="15.75" customHeight="1" x14ac:dyDescent="0.25">
      <c r="A11" s="103"/>
      <c r="B11" s="4145"/>
      <c r="C11" s="946" t="s">
        <v>23</v>
      </c>
      <c r="D11" s="679">
        <v>106110281</v>
      </c>
      <c r="E11" s="477" t="s">
        <v>248</v>
      </c>
      <c r="F11" s="130">
        <v>2</v>
      </c>
      <c r="J11" s="99"/>
      <c r="K11" s="99"/>
    </row>
    <row r="12" spans="1:11" ht="15.75" customHeight="1" x14ac:dyDescent="0.25">
      <c r="A12" s="103"/>
      <c r="B12" s="4145"/>
      <c r="C12" s="440" t="s">
        <v>196</v>
      </c>
      <c r="D12" s="679">
        <v>106201346</v>
      </c>
      <c r="E12" s="19" t="s">
        <v>72</v>
      </c>
      <c r="F12" s="130">
        <v>1</v>
      </c>
      <c r="J12" s="99"/>
      <c r="K12" s="99"/>
    </row>
    <row r="13" spans="1:11" ht="15.75" customHeight="1" x14ac:dyDescent="0.25">
      <c r="A13" s="103"/>
      <c r="B13" s="437"/>
      <c r="C13" s="946" t="s">
        <v>73</v>
      </c>
      <c r="D13" s="679">
        <v>106200824</v>
      </c>
      <c r="E13" s="17" t="s">
        <v>74</v>
      </c>
      <c r="F13" s="130">
        <v>1</v>
      </c>
      <c r="J13" s="99"/>
      <c r="K13" s="99"/>
    </row>
    <row r="14" spans="1:11" ht="15.75" customHeight="1" x14ac:dyDescent="0.25">
      <c r="A14" s="103"/>
      <c r="B14" s="944"/>
      <c r="C14" s="944" t="s">
        <v>884</v>
      </c>
      <c r="D14" s="88">
        <v>106110284</v>
      </c>
      <c r="E14" s="948" t="s">
        <v>885</v>
      </c>
      <c r="F14" s="130">
        <v>3</v>
      </c>
      <c r="J14" s="99"/>
      <c r="K14" s="99"/>
    </row>
    <row r="15" spans="1:11" s="11" customFormat="1" ht="15.75" thickBot="1" x14ac:dyDescent="0.3">
      <c r="A15" s="1383"/>
      <c r="B15" s="434"/>
      <c r="C15" s="730"/>
      <c r="D15" s="945">
        <v>106112712</v>
      </c>
      <c r="E15" s="2" t="s">
        <v>683</v>
      </c>
      <c r="F15" s="399">
        <v>1</v>
      </c>
    </row>
    <row r="16" spans="1:11" ht="15.75" customHeight="1" thickBot="1" x14ac:dyDescent="0.3">
      <c r="A16" s="103"/>
      <c r="B16" s="21"/>
      <c r="C16" s="16" t="s">
        <v>266</v>
      </c>
      <c r="D16" s="475">
        <v>106201685</v>
      </c>
      <c r="E16" s="22" t="s">
        <v>2086</v>
      </c>
      <c r="F16" s="23">
        <v>1</v>
      </c>
      <c r="J16" s="99"/>
      <c r="K16" s="99"/>
    </row>
    <row r="17" spans="1:11" ht="15.75" customHeight="1" thickBot="1" x14ac:dyDescent="0.3">
      <c r="A17" s="103"/>
      <c r="B17" s="4103" t="s">
        <v>2023</v>
      </c>
      <c r="C17" s="116" t="s">
        <v>259</v>
      </c>
      <c r="D17" s="1791">
        <v>106110170</v>
      </c>
      <c r="E17" s="117" t="s">
        <v>260</v>
      </c>
      <c r="F17" s="118">
        <v>1</v>
      </c>
      <c r="J17" s="99"/>
      <c r="K17" s="99"/>
    </row>
    <row r="18" spans="1:11" ht="15.75" customHeight="1" thickBot="1" x14ac:dyDescent="0.3">
      <c r="A18" s="569" t="s">
        <v>2111</v>
      </c>
      <c r="B18" s="4104"/>
      <c r="C18" s="116" t="s">
        <v>261</v>
      </c>
      <c r="D18" s="18">
        <v>106114701</v>
      </c>
      <c r="E18" s="20" t="s">
        <v>262</v>
      </c>
      <c r="F18" s="119">
        <v>1</v>
      </c>
      <c r="J18" s="99"/>
      <c r="K18" s="99"/>
    </row>
    <row r="19" spans="1:11" ht="15.75" customHeight="1" thickBot="1" x14ac:dyDescent="0.3">
      <c r="A19" s="103"/>
      <c r="B19" s="4105"/>
      <c r="C19" s="116" t="s">
        <v>263</v>
      </c>
      <c r="D19" s="1792">
        <v>106110287</v>
      </c>
      <c r="E19" s="22" t="s">
        <v>264</v>
      </c>
      <c r="F19" s="23">
        <v>1</v>
      </c>
      <c r="J19" s="99"/>
      <c r="K19" s="99"/>
    </row>
    <row r="20" spans="1:11" ht="15.75" customHeight="1" x14ac:dyDescent="0.25">
      <c r="A20" s="103"/>
      <c r="B20" s="949"/>
      <c r="C20" s="943"/>
      <c r="D20" s="143"/>
      <c r="E20" s="489"/>
      <c r="F20" s="950"/>
      <c r="J20" s="99"/>
      <c r="K20" s="99"/>
    </row>
    <row r="21" spans="1:11" ht="15.75" thickBot="1" x14ac:dyDescent="0.3">
      <c r="E21" s="99" t="s">
        <v>2116</v>
      </c>
      <c r="J21" s="99"/>
      <c r="K21" s="99"/>
    </row>
    <row r="22" spans="1:11" ht="15.75" customHeight="1" thickBot="1" x14ac:dyDescent="0.3">
      <c r="A22" s="100"/>
      <c r="B22" s="4135" t="s">
        <v>2117</v>
      </c>
      <c r="C22" s="4138"/>
      <c r="D22" s="4138"/>
      <c r="E22" s="4139"/>
      <c r="F22" s="1603" t="s">
        <v>2201</v>
      </c>
      <c r="J22" s="99"/>
      <c r="K22" s="99"/>
    </row>
    <row r="23" spans="1:11" ht="26.25" thickBot="1" x14ac:dyDescent="0.3">
      <c r="A23" s="101"/>
      <c r="B23" s="12"/>
      <c r="C23" s="13" t="s">
        <v>78</v>
      </c>
      <c r="D23" s="13" t="s">
        <v>936</v>
      </c>
      <c r="E23" s="12" t="s">
        <v>2109</v>
      </c>
      <c r="F23" s="2094" t="s">
        <v>960</v>
      </c>
      <c r="J23" s="99"/>
      <c r="K23" s="99"/>
    </row>
    <row r="24" spans="1:11" ht="15.75" customHeight="1" thickBot="1" x14ac:dyDescent="0.3">
      <c r="A24" s="103"/>
      <c r="B24" s="15"/>
      <c r="C24" s="276" t="s">
        <v>62</v>
      </c>
      <c r="D24" s="129">
        <v>106110446</v>
      </c>
      <c r="E24" s="115" t="s">
        <v>245</v>
      </c>
      <c r="F24" s="18">
        <v>1</v>
      </c>
      <c r="J24" s="99"/>
      <c r="K24" s="99"/>
    </row>
    <row r="25" spans="1:11" ht="15.75" customHeight="1" thickBot="1" x14ac:dyDescent="0.3">
      <c r="A25" s="1360" t="s">
        <v>591</v>
      </c>
      <c r="B25" s="4142" t="s">
        <v>21</v>
      </c>
      <c r="C25" s="472" t="s">
        <v>21</v>
      </c>
      <c r="D25" s="473">
        <v>106110160</v>
      </c>
      <c r="E25" s="474" t="s">
        <v>256</v>
      </c>
      <c r="F25" s="18">
        <v>1</v>
      </c>
      <c r="J25" s="99"/>
      <c r="K25" s="99"/>
    </row>
    <row r="26" spans="1:11" ht="15.75" customHeight="1" thickBot="1" x14ac:dyDescent="0.3">
      <c r="A26" s="1360" t="s">
        <v>591</v>
      </c>
      <c r="B26" s="4143"/>
      <c r="C26" s="15" t="s">
        <v>64</v>
      </c>
      <c r="D26" s="475">
        <v>106104130</v>
      </c>
      <c r="E26" s="476" t="s">
        <v>2113</v>
      </c>
      <c r="F26" s="18">
        <v>1</v>
      </c>
      <c r="J26" s="99"/>
      <c r="K26" s="99"/>
    </row>
    <row r="27" spans="1:11" ht="15.75" customHeight="1" thickBot="1" x14ac:dyDescent="0.3">
      <c r="A27" s="103"/>
      <c r="B27" s="4142" t="s">
        <v>65</v>
      </c>
      <c r="C27" s="16" t="s">
        <v>65</v>
      </c>
      <c r="D27" s="129">
        <v>106104219</v>
      </c>
      <c r="E27" s="17" t="s">
        <v>66</v>
      </c>
      <c r="F27" s="18">
        <v>1</v>
      </c>
      <c r="J27" s="99"/>
      <c r="K27" s="99"/>
    </row>
    <row r="28" spans="1:11" ht="15.75" customHeight="1" thickBot="1" x14ac:dyDescent="0.3">
      <c r="A28" s="103"/>
      <c r="B28" s="4143"/>
      <c r="C28" s="16" t="s">
        <v>67</v>
      </c>
      <c r="D28" s="129">
        <v>106104093</v>
      </c>
      <c r="E28" s="17" t="s">
        <v>68</v>
      </c>
      <c r="F28" s="18">
        <v>1</v>
      </c>
      <c r="J28" s="99"/>
      <c r="K28" s="99"/>
    </row>
    <row r="29" spans="1:11" ht="15.75" customHeight="1" thickBot="1" x14ac:dyDescent="0.3">
      <c r="A29" s="103"/>
      <c r="B29" s="4142" t="s">
        <v>69</v>
      </c>
      <c r="C29" s="16" t="s">
        <v>69</v>
      </c>
      <c r="D29" s="52">
        <v>106104221</v>
      </c>
      <c r="E29" s="461" t="s">
        <v>70</v>
      </c>
      <c r="F29" s="18">
        <v>2</v>
      </c>
      <c r="J29" s="99"/>
      <c r="K29" s="99"/>
    </row>
    <row r="30" spans="1:11" ht="15.75" customHeight="1" thickBot="1" x14ac:dyDescent="0.3">
      <c r="A30" s="107"/>
      <c r="B30" s="4143"/>
      <c r="C30" s="276" t="s">
        <v>2110</v>
      </c>
      <c r="D30" s="53">
        <v>106104093</v>
      </c>
      <c r="E30" s="17" t="s">
        <v>68</v>
      </c>
      <c r="F30" s="18">
        <v>2</v>
      </c>
      <c r="J30" s="99"/>
      <c r="K30" s="99"/>
    </row>
    <row r="31" spans="1:11" ht="15.75" customHeight="1" x14ac:dyDescent="0.25">
      <c r="A31" s="103"/>
      <c r="B31" s="4146"/>
      <c r="C31" s="484" t="s">
        <v>71</v>
      </c>
      <c r="D31" s="781">
        <v>106110161</v>
      </c>
      <c r="E31" s="461" t="s">
        <v>2114</v>
      </c>
      <c r="F31" s="130">
        <v>1</v>
      </c>
      <c r="J31" s="99"/>
      <c r="K31" s="99"/>
    </row>
    <row r="32" spans="1:11" ht="15.75" customHeight="1" x14ac:dyDescent="0.25">
      <c r="A32" s="103"/>
      <c r="B32" s="4147"/>
      <c r="C32" s="485" t="s">
        <v>15</v>
      </c>
      <c r="D32" s="782">
        <v>106110452</v>
      </c>
      <c r="E32" s="784" t="s">
        <v>257</v>
      </c>
      <c r="F32" s="130">
        <v>3</v>
      </c>
      <c r="J32" s="99"/>
      <c r="K32" s="99"/>
    </row>
    <row r="33" spans="1:12" ht="15.75" customHeight="1" x14ac:dyDescent="0.25">
      <c r="A33" s="103"/>
      <c r="B33" s="4147"/>
      <c r="C33" s="485" t="s">
        <v>23</v>
      </c>
      <c r="D33" s="782">
        <v>106110281</v>
      </c>
      <c r="E33" s="477" t="s">
        <v>248</v>
      </c>
      <c r="F33" s="130">
        <v>2</v>
      </c>
      <c r="J33" s="99"/>
      <c r="K33" s="99"/>
    </row>
    <row r="34" spans="1:12" ht="15.75" customHeight="1" x14ac:dyDescent="0.25">
      <c r="A34" s="103"/>
      <c r="B34" s="4147"/>
      <c r="C34" s="779" t="s">
        <v>196</v>
      </c>
      <c r="D34" s="782">
        <v>106201346</v>
      </c>
      <c r="E34" s="19" t="s">
        <v>72</v>
      </c>
      <c r="F34" s="130">
        <v>1</v>
      </c>
      <c r="J34" s="99"/>
      <c r="K34" s="99"/>
    </row>
    <row r="35" spans="1:12" ht="15.75" customHeight="1" x14ac:dyDescent="0.25">
      <c r="A35" s="103"/>
      <c r="B35" s="778"/>
      <c r="C35" s="485" t="s">
        <v>73</v>
      </c>
      <c r="D35" s="782">
        <v>106200824</v>
      </c>
      <c r="E35" s="17" t="s">
        <v>74</v>
      </c>
      <c r="F35" s="130">
        <v>1</v>
      </c>
      <c r="J35" s="99"/>
      <c r="K35" s="99"/>
    </row>
    <row r="36" spans="1:12" s="11" customFormat="1" ht="15.75" thickBot="1" x14ac:dyDescent="0.3">
      <c r="A36" s="1383"/>
      <c r="B36" s="775"/>
      <c r="C36" s="780"/>
      <c r="D36" s="783">
        <v>106112712</v>
      </c>
      <c r="E36" s="2" t="s">
        <v>683</v>
      </c>
      <c r="F36" s="399">
        <v>1</v>
      </c>
    </row>
    <row r="37" spans="1:12" ht="15.75" customHeight="1" thickBot="1" x14ac:dyDescent="0.3">
      <c r="A37" s="103"/>
      <c r="B37" s="21"/>
      <c r="C37" s="16" t="s">
        <v>266</v>
      </c>
      <c r="D37" s="475">
        <v>106201685</v>
      </c>
      <c r="E37" s="22" t="s">
        <v>2086</v>
      </c>
      <c r="F37" s="23">
        <v>1</v>
      </c>
      <c r="J37" s="99"/>
      <c r="K37" s="99"/>
    </row>
    <row r="38" spans="1:12" ht="15.75" customHeight="1" thickBot="1" x14ac:dyDescent="0.3">
      <c r="A38" s="103"/>
      <c r="B38" s="4103" t="s">
        <v>2023</v>
      </c>
      <c r="C38" s="116" t="s">
        <v>259</v>
      </c>
      <c r="D38" s="1791">
        <v>106110170</v>
      </c>
      <c r="E38" s="117" t="s">
        <v>260</v>
      </c>
      <c r="F38" s="118">
        <v>1</v>
      </c>
      <c r="J38" s="99"/>
      <c r="K38" s="99"/>
    </row>
    <row r="39" spans="1:12" ht="15.75" customHeight="1" thickBot="1" x14ac:dyDescent="0.3">
      <c r="A39" s="569" t="s">
        <v>2111</v>
      </c>
      <c r="B39" s="4104"/>
      <c r="C39" s="116" t="s">
        <v>261</v>
      </c>
      <c r="D39" s="18">
        <v>106110278</v>
      </c>
      <c r="E39" s="20" t="s">
        <v>262</v>
      </c>
      <c r="F39" s="119">
        <v>1</v>
      </c>
      <c r="J39" s="99"/>
      <c r="K39" s="99"/>
    </row>
    <row r="40" spans="1:12" ht="15.75" customHeight="1" thickBot="1" x14ac:dyDescent="0.3">
      <c r="A40" s="103"/>
      <c r="B40" s="4105"/>
      <c r="C40" s="116" t="s">
        <v>263</v>
      </c>
      <c r="D40" s="1792">
        <v>106110287</v>
      </c>
      <c r="E40" s="22" t="s">
        <v>264</v>
      </c>
      <c r="F40" s="23">
        <v>1</v>
      </c>
      <c r="J40" s="99"/>
      <c r="K40" s="99"/>
    </row>
    <row r="41" spans="1:12" ht="15.75" customHeight="1" x14ac:dyDescent="0.25">
      <c r="A41" s="103"/>
    </row>
    <row r="42" spans="1:12" x14ac:dyDescent="0.25">
      <c r="A42" s="103"/>
    </row>
    <row r="43" spans="1:12" x14ac:dyDescent="0.25">
      <c r="A43" s="103"/>
    </row>
    <row r="44" spans="1:12" x14ac:dyDescent="0.25">
      <c r="B44" s="98"/>
      <c r="C44" s="98"/>
      <c r="D44" s="98"/>
      <c r="E44" s="98"/>
      <c r="F44" s="98"/>
      <c r="G44" s="98"/>
      <c r="H44" s="98"/>
      <c r="I44" s="98"/>
    </row>
    <row r="45" spans="1:12" x14ac:dyDescent="0.25">
      <c r="B45" s="108"/>
      <c r="C45" s="108"/>
      <c r="D45" s="109"/>
      <c r="E45" s="109"/>
      <c r="F45" s="109"/>
      <c r="G45" s="109"/>
      <c r="H45" s="109"/>
      <c r="I45" s="109"/>
      <c r="J45" s="110"/>
      <c r="K45" s="110"/>
      <c r="L45" s="110"/>
    </row>
    <row r="46" spans="1:12" x14ac:dyDescent="0.25">
      <c r="B46" s="41"/>
      <c r="C46" s="40"/>
      <c r="D46" s="112"/>
      <c r="E46" s="112"/>
      <c r="F46" s="112"/>
      <c r="G46" s="112"/>
      <c r="H46" s="112"/>
      <c r="I46" s="112"/>
      <c r="J46" s="113"/>
      <c r="K46" s="114"/>
      <c r="L46" s="102"/>
    </row>
    <row r="47" spans="1:12" x14ac:dyDescent="0.25">
      <c r="A47" s="98"/>
      <c r="B47" s="41"/>
      <c r="C47" s="40"/>
      <c r="D47" s="112"/>
      <c r="E47" s="112"/>
      <c r="F47" s="112"/>
      <c r="G47" s="112"/>
      <c r="H47" s="112"/>
      <c r="I47" s="112"/>
      <c r="J47" s="113"/>
      <c r="K47" s="114"/>
      <c r="L47" s="102"/>
    </row>
    <row r="48" spans="1:12" x14ac:dyDescent="0.25">
      <c r="A48" s="108"/>
    </row>
    <row r="49" spans="1:5" x14ac:dyDescent="0.25">
      <c r="A49" s="111"/>
      <c r="E49" s="106"/>
    </row>
    <row r="50" spans="1:5" x14ac:dyDescent="0.25">
      <c r="A50" s="111"/>
    </row>
  </sheetData>
  <mergeCells count="11">
    <mergeCell ref="B1:E1"/>
    <mergeCell ref="B5:B6"/>
    <mergeCell ref="B7:B8"/>
    <mergeCell ref="B9:B12"/>
    <mergeCell ref="B17:B19"/>
    <mergeCell ref="B38:B40"/>
    <mergeCell ref="B22:E22"/>
    <mergeCell ref="B25:B26"/>
    <mergeCell ref="B27:B28"/>
    <mergeCell ref="B29:B30"/>
    <mergeCell ref="B31:B34"/>
  </mergeCells>
  <dataValidations count="2">
    <dataValidation type="list" allowBlank="1" showInputMessage="1" showErrorMessage="1" sqref="D22">
      <formula1>$F$46:$F$47</formula1>
    </dataValidation>
    <dataValidation type="list" allowBlank="1" showInputMessage="1" showErrorMessage="1" sqref="D1">
      <formula1>$F$27:$F$28</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3"/>
  <sheetViews>
    <sheetView workbookViewId="0">
      <selection activeCell="D13" sqref="D13"/>
    </sheetView>
  </sheetViews>
  <sheetFormatPr baseColWidth="10" defaultRowHeight="15" x14ac:dyDescent="0.25"/>
  <cols>
    <col min="1" max="1" width="13.5703125" style="1383" customWidth="1"/>
    <col min="2" max="2" width="7.85546875" style="1803" customWidth="1"/>
    <col min="3" max="4" width="11.42578125" style="1383"/>
    <col min="5" max="5" width="59" style="1383" customWidth="1"/>
    <col min="6" max="6" width="13.140625" style="1383" customWidth="1"/>
    <col min="7" max="7" width="14.140625" customWidth="1"/>
    <col min="8" max="8" width="10" bestFit="1" customWidth="1"/>
    <col min="9" max="9" width="14.28515625" style="39" customWidth="1"/>
    <col min="11" max="11" width="14.42578125" customWidth="1"/>
    <col min="12" max="12" width="14.140625" style="39" customWidth="1"/>
    <col min="13" max="14" width="14.42578125" customWidth="1"/>
    <col min="15" max="15" width="17.140625" customWidth="1"/>
    <col min="20" max="20" width="60.42578125" bestFit="1" customWidth="1"/>
    <col min="21" max="21" width="49.7109375" customWidth="1"/>
    <col min="22" max="22" width="12.85546875" customWidth="1"/>
  </cols>
  <sheetData>
    <row r="1" spans="1:12" s="11" customFormat="1" x14ac:dyDescent="0.25">
      <c r="A1" s="1383"/>
      <c r="B1" s="431" t="s">
        <v>8</v>
      </c>
      <c r="C1" s="91" t="s">
        <v>269</v>
      </c>
      <c r="D1" s="1383"/>
      <c r="E1" s="1383"/>
      <c r="F1" s="1383"/>
      <c r="I1" s="919"/>
      <c r="L1" s="919"/>
    </row>
    <row r="2" spans="1:12" s="11" customFormat="1" ht="15.75" thickBot="1" x14ac:dyDescent="0.3">
      <c r="A2" s="1383"/>
      <c r="B2" s="1923" t="s">
        <v>2118</v>
      </c>
      <c r="C2" s="1924" t="s">
        <v>982</v>
      </c>
      <c r="D2" s="1383"/>
      <c r="E2" s="1383"/>
      <c r="F2" s="1383"/>
      <c r="I2" s="919"/>
      <c r="L2" s="919"/>
    </row>
    <row r="3" spans="1:12" s="11" customFormat="1" ht="15.75" thickBot="1" x14ac:dyDescent="0.3">
      <c r="A3" s="1383"/>
      <c r="B3" s="4109" t="s">
        <v>2020</v>
      </c>
      <c r="C3" s="4110"/>
      <c r="D3" s="4110"/>
      <c r="E3" s="1788" t="s">
        <v>1671</v>
      </c>
      <c r="F3" s="1603" t="s">
        <v>2200</v>
      </c>
      <c r="G3" s="919"/>
      <c r="J3" s="919"/>
    </row>
    <row r="4" spans="1:12" s="11" customFormat="1" ht="38.25" customHeight="1" thickBot="1" x14ac:dyDescent="0.3">
      <c r="A4" s="1383"/>
      <c r="B4" s="435" t="s">
        <v>554</v>
      </c>
      <c r="C4" s="436"/>
      <c r="D4" s="436" t="s">
        <v>936</v>
      </c>
      <c r="E4" s="436" t="s">
        <v>2109</v>
      </c>
      <c r="F4" s="389" t="s">
        <v>960</v>
      </c>
      <c r="G4" s="2894" t="s">
        <v>1007</v>
      </c>
      <c r="H4" s="1753" t="s">
        <v>251</v>
      </c>
      <c r="I4" s="1753" t="s">
        <v>2475</v>
      </c>
      <c r="J4" s="2894" t="s">
        <v>2822</v>
      </c>
    </row>
    <row r="5" spans="1:12" s="11" customFormat="1" ht="15.75" thickBot="1" x14ac:dyDescent="0.3">
      <c r="A5" s="1383"/>
      <c r="B5" s="468"/>
      <c r="C5" s="469" t="s">
        <v>62</v>
      </c>
      <c r="D5" s="233">
        <v>106110901</v>
      </c>
      <c r="E5" s="94" t="s">
        <v>245</v>
      </c>
      <c r="F5" s="231">
        <v>1</v>
      </c>
      <c r="G5" s="2633">
        <v>1</v>
      </c>
      <c r="H5" s="304">
        <f>$G5*'Lista global'!P94</f>
        <v>87.149999999999991</v>
      </c>
      <c r="I5" s="304">
        <f>$G5*'Lista global'!Q94</f>
        <v>73.389473684210529</v>
      </c>
      <c r="J5" s="304">
        <f>$G5*'Lista global'!M94</f>
        <v>69.72</v>
      </c>
    </row>
    <row r="6" spans="1:12" s="11" customFormat="1" ht="15.75" thickBot="1" x14ac:dyDescent="0.3">
      <c r="A6" s="1360" t="s">
        <v>591</v>
      </c>
      <c r="B6" s="433" t="s">
        <v>21</v>
      </c>
      <c r="C6" s="470" t="s">
        <v>21</v>
      </c>
      <c r="D6" s="471">
        <v>106114255</v>
      </c>
      <c r="E6" s="767" t="s">
        <v>983</v>
      </c>
      <c r="F6" s="46">
        <v>1</v>
      </c>
      <c r="G6" s="2633">
        <v>1</v>
      </c>
      <c r="H6" s="304">
        <f>$G6*'Lista global'!P141</f>
        <v>44.612499999999997</v>
      </c>
      <c r="I6" s="304">
        <f>$G6*'Lista global'!Q141</f>
        <v>37.568421052631578</v>
      </c>
      <c r="J6" s="304">
        <f>$G6*'Lista global'!M141</f>
        <v>35.69</v>
      </c>
    </row>
    <row r="7" spans="1:12" s="11" customFormat="1" ht="15.75" thickBot="1" x14ac:dyDescent="0.3">
      <c r="A7" s="1383"/>
      <c r="B7" s="468" t="s">
        <v>65</v>
      </c>
      <c r="C7" s="93" t="s">
        <v>65</v>
      </c>
      <c r="D7" s="233">
        <v>106104219</v>
      </c>
      <c r="E7" s="94" t="s">
        <v>66</v>
      </c>
      <c r="F7" s="46">
        <v>1</v>
      </c>
      <c r="G7" s="2633">
        <v>1</v>
      </c>
      <c r="H7" s="304">
        <f>$G7*'Lista global'!P46</f>
        <v>25.224999999999998</v>
      </c>
      <c r="I7" s="304">
        <f>$G7*'Lista global'!Q46</f>
        <v>21.242105263157896</v>
      </c>
      <c r="J7" s="304">
        <f>$G7*'Lista global'!M46</f>
        <v>20.18</v>
      </c>
    </row>
    <row r="8" spans="1:12" s="11" customFormat="1" ht="15.75" thickBot="1" x14ac:dyDescent="0.3">
      <c r="A8" s="1383"/>
      <c r="B8" s="432"/>
      <c r="C8" s="93" t="s">
        <v>67</v>
      </c>
      <c r="D8" s="233">
        <v>106104093</v>
      </c>
      <c r="E8" s="94" t="s">
        <v>68</v>
      </c>
      <c r="F8" s="46">
        <v>1</v>
      </c>
      <c r="G8" s="2633">
        <v>1</v>
      </c>
      <c r="H8" s="304">
        <f>$G8*'Lista global'!P17</f>
        <v>2.2624999999999997</v>
      </c>
      <c r="I8" s="304">
        <f>$G8*'Lista global'!Q17</f>
        <v>1.905263157894737</v>
      </c>
      <c r="J8" s="304">
        <f>$G8*'Lista global'!M17</f>
        <v>1.81</v>
      </c>
    </row>
    <row r="9" spans="1:12" s="11" customFormat="1" ht="15.75" thickBot="1" x14ac:dyDescent="0.3">
      <c r="A9" s="1383"/>
      <c r="B9" s="433" t="s">
        <v>69</v>
      </c>
      <c r="C9" s="93" t="s">
        <v>69</v>
      </c>
      <c r="D9" s="231">
        <v>106104221</v>
      </c>
      <c r="E9" s="769" t="s">
        <v>70</v>
      </c>
      <c r="F9" s="46">
        <v>2</v>
      </c>
      <c r="G9" s="2633">
        <v>1</v>
      </c>
      <c r="H9" s="304">
        <f>$G9*'Lista global'!P47</f>
        <v>31.837499999999999</v>
      </c>
      <c r="I9" s="304">
        <f>$G9*'Lista global'!Q47</f>
        <v>26.810526315789474</v>
      </c>
      <c r="J9" s="304">
        <f>$G9*'Lista global'!M47</f>
        <v>25.47</v>
      </c>
    </row>
    <row r="10" spans="1:12" s="11" customFormat="1" ht="15.75" thickBot="1" x14ac:dyDescent="0.3">
      <c r="A10" s="1383"/>
      <c r="B10" s="432"/>
      <c r="C10" s="469" t="s">
        <v>2110</v>
      </c>
      <c r="D10" s="232">
        <v>106104093</v>
      </c>
      <c r="E10" s="770" t="s">
        <v>68</v>
      </c>
      <c r="F10" s="46">
        <v>2</v>
      </c>
      <c r="G10" s="2633">
        <v>1</v>
      </c>
      <c r="H10" s="304">
        <f>$G10*'Lista global'!P17</f>
        <v>2.2624999999999997</v>
      </c>
      <c r="I10" s="304">
        <f>$G10*'Lista global'!Q17</f>
        <v>1.905263157894737</v>
      </c>
      <c r="J10" s="304">
        <f>$G10*'Lista global'!M17</f>
        <v>1.81</v>
      </c>
    </row>
    <row r="11" spans="1:12" s="11" customFormat="1" x14ac:dyDescent="0.25">
      <c r="A11" s="1383"/>
      <c r="B11" s="774"/>
      <c r="C11" s="777" t="s">
        <v>71</v>
      </c>
      <c r="D11" s="233">
        <v>106114829</v>
      </c>
      <c r="E11" s="769" t="s">
        <v>246</v>
      </c>
      <c r="F11" s="46">
        <v>1</v>
      </c>
      <c r="G11" s="2633">
        <v>1</v>
      </c>
      <c r="H11" s="304">
        <f>$G11*'Lista global'!P148</f>
        <v>38.774999999999999</v>
      </c>
      <c r="I11" s="304">
        <f>$G11*'Lista global'!Q148</f>
        <v>32.652631578947371</v>
      </c>
      <c r="J11" s="304">
        <f>$G11*'Lista global'!M148</f>
        <v>31.02</v>
      </c>
    </row>
    <row r="12" spans="1:12" s="11" customFormat="1" x14ac:dyDescent="0.25">
      <c r="A12" s="1383"/>
      <c r="B12" s="775"/>
      <c r="C12" s="440" t="s">
        <v>15</v>
      </c>
      <c r="D12" s="233">
        <v>106110905</v>
      </c>
      <c r="E12" s="771" t="s">
        <v>247</v>
      </c>
      <c r="F12" s="46">
        <v>3</v>
      </c>
      <c r="G12" s="2633">
        <v>1</v>
      </c>
      <c r="H12" s="304">
        <f>$G12*'Lista global'!P95</f>
        <v>16.25</v>
      </c>
      <c r="I12" s="304">
        <f>$G12*'Lista global'!Q95</f>
        <v>13.684210526315789</v>
      </c>
      <c r="J12" s="304">
        <f>$G12*'Lista global'!M95</f>
        <v>13</v>
      </c>
    </row>
    <row r="13" spans="1:12" s="11" customFormat="1" x14ac:dyDescent="0.25">
      <c r="A13" s="1383"/>
      <c r="B13" s="775"/>
      <c r="C13" s="440" t="s">
        <v>23</v>
      </c>
      <c r="D13" s="233">
        <v>106110281</v>
      </c>
      <c r="E13" s="771" t="s">
        <v>248</v>
      </c>
      <c r="F13" s="46">
        <v>2</v>
      </c>
      <c r="G13" s="2633">
        <v>1</v>
      </c>
      <c r="H13" s="304">
        <f>$G13*'Lista global'!P84</f>
        <v>14.487499999999999</v>
      </c>
      <c r="I13" s="304">
        <f>$G13*'Lista global'!Q84</f>
        <v>12.200000000000001</v>
      </c>
      <c r="J13" s="304">
        <f>$G13*'Lista global'!M84</f>
        <v>11.59</v>
      </c>
    </row>
    <row r="14" spans="1:12" s="11" customFormat="1" x14ac:dyDescent="0.25">
      <c r="A14" s="1383"/>
      <c r="B14" s="775"/>
      <c r="C14" s="440" t="s">
        <v>196</v>
      </c>
      <c r="D14" s="233">
        <v>106201346</v>
      </c>
      <c r="E14" s="771" t="s">
        <v>72</v>
      </c>
      <c r="F14" s="46">
        <v>1</v>
      </c>
      <c r="G14" s="2633">
        <v>1</v>
      </c>
      <c r="H14" s="304">
        <f>$G14*'Lista global'!P199</f>
        <v>73.724999999999994</v>
      </c>
      <c r="I14" s="304">
        <f>$G14*'Lista global'!Q199</f>
        <v>49.15</v>
      </c>
      <c r="J14" s="304">
        <f>$G14*'Lista global'!M199</f>
        <v>29.49</v>
      </c>
    </row>
    <row r="15" spans="1:12" s="11" customFormat="1" x14ac:dyDescent="0.25">
      <c r="A15" s="1383"/>
      <c r="B15" s="775"/>
      <c r="C15" s="440" t="s">
        <v>73</v>
      </c>
      <c r="D15" s="233">
        <v>106200824</v>
      </c>
      <c r="E15" s="771" t="s">
        <v>74</v>
      </c>
      <c r="F15" s="46">
        <v>1</v>
      </c>
      <c r="G15" s="2633">
        <v>1</v>
      </c>
      <c r="H15" s="304">
        <f>$G15*'Lista global'!P187</f>
        <v>67.599999999999994</v>
      </c>
      <c r="I15" s="304">
        <f>$G15*'Lista global'!Q187</f>
        <v>45.06666666666667</v>
      </c>
      <c r="J15" s="304">
        <f>$G15*'Lista global'!M187</f>
        <v>27.04</v>
      </c>
    </row>
    <row r="16" spans="1:12" s="11" customFormat="1" x14ac:dyDescent="0.25">
      <c r="A16" s="1383"/>
      <c r="B16" s="775"/>
      <c r="C16" s="575"/>
      <c r="D16" s="233">
        <v>106112712</v>
      </c>
      <c r="E16" s="771" t="s">
        <v>683</v>
      </c>
      <c r="F16" s="575">
        <v>1</v>
      </c>
      <c r="G16" s="2633">
        <v>1</v>
      </c>
      <c r="H16" s="304">
        <f>$G16*'Lista global'!P117</f>
        <v>4.3249999999999993</v>
      </c>
      <c r="I16" s="304">
        <f>$G16*'Lista global'!Q117</f>
        <v>3.642105263157895</v>
      </c>
      <c r="J16" s="304">
        <f>$G16*'Lista global'!M117</f>
        <v>3.46</v>
      </c>
    </row>
    <row r="17" spans="1:12" s="11" customFormat="1" ht="15.75" thickBot="1" x14ac:dyDescent="0.3">
      <c r="A17" s="1383"/>
      <c r="B17" s="776"/>
      <c r="C17" s="92" t="s">
        <v>249</v>
      </c>
      <c r="D17" s="234">
        <v>106202651</v>
      </c>
      <c r="E17" s="772" t="s">
        <v>2119</v>
      </c>
      <c r="F17" s="232">
        <v>1</v>
      </c>
      <c r="G17" s="2633">
        <v>1</v>
      </c>
      <c r="H17" s="304">
        <f>$G17*'Lista global'!P210</f>
        <v>3478</v>
      </c>
      <c r="I17" s="304">
        <f>$G17*'Lista global'!Q210</f>
        <v>2318.2930275536846</v>
      </c>
      <c r="J17" s="304">
        <f>$G17*'Lista global'!M210</f>
        <v>1222.32</v>
      </c>
    </row>
    <row r="18" spans="1:12" s="99" customFormat="1" ht="15.75" customHeight="1" thickBot="1" x14ac:dyDescent="0.3">
      <c r="A18" s="103"/>
      <c r="B18" s="4150" t="s">
        <v>2023</v>
      </c>
      <c r="C18" s="486" t="s">
        <v>259</v>
      </c>
      <c r="D18" s="1791">
        <v>106110170</v>
      </c>
      <c r="E18" s="235" t="s">
        <v>260</v>
      </c>
      <c r="F18" s="118">
        <v>1</v>
      </c>
      <c r="G18" s="2633">
        <v>1</v>
      </c>
      <c r="H18" s="304">
        <f>$G18*'Lista global'!P82</f>
        <v>92.85</v>
      </c>
      <c r="I18" s="304">
        <f>$G18*'Lista global'!Q82</f>
        <v>78.189473684210526</v>
      </c>
      <c r="J18" s="304">
        <f>$G18*'Lista global'!M82</f>
        <v>74.28</v>
      </c>
    </row>
    <row r="19" spans="1:12" s="99" customFormat="1" ht="15.75" customHeight="1" thickBot="1" x14ac:dyDescent="0.3">
      <c r="A19" s="569" t="s">
        <v>2111</v>
      </c>
      <c r="B19" s="4151"/>
      <c r="C19" s="116" t="s">
        <v>261</v>
      </c>
      <c r="D19" s="18">
        <v>106114701</v>
      </c>
      <c r="E19" s="236" t="s">
        <v>262</v>
      </c>
      <c r="F19" s="119">
        <v>1</v>
      </c>
      <c r="G19" s="2633">
        <v>1</v>
      </c>
      <c r="H19" s="304">
        <f>$G19*'Lista global'!P146</f>
        <v>92.85</v>
      </c>
      <c r="I19" s="304">
        <f>$G19*'Lista global'!Q146</f>
        <v>78.189473684210526</v>
      </c>
      <c r="J19" s="304">
        <f>$G19*'Lista global'!M146</f>
        <v>74.28</v>
      </c>
    </row>
    <row r="20" spans="1:12" s="99" customFormat="1" ht="15.75" customHeight="1" thickBot="1" x14ac:dyDescent="0.3">
      <c r="A20" s="103"/>
      <c r="B20" s="4152"/>
      <c r="C20" s="116" t="s">
        <v>263</v>
      </c>
      <c r="D20" s="1792">
        <v>106110287</v>
      </c>
      <c r="E20" s="237" t="s">
        <v>264</v>
      </c>
      <c r="F20" s="23">
        <v>1</v>
      </c>
      <c r="G20" s="2633">
        <v>1</v>
      </c>
      <c r="H20" s="304">
        <f>$G20*'Lista global'!P116</f>
        <v>137.65</v>
      </c>
      <c r="I20" s="304">
        <f>$G20*'Lista global'!Q116</f>
        <v>115.91578947368421</v>
      </c>
      <c r="J20" s="304">
        <f>$G20*'Lista global'!M116</f>
        <v>110.12</v>
      </c>
    </row>
    <row r="21" spans="1:12" ht="15.75" thickBot="1" x14ac:dyDescent="0.3">
      <c r="G21" s="11"/>
      <c r="H21" s="11"/>
    </row>
    <row r="22" spans="1:12" x14ac:dyDescent="0.25">
      <c r="B22" s="431" t="s">
        <v>8</v>
      </c>
      <c r="C22" s="91" t="s">
        <v>269</v>
      </c>
      <c r="G22" s="11"/>
      <c r="H22" s="11"/>
    </row>
    <row r="23" spans="1:12" ht="15.75" thickBot="1" x14ac:dyDescent="0.3">
      <c r="B23" s="1923" t="s">
        <v>2118</v>
      </c>
      <c r="C23" s="1924" t="s">
        <v>243</v>
      </c>
      <c r="G23" s="11"/>
      <c r="H23" s="11"/>
    </row>
    <row r="24" spans="1:12" ht="15.75" thickBot="1" x14ac:dyDescent="0.3">
      <c r="B24" s="4109" t="s">
        <v>2020</v>
      </c>
      <c r="C24" s="4110"/>
      <c r="D24" s="4110"/>
      <c r="E24" s="1579" t="s">
        <v>1672</v>
      </c>
      <c r="F24" s="1603" t="s">
        <v>2200</v>
      </c>
      <c r="G24" s="39"/>
      <c r="I24"/>
      <c r="J24" s="39"/>
      <c r="L24"/>
    </row>
    <row r="25" spans="1:12" ht="38.25" customHeight="1" thickBot="1" x14ac:dyDescent="0.3">
      <c r="B25" s="435" t="s">
        <v>554</v>
      </c>
      <c r="C25" s="436"/>
      <c r="D25" s="436" t="s">
        <v>936</v>
      </c>
      <c r="E25" s="436" t="s">
        <v>2109</v>
      </c>
      <c r="F25" s="389" t="s">
        <v>960</v>
      </c>
      <c r="I25"/>
      <c r="L25"/>
    </row>
    <row r="26" spans="1:12" ht="15.75" thickBot="1" x14ac:dyDescent="0.3">
      <c r="B26" s="468"/>
      <c r="C26" s="469" t="s">
        <v>62</v>
      </c>
      <c r="D26" s="233">
        <v>106110901</v>
      </c>
      <c r="E26" s="94" t="s">
        <v>245</v>
      </c>
      <c r="F26" s="231">
        <v>1</v>
      </c>
      <c r="I26"/>
      <c r="L26"/>
    </row>
    <row r="27" spans="1:12" ht="15.75" thickBot="1" x14ac:dyDescent="0.3">
      <c r="A27" s="1360" t="s">
        <v>591</v>
      </c>
      <c r="B27" s="433" t="s">
        <v>21</v>
      </c>
      <c r="C27" s="470" t="s">
        <v>21</v>
      </c>
      <c r="D27" s="471">
        <v>106113689</v>
      </c>
      <c r="E27" s="767" t="s">
        <v>63</v>
      </c>
      <c r="F27" s="46">
        <v>1</v>
      </c>
      <c r="I27"/>
      <c r="L27"/>
    </row>
    <row r="28" spans="1:12" ht="15.75" thickBot="1" x14ac:dyDescent="0.3">
      <c r="A28" s="1360" t="s">
        <v>591</v>
      </c>
      <c r="B28" s="432"/>
      <c r="C28" s="93" t="s">
        <v>64</v>
      </c>
      <c r="D28" s="234">
        <v>106113691</v>
      </c>
      <c r="E28" s="768" t="s">
        <v>1877</v>
      </c>
      <c r="F28" s="46">
        <v>1</v>
      </c>
      <c r="I28"/>
      <c r="L28"/>
    </row>
    <row r="29" spans="1:12" ht="15.75" thickBot="1" x14ac:dyDescent="0.3">
      <c r="B29" s="468" t="s">
        <v>65</v>
      </c>
      <c r="C29" s="93" t="s">
        <v>65</v>
      </c>
      <c r="D29" s="233">
        <v>106104219</v>
      </c>
      <c r="E29" s="94" t="s">
        <v>66</v>
      </c>
      <c r="F29" s="46">
        <v>1</v>
      </c>
      <c r="I29"/>
      <c r="L29"/>
    </row>
    <row r="30" spans="1:12" ht="15.75" thickBot="1" x14ac:dyDescent="0.3">
      <c r="B30" s="432"/>
      <c r="C30" s="93" t="s">
        <v>67</v>
      </c>
      <c r="D30" s="233">
        <v>106104093</v>
      </c>
      <c r="E30" s="94" t="s">
        <v>68</v>
      </c>
      <c r="F30" s="46">
        <v>1</v>
      </c>
      <c r="I30"/>
      <c r="L30"/>
    </row>
    <row r="31" spans="1:12" ht="15.75" thickBot="1" x14ac:dyDescent="0.3">
      <c r="B31" s="433" t="s">
        <v>69</v>
      </c>
      <c r="C31" s="93" t="s">
        <v>69</v>
      </c>
      <c r="D31" s="231">
        <v>106104221</v>
      </c>
      <c r="E31" s="769" t="s">
        <v>70</v>
      </c>
      <c r="F31" s="46">
        <v>2</v>
      </c>
      <c r="I31"/>
      <c r="L31"/>
    </row>
    <row r="32" spans="1:12" ht="15.75" thickBot="1" x14ac:dyDescent="0.3">
      <c r="B32" s="432"/>
      <c r="C32" s="469" t="s">
        <v>2110</v>
      </c>
      <c r="D32" s="232">
        <v>106104093</v>
      </c>
      <c r="E32" s="770" t="s">
        <v>68</v>
      </c>
      <c r="F32" s="46">
        <v>2</v>
      </c>
      <c r="I32"/>
      <c r="L32"/>
    </row>
    <row r="33" spans="1:13" x14ac:dyDescent="0.25">
      <c r="B33" s="774"/>
      <c r="C33" s="777" t="s">
        <v>71</v>
      </c>
      <c r="D33" s="233">
        <v>106110161</v>
      </c>
      <c r="E33" s="769" t="s">
        <v>246</v>
      </c>
      <c r="F33" s="46">
        <v>1</v>
      </c>
      <c r="I33"/>
      <c r="L33"/>
    </row>
    <row r="34" spans="1:13" x14ac:dyDescent="0.25">
      <c r="B34" s="775"/>
      <c r="C34" s="440" t="s">
        <v>15</v>
      </c>
      <c r="D34" s="233">
        <v>106110905</v>
      </c>
      <c r="E34" s="771" t="s">
        <v>247</v>
      </c>
      <c r="F34" s="46">
        <v>3</v>
      </c>
      <c r="I34"/>
      <c r="L34"/>
    </row>
    <row r="35" spans="1:13" x14ac:dyDescent="0.25">
      <c r="B35" s="775"/>
      <c r="C35" s="440" t="s">
        <v>23</v>
      </c>
      <c r="D35" s="233">
        <v>106110281</v>
      </c>
      <c r="E35" s="771" t="s">
        <v>248</v>
      </c>
      <c r="F35" s="46">
        <v>2</v>
      </c>
      <c r="I35"/>
      <c r="L35"/>
    </row>
    <row r="36" spans="1:13" x14ac:dyDescent="0.25">
      <c r="B36" s="775"/>
      <c r="C36" s="440" t="s">
        <v>196</v>
      </c>
      <c r="D36" s="233">
        <v>106201346</v>
      </c>
      <c r="E36" s="771" t="s">
        <v>72</v>
      </c>
      <c r="F36" s="46">
        <v>1</v>
      </c>
      <c r="I36"/>
      <c r="L36"/>
    </row>
    <row r="37" spans="1:13" x14ac:dyDescent="0.25">
      <c r="B37" s="775"/>
      <c r="C37" s="440" t="s">
        <v>73</v>
      </c>
      <c r="D37" s="233">
        <v>106200824</v>
      </c>
      <c r="E37" s="771" t="s">
        <v>74</v>
      </c>
      <c r="F37" s="46">
        <v>1</v>
      </c>
      <c r="I37"/>
      <c r="L37"/>
    </row>
    <row r="38" spans="1:13" s="11" customFormat="1" x14ac:dyDescent="0.25">
      <c r="A38" s="1383"/>
      <c r="B38" s="775"/>
      <c r="C38" s="575"/>
      <c r="D38" s="233">
        <v>106112712</v>
      </c>
      <c r="E38" s="771" t="s">
        <v>683</v>
      </c>
      <c r="F38" s="575">
        <v>1</v>
      </c>
    </row>
    <row r="39" spans="1:13" ht="15.75" thickBot="1" x14ac:dyDescent="0.3">
      <c r="B39" s="776"/>
      <c r="C39" s="92" t="s">
        <v>249</v>
      </c>
      <c r="D39" s="234">
        <v>106202651</v>
      </c>
      <c r="E39" s="772" t="s">
        <v>2119</v>
      </c>
      <c r="F39" s="232">
        <v>1</v>
      </c>
      <c r="I39"/>
      <c r="L39"/>
    </row>
    <row r="40" spans="1:13" s="99" customFormat="1" ht="15.75" customHeight="1" thickBot="1" x14ac:dyDescent="0.3">
      <c r="A40" s="103"/>
      <c r="B40" s="4150" t="s">
        <v>2023</v>
      </c>
      <c r="C40" s="486" t="s">
        <v>259</v>
      </c>
      <c r="D40" s="1791">
        <v>106110170</v>
      </c>
      <c r="E40" s="235" t="s">
        <v>260</v>
      </c>
      <c r="F40" s="118">
        <v>1</v>
      </c>
    </row>
    <row r="41" spans="1:13" s="99" customFormat="1" ht="15.75" customHeight="1" thickBot="1" x14ac:dyDescent="0.3">
      <c r="A41" s="569" t="s">
        <v>2111</v>
      </c>
      <c r="B41" s="4151"/>
      <c r="C41" s="116" t="s">
        <v>261</v>
      </c>
      <c r="D41" s="18">
        <v>106110278</v>
      </c>
      <c r="E41" s="236" t="s">
        <v>262</v>
      </c>
      <c r="F41" s="119">
        <v>1</v>
      </c>
    </row>
    <row r="42" spans="1:13" s="99" customFormat="1" ht="15.75" customHeight="1" thickBot="1" x14ac:dyDescent="0.3">
      <c r="A42" s="103"/>
      <c r="B42" s="4152"/>
      <c r="C42" s="116" t="s">
        <v>263</v>
      </c>
      <c r="D42" s="1792">
        <v>106110287</v>
      </c>
      <c r="E42" s="237" t="s">
        <v>264</v>
      </c>
      <c r="F42" s="23">
        <v>1</v>
      </c>
    </row>
    <row r="44" spans="1:13" ht="15.75" thickBot="1" x14ac:dyDescent="0.3"/>
    <row r="45" spans="1:13" s="11" customFormat="1" ht="15.75" customHeight="1" thickBot="1" x14ac:dyDescent="0.3">
      <c r="A45" s="1383"/>
      <c r="B45" s="4135" t="s">
        <v>2120</v>
      </c>
      <c r="C45" s="4138"/>
      <c r="D45" s="4138"/>
      <c r="E45" s="4139"/>
      <c r="F45" s="1603" t="s">
        <v>2200</v>
      </c>
      <c r="G45" s="24"/>
      <c r="H45" s="24"/>
      <c r="L45" s="145"/>
      <c r="M45" s="24"/>
    </row>
    <row r="46" spans="1:13" s="125" customFormat="1" ht="26.25" thickBot="1" x14ac:dyDescent="0.3">
      <c r="A46" s="1807"/>
      <c r="B46" s="12"/>
      <c r="C46" s="13" t="s">
        <v>78</v>
      </c>
      <c r="D46" s="13" t="s">
        <v>13</v>
      </c>
      <c r="E46" s="12" t="s">
        <v>2109</v>
      </c>
      <c r="F46" s="1925" t="s">
        <v>960</v>
      </c>
    </row>
    <row r="47" spans="1:13" s="11" customFormat="1" ht="15.75" customHeight="1" thickBot="1" x14ac:dyDescent="0.3">
      <c r="A47" s="1383"/>
      <c r="B47" s="1795"/>
      <c r="C47" s="16" t="s">
        <v>62</v>
      </c>
      <c r="D47" s="130">
        <v>106110901</v>
      </c>
      <c r="E47" s="17" t="s">
        <v>77</v>
      </c>
      <c r="F47" s="18">
        <v>1</v>
      </c>
    </row>
    <row r="48" spans="1:13" s="11" customFormat="1" ht="15.75" customHeight="1" thickBot="1" x14ac:dyDescent="0.3">
      <c r="A48" s="1383"/>
      <c r="B48" s="4153" t="s">
        <v>21</v>
      </c>
      <c r="C48" s="16" t="s">
        <v>21</v>
      </c>
      <c r="D48" s="130">
        <v>106104109</v>
      </c>
      <c r="E48" s="17" t="s">
        <v>63</v>
      </c>
      <c r="F48" s="18">
        <v>1</v>
      </c>
    </row>
    <row r="49" spans="1:6" s="11" customFormat="1" ht="15.75" customHeight="1" thickBot="1" x14ac:dyDescent="0.3">
      <c r="A49" s="1383"/>
      <c r="B49" s="4154"/>
      <c r="C49" s="16" t="s">
        <v>64</v>
      </c>
      <c r="D49" s="130">
        <v>106104127</v>
      </c>
      <c r="E49" s="17" t="s">
        <v>1877</v>
      </c>
      <c r="F49" s="18">
        <v>1</v>
      </c>
    </row>
    <row r="50" spans="1:6" s="11" customFormat="1" ht="15.75" customHeight="1" thickBot="1" x14ac:dyDescent="0.3">
      <c r="A50" s="1383"/>
      <c r="B50" s="4153" t="s">
        <v>65</v>
      </c>
      <c r="C50" s="16" t="s">
        <v>65</v>
      </c>
      <c r="D50" s="130">
        <v>106104219</v>
      </c>
      <c r="E50" s="17" t="s">
        <v>66</v>
      </c>
      <c r="F50" s="18">
        <v>1</v>
      </c>
    </row>
    <row r="51" spans="1:6" s="11" customFormat="1" ht="15.75" customHeight="1" thickBot="1" x14ac:dyDescent="0.3">
      <c r="A51" s="1383"/>
      <c r="B51" s="4154"/>
      <c r="C51" s="16" t="s">
        <v>67</v>
      </c>
      <c r="D51" s="130">
        <v>106104093</v>
      </c>
      <c r="E51" s="17" t="s">
        <v>68</v>
      </c>
      <c r="F51" s="18">
        <v>1</v>
      </c>
    </row>
    <row r="52" spans="1:6" s="11" customFormat="1" ht="15.75" customHeight="1" thickBot="1" x14ac:dyDescent="0.3">
      <c r="A52" s="1383"/>
      <c r="B52" s="4153" t="s">
        <v>69</v>
      </c>
      <c r="C52" s="16" t="s">
        <v>69</v>
      </c>
      <c r="D52" s="130">
        <v>106104221</v>
      </c>
      <c r="E52" s="17" t="s">
        <v>70</v>
      </c>
      <c r="F52" s="18">
        <v>2</v>
      </c>
    </row>
    <row r="53" spans="1:6" s="11" customFormat="1" ht="15.75" customHeight="1" thickBot="1" x14ac:dyDescent="0.3">
      <c r="A53" s="1383"/>
      <c r="B53" s="4154"/>
      <c r="C53" s="16" t="s">
        <v>2110</v>
      </c>
      <c r="D53" s="130">
        <v>106104093</v>
      </c>
      <c r="E53" s="17" t="s">
        <v>68</v>
      </c>
      <c r="F53" s="18">
        <v>2</v>
      </c>
    </row>
    <row r="54" spans="1:6" s="11" customFormat="1" ht="15.75" customHeight="1" thickBot="1" x14ac:dyDescent="0.3">
      <c r="A54" s="1383"/>
      <c r="B54" s="4155"/>
      <c r="C54" s="16" t="s">
        <v>71</v>
      </c>
      <c r="D54" s="130">
        <v>106110161</v>
      </c>
      <c r="E54" s="17" t="s">
        <v>2121</v>
      </c>
      <c r="F54" s="18">
        <v>1</v>
      </c>
    </row>
    <row r="55" spans="1:6" s="11" customFormat="1" ht="15.75" customHeight="1" thickBot="1" x14ac:dyDescent="0.3">
      <c r="A55" s="1383"/>
      <c r="B55" s="4156"/>
      <c r="C55" s="16" t="s">
        <v>15</v>
      </c>
      <c r="D55" s="233">
        <v>106110905</v>
      </c>
      <c r="E55" s="115" t="s">
        <v>247</v>
      </c>
      <c r="F55" s="18">
        <v>3</v>
      </c>
    </row>
    <row r="56" spans="1:6" s="11" customFormat="1" ht="15.75" customHeight="1" thickBot="1" x14ac:dyDescent="0.3">
      <c r="A56" s="1383"/>
      <c r="B56" s="4156"/>
      <c r="C56" s="16" t="s">
        <v>23</v>
      </c>
      <c r="D56" s="233">
        <v>106110281</v>
      </c>
      <c r="E56" s="94" t="s">
        <v>248</v>
      </c>
      <c r="F56" s="18">
        <v>2</v>
      </c>
    </row>
    <row r="57" spans="1:6" s="11" customFormat="1" ht="15.75" customHeight="1" thickBot="1" x14ac:dyDescent="0.3">
      <c r="A57" s="1383"/>
      <c r="B57" s="4156"/>
      <c r="C57" s="93" t="s">
        <v>196</v>
      </c>
      <c r="D57" s="130">
        <v>106201346</v>
      </c>
      <c r="E57" s="19" t="s">
        <v>72</v>
      </c>
      <c r="F57" s="18">
        <v>1</v>
      </c>
    </row>
    <row r="58" spans="1:6" s="11" customFormat="1" ht="15.75" customHeight="1" thickBot="1" x14ac:dyDescent="0.3">
      <c r="A58" s="1383"/>
      <c r="B58" s="4148"/>
      <c r="C58" s="16" t="s">
        <v>73</v>
      </c>
      <c r="D58" s="130">
        <v>106200824</v>
      </c>
      <c r="E58" s="17" t="s">
        <v>74</v>
      </c>
      <c r="F58" s="18">
        <v>1</v>
      </c>
    </row>
    <row r="59" spans="1:6" s="11" customFormat="1" ht="15.75" customHeight="1" thickBot="1" x14ac:dyDescent="0.3">
      <c r="A59" s="1383"/>
      <c r="B59" s="4149"/>
      <c r="C59" s="16" t="s">
        <v>75</v>
      </c>
      <c r="D59" s="18">
        <v>106110284</v>
      </c>
      <c r="E59" s="20" t="s">
        <v>1828</v>
      </c>
      <c r="F59" s="18">
        <v>3</v>
      </c>
    </row>
    <row r="60" spans="1:6" s="11" customFormat="1" ht="15.75" thickBot="1" x14ac:dyDescent="0.3">
      <c r="A60" s="1383"/>
      <c r="B60" s="434"/>
      <c r="C60" s="93" t="s">
        <v>249</v>
      </c>
      <c r="D60" s="234">
        <v>106202651</v>
      </c>
      <c r="E60" s="95" t="s">
        <v>2122</v>
      </c>
      <c r="F60" s="232">
        <v>1</v>
      </c>
    </row>
    <row r="61" spans="1:6" s="99" customFormat="1" ht="15.75" customHeight="1" thickBot="1" x14ac:dyDescent="0.3">
      <c r="A61" s="103"/>
      <c r="B61" s="4150" t="s">
        <v>2023</v>
      </c>
      <c r="C61" s="116" t="s">
        <v>259</v>
      </c>
      <c r="D61" s="1791">
        <v>106110170</v>
      </c>
      <c r="E61" s="117" t="s">
        <v>260</v>
      </c>
      <c r="F61" s="118">
        <v>1</v>
      </c>
    </row>
    <row r="62" spans="1:6" s="99" customFormat="1" ht="15.75" customHeight="1" thickBot="1" x14ac:dyDescent="0.3">
      <c r="A62" s="103"/>
      <c r="B62" s="4151"/>
      <c r="C62" s="116" t="s">
        <v>261</v>
      </c>
      <c r="D62" s="18">
        <v>106110278</v>
      </c>
      <c r="E62" s="20" t="s">
        <v>262</v>
      </c>
      <c r="F62" s="119">
        <v>1</v>
      </c>
    </row>
    <row r="63" spans="1:6" s="99" customFormat="1" ht="15.75" customHeight="1" thickBot="1" x14ac:dyDescent="0.3">
      <c r="A63" s="103"/>
      <c r="B63" s="4152"/>
      <c r="C63" s="116" t="s">
        <v>263</v>
      </c>
      <c r="D63" s="1792">
        <v>106110287</v>
      </c>
      <c r="E63" s="22" t="s">
        <v>264</v>
      </c>
      <c r="F63" s="23">
        <v>1</v>
      </c>
    </row>
  </sheetData>
  <mergeCells count="11">
    <mergeCell ref="B3:D3"/>
    <mergeCell ref="B18:B20"/>
    <mergeCell ref="B50:B51"/>
    <mergeCell ref="B52:B53"/>
    <mergeCell ref="B54:B57"/>
    <mergeCell ref="B58:B59"/>
    <mergeCell ref="B61:B63"/>
    <mergeCell ref="B24:D24"/>
    <mergeCell ref="B40:B42"/>
    <mergeCell ref="B45:E45"/>
    <mergeCell ref="B48:B49"/>
  </mergeCells>
  <pageMargins left="0.7" right="0.7" top="0.75" bottom="0.75" header="0.3" footer="0.3"/>
  <pageSetup paperSize="9" orientation="portrait" r:id="rId1"/>
  <ignoredErrors>
    <ignoredError sqref="H9:J9"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45</vt:i4>
      </vt:variant>
      <vt:variant>
        <vt:lpstr>Rangos con nombre</vt:lpstr>
      </vt:variant>
      <vt:variant>
        <vt:i4>22</vt:i4>
      </vt:variant>
    </vt:vector>
  </HeadingPairs>
  <TitlesOfParts>
    <vt:vector size="67" baseType="lpstr">
      <vt:lpstr>Lista global</vt:lpstr>
      <vt:lpstr>Lista global IngeRev</vt:lpstr>
      <vt:lpstr>Taric</vt:lpstr>
      <vt:lpstr>10-11-12,5kW v_G</vt:lpstr>
      <vt:lpstr>15 kW v_D</vt:lpstr>
      <vt:lpstr>20-25 kW IP20</vt:lpstr>
      <vt:lpstr>20kW v_A</vt:lpstr>
      <vt:lpstr>25kW v_B</vt:lpstr>
      <vt:lpstr>30kW v_B</vt:lpstr>
      <vt:lpstr>50-60 kW v_I</vt:lpstr>
      <vt:lpstr>70-80 kW v_J</vt:lpstr>
      <vt:lpstr>90-100 kW v_J</vt:lpstr>
      <vt:lpstr>Power TL</vt:lpstr>
      <vt:lpstr>100TL v_D</vt:lpstr>
      <vt:lpstr>110TL</vt:lpstr>
      <vt:lpstr>125-156TL v _A</vt:lpstr>
      <vt:lpstr>Power UL</vt:lpstr>
      <vt:lpstr>Power Max UL</vt:lpstr>
      <vt:lpstr>PMax MS Acometida Agrupada DCAC</vt:lpstr>
      <vt:lpstr>PMax Modulares</vt:lpstr>
      <vt:lpstr>PMax Modulares con Rediseño</vt:lpstr>
      <vt:lpstr>PMax Modulares 400A</vt:lpstr>
      <vt:lpstr>Monobloque Provisional</vt:lpstr>
      <vt:lpstr>Monobloque definitivo</vt:lpstr>
      <vt:lpstr>Mayores de 125TL DC-AC</vt:lpstr>
      <vt:lpstr>Mayores de 125TL DC</vt:lpstr>
      <vt:lpstr>500 TL analógicos v_D</vt:lpstr>
      <vt:lpstr>Caja strings</vt:lpstr>
      <vt:lpstr>Híbridos</vt:lpstr>
      <vt:lpstr>Smart TL-3Play</vt:lpstr>
      <vt:lpstr>INGEREV</vt:lpstr>
      <vt:lpstr>tarjetas</vt:lpstr>
      <vt:lpstr>Kits</vt:lpstr>
      <vt:lpstr>Conectores, tornillería, mecáni</vt:lpstr>
      <vt:lpstr>Moura</vt:lpstr>
      <vt:lpstr>Lote Smart</vt:lpstr>
      <vt:lpstr>Lote Power</vt:lpstr>
      <vt:lpstr>Lote PowerMax</vt:lpstr>
      <vt:lpstr>Tasas-garantías</vt:lpstr>
      <vt:lpstr>TIA-MTBF</vt:lpstr>
      <vt:lpstr>PMax AcomAgr parte trasera +MT</vt:lpstr>
      <vt:lpstr>Termosolar</vt:lpstr>
      <vt:lpstr>Elementos parte trasera</vt:lpstr>
      <vt:lpstr>PMax v_ a _E retrofitados</vt:lpstr>
      <vt:lpstr>Variadores</vt:lpstr>
      <vt:lpstr>'90-100 kW v_J'!Área_de_impresión</vt:lpstr>
      <vt:lpstr>INGEREV!Área_de_impresión</vt:lpstr>
      <vt:lpstr>Kits!Área_de_impresión</vt:lpstr>
      <vt:lpstr>'Lista global'!Área_de_impresión</vt:lpstr>
      <vt:lpstr>'Lista global IngeRev'!Área_de_impresión</vt:lpstr>
      <vt:lpstr>'Mayores de 125TL DC-AC'!Área_de_impresión</vt:lpstr>
      <vt:lpstr>'PMax AcomAgr parte trasera +MT'!Área_de_impresión</vt:lpstr>
      <vt:lpstr>'PMax Modulares'!Área_de_impresión</vt:lpstr>
      <vt:lpstr>'PMax Modulares 400A'!Área_de_impresión</vt:lpstr>
      <vt:lpstr>'PMax Modulares con Rediseño'!Área_de_impresión</vt:lpstr>
      <vt:lpstr>'PMax MS Acometida Agrupada DCAC'!Área_de_impresión</vt:lpstr>
      <vt:lpstr>'Power Max UL'!Área_de_impresión</vt:lpstr>
      <vt:lpstr>'Power TL'!Área_de_impresión</vt:lpstr>
      <vt:lpstr>Taric!Área_de_impresión</vt:lpstr>
      <vt:lpstr>tarjetas!Área_de_impresión</vt:lpstr>
      <vt:lpstr>'Tasas-garantías'!Área_de_impresión</vt:lpstr>
      <vt:lpstr>'TIA-MTBF'!Área_de_impresión</vt:lpstr>
      <vt:lpstr>'90-100 kW v_J'!Referencia</vt:lpstr>
      <vt:lpstr>REPUESTOSIS100</vt:lpstr>
      <vt:lpstr>'Lista global'!Títulos_a_imprimir</vt:lpstr>
      <vt:lpstr>'Lista global IngeRev'!Títulos_a_imprimir</vt:lpstr>
      <vt:lpstr>Taric!Títulos_a_imprimir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Maria Asiain (Ingeteam)</dc:creator>
  <cp:lastModifiedBy>Eduardo E.C.S. Cordovin Santesteban</cp:lastModifiedBy>
  <cp:lastPrinted>2015-02-23T16:54:32Z</cp:lastPrinted>
  <dcterms:created xsi:type="dcterms:W3CDTF">2009-12-16T15:15:50Z</dcterms:created>
  <dcterms:modified xsi:type="dcterms:W3CDTF">2015-05-04T10:30:35Z</dcterms:modified>
</cp:coreProperties>
</file>